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T:\rvo\kai\Informatieproducten\Opdrachten 2025\Opmaak PDF\SDE-SCE\"/>
    </mc:Choice>
  </mc:AlternateContent>
  <xr:revisionPtr revIDLastSave="0" documentId="8_{BC6402BD-E045-4D26-A4E1-C5525904CA58}" xr6:coauthVersionLast="47" xr6:coauthVersionMax="47" xr10:uidLastSave="{00000000-0000-0000-0000-000000000000}"/>
  <workbookProtection workbookAlgorithmName="SHA-512" workbookHashValue="lpmkyBHrZzqF3yDzDUG1piqOQNHTUzZ1ErGRlk/owAgORLZjNcaFUkxUxc/IrO5XMRpzI9eeBzwqNBIlAP6rgg==" workbookSaltValue="bWS5TVnaGc0ppBCndO++aA==" workbookSpinCount="100000" lockStructure="1"/>
  <bookViews>
    <workbookView xWindow="-120" yWindow="-120" windowWidth="29040" windowHeight="15840" tabRatio="933" xr2:uid="{782E92A4-2970-4A9C-BB2F-4E0CA0B1FFA4}"/>
  </bookViews>
  <sheets>
    <sheet name="disclaimer" sheetId="15" r:id="rId1"/>
    <sheet name="handleiding" sheetId="30" r:id="rId2"/>
    <sheet name="woningen|utiliteit" sheetId="43" r:id="rId3"/>
    <sheet name="variant 1" sheetId="55" r:id="rId4"/>
    <sheet name="variant 2" sheetId="103" r:id="rId5"/>
    <sheet name="variant 3" sheetId="104" r:id="rId6"/>
    <sheet name="variant 4" sheetId="105" r:id="rId7"/>
    <sheet name="variant 5" sheetId="106" r:id="rId8"/>
    <sheet name="variant 6" sheetId="107" r:id="rId9"/>
    <sheet name="resultaten" sheetId="23" r:id="rId10"/>
    <sheet name="bibliotheek" sheetId="24" r:id="rId11"/>
    <sheet name="wijzigingen 5.0" sheetId="51" r:id="rId12"/>
    <sheet name="Energiebehoefte algemeen" sheetId="61" r:id="rId13"/>
  </sheets>
  <externalReferences>
    <externalReference r:id="rId14"/>
  </externalReferences>
  <definedNames>
    <definedName name="_xlnm._FilterDatabase" localSheetId="10" hidden="1">bibliotheek!$B$8:$B$479</definedName>
    <definedName name="_xlnm._FilterDatabase" localSheetId="9" hidden="1">resultaten!$B$8:$B$248</definedName>
    <definedName name="_xlnm._FilterDatabase" localSheetId="3" hidden="1">'variant 1'!$B$8:$C$324</definedName>
    <definedName name="_xlnm._FilterDatabase" localSheetId="4" hidden="1">'variant 2'!$B$8:$C$324</definedName>
    <definedName name="_xlnm._FilterDatabase" localSheetId="5" hidden="1">'variant 3'!$B$8:$C$324</definedName>
    <definedName name="_xlnm._FilterDatabase" localSheetId="6" hidden="1">'variant 4'!$B$8:$C$324</definedName>
    <definedName name="_xlnm._FilterDatabase" localSheetId="7" hidden="1">'variant 5'!$B$8:$C$324</definedName>
    <definedName name="_xlnm._FilterDatabase" localSheetId="8" hidden="1">'variant 6'!$B$8:$C$324</definedName>
    <definedName name="_xlnm._FilterDatabase" localSheetId="2" hidden="1">'woningen|utiliteit'!$B$7:$B$70</definedName>
    <definedName name="aardgas">bibliotheek!$K$216</definedName>
    <definedName name="_xlnm.Print_Area" localSheetId="10">bibliotheek!$E$46:$AG$478</definedName>
    <definedName name="_xlnm.Print_Area" localSheetId="0">disclaimer!$E$4:$F$60</definedName>
    <definedName name="_xlnm.Print_Area" localSheetId="1">handleiding!$C$2:$C$39</definedName>
    <definedName name="_xlnm.Print_Area" localSheetId="9">resultaten!$E$1:$R$245</definedName>
    <definedName name="_xlnm.Print_Area" localSheetId="3">'variant 1'!$C$1:$BH$324</definedName>
    <definedName name="_xlnm.Print_Area" localSheetId="4">'variant 2'!$C$1:$BH$324</definedName>
    <definedName name="_xlnm.Print_Area" localSheetId="5">'variant 3'!$C$1:$BH$324</definedName>
    <definedName name="_xlnm.Print_Area" localSheetId="6">'variant 4'!$C$1:$BH$324</definedName>
    <definedName name="_xlnm.Print_Area" localSheetId="7">'variant 5'!$C$1:$BH$324</definedName>
    <definedName name="_xlnm.Print_Area" localSheetId="8">'variant 6'!$C$1:$BH$324</definedName>
    <definedName name="_xlnm.Print_Area" localSheetId="11">'wijzigingen 5.0'!$C$1:$T$27</definedName>
    <definedName name="_xlnm.Print_Titles" localSheetId="10">bibliotheek!$2:$7</definedName>
    <definedName name="_xlnm.Print_Titles" localSheetId="1">handleiding!$2:$3</definedName>
    <definedName name="_xlnm.Print_Titles" localSheetId="11">'wijzigingen 5.0'!$2:$4</definedName>
    <definedName name="aftapwarmte">bibliotheek!$L$216</definedName>
    <definedName name="BENG_gebruiksfuncties">bibliotheek!$E$391:$U$391</definedName>
    <definedName name="BENG1_eis_Als_deeldoor_Ag_kleiner_dan_grenswaarde_1">bibliotheek!$E$396:$U$396</definedName>
    <definedName name="BENG1_eis_C1">bibliotheek!$E$398:$U$398</definedName>
    <definedName name="BENG1_eis_C2">bibliotheek!$E$399:$U$399</definedName>
    <definedName name="BENG1_eis_C3">bibliotheek!$E$400:$U$400</definedName>
    <definedName name="BENG1_eis_C4">bibliotheek!$E$402:$U$402</definedName>
    <definedName name="BENG1_eis_C5">bibliotheek!$E$403:$U$403</definedName>
    <definedName name="BENG1_eis_C6">bibliotheek!$E$404:$U$404</definedName>
    <definedName name="BENG1_eis_grenswaarde_1">bibliotheek!$E$393:$U$393</definedName>
    <definedName name="BENG1_eis_grenswaarde_2">bibliotheek!$E$394:$U$394</definedName>
    <definedName name="BENG1_ventilatiesysteem">[1]bibliotheek!$I$366</definedName>
    <definedName name="BENG2_eis">bibliotheek!$E$406:$U$406</definedName>
    <definedName name="BENG3_eis">bibliotheek!$E$411:$U$411</definedName>
    <definedName name="beschikbare_fitformules_NTA8800">bibliotheek!$H$365:$M$365</definedName>
    <definedName name="bestaand">bibliotheek!$I$469</definedName>
    <definedName name="bestaand_nieuw">bibliotheek!$I$469:$I$470</definedName>
    <definedName name="bijdrage_thermische_zonne_energie_RV">bibliotheek!$I$199</definedName>
    <definedName name="bijdrage_thermische_zonne_energie_TAP">bibliotheek!$I$198</definedName>
    <definedName name="biomassa">bibliotheek!$O$216</definedName>
    <definedName name="bioolie">bibliotheek!$N$216</definedName>
    <definedName name="centraal">bibliotheek!$K$466</definedName>
    <definedName name="correctiefactor_C1">bibliotheek!$I$276</definedName>
    <definedName name="correctiefactor_C2">bibliotheek!$I$277</definedName>
    <definedName name="Correctiefactoren">bibliotheek!$E$275:$U$277</definedName>
    <definedName name="eindnorm_utiliteit_energielabel">bibliotheek!$I$408:$T$408</definedName>
    <definedName name="elektriciteit">bibliotheek!$J$216</definedName>
    <definedName name="elektriciteit_primaire_energiefactor">bibliotheek!$E$257:$S$262</definedName>
    <definedName name="energiedrager_elektriciteit_CO2_emissiecoëfficiënt">bibliotheek!$E$260:$S$260</definedName>
    <definedName name="energiedrager_elektriciteit_CO2_emissiecoëfficiënt_export">bibliotheek!$E$261:$S$261</definedName>
    <definedName name="energiedrager_elektriciteit_kopregel">bibliotheek!$E$257:$S$257</definedName>
    <definedName name="energiedrager_invoer">[1]bibliotheek!$H$227:$AC$227</definedName>
    <definedName name="ENERGIEDRAGERS">bibliotheek!$E$216:$AN$221</definedName>
    <definedName name="energiedragers_CO2_emissiefactor">bibliotheek!$E$219:$AN$219</definedName>
    <definedName name="energiedragers_fPren">bibliotheek!$H$227:$AN$227</definedName>
    <definedName name="energiedragers_gebouwaansluiting">bibliotheek!$I$464:$L$464</definedName>
    <definedName name="energiedragers_geschikt_voor_KOEL">bibliotheek!$H$234:$AN$234</definedName>
    <definedName name="energiedragers_geschikt_voor_RV">bibliotheek!$H$233:$AN$233</definedName>
    <definedName name="energiedragers_geschikt_voor_TAP">bibliotheek!$H$235:$AN$235</definedName>
    <definedName name="energiedragers_index_fPren">bibliotheek!$H$224:$AN$224</definedName>
    <definedName name="energiedragers_kopregel">bibliotheek!$E$216:$AN$216</definedName>
    <definedName name="energiedragers_namen">bibliotheek!$H$216:$AN$216</definedName>
    <definedName name="energiedragers_primaire_energiefactor">bibliotheek!$E$218:$AN$218</definedName>
    <definedName name="energielabels_grenswaarden">bibliotheek!$E$432:$U$445</definedName>
    <definedName name="energielabels_labelnamen">bibliotheek!$E$432:$E$445</definedName>
    <definedName name="energieprestatie_werkelijk">bibliotheek!$I$476:$J$476</definedName>
    <definedName name="f_P_rencold">bibliotheek!$L$208</definedName>
    <definedName name="f_P_renelect">bibliotheek!$J$208</definedName>
    <definedName name="f_P_renheat">bibliotheek!$K$208</definedName>
    <definedName name="financieel_PV_euro_per_WP">bibliotheek!#REF!</definedName>
    <definedName name="financieel_PV_kWh_per_Wp_per_jaar">bibliotheek!#REF!</definedName>
    <definedName name="financieel_PV_omvormer_onderhoud">bibliotheek!#REF!</definedName>
    <definedName name="fit_a0">bibliotheek!$E$340</definedName>
    <definedName name="fit_a1">bibliotheek!$E$341</definedName>
    <definedName name="fit_a2">bibliotheek!$E$342</definedName>
    <definedName name="fit_a3">bibliotheek!$E$343</definedName>
    <definedName name="fit_a4">bibliotheek!$E$344</definedName>
    <definedName name="fit_n1">bibliotheek!$E$345</definedName>
    <definedName name="fit_n2">bibliotheek!$E$346</definedName>
    <definedName name="fit_n3">bibliotheek!$E$347</definedName>
    <definedName name="fit_n4">bibliotheek!$E$348</definedName>
    <definedName name="fitcurves_NTA8800">bibliotheek!$E$337:$AAK$349</definedName>
    <definedName name="gebied">bibliotheek!$J$466</definedName>
    <definedName name="gebouw">bibliotheek!$I$466</definedName>
    <definedName name="gebruiksfuncties_fitcurve_NTA8800">bibliotheek!$H$269:$U$269</definedName>
    <definedName name="gebruiksfuncties_namen">bibliotheek!$H$268:$U$268</definedName>
    <definedName name="gederfde_elektriciteit">bibliotheek!$S$216</definedName>
    <definedName name="geen">bibliotheek!$I$474</definedName>
    <definedName name="geografische_niveaus_installaties">bibliotheek!$I$466:$K$466</definedName>
    <definedName name="GJ">bibliotheek!$K$464</definedName>
    <definedName name="hernieuwbare_energiebron_getalswaarde">bibliotheek!$H$208:$R$208</definedName>
    <definedName name="hernieuwbare_energiebron_getalswaarde_bij_toestellen">bibliotheek!$H$209:$R$209</definedName>
    <definedName name="hernieuwbare_energiebron_index">bibliotheek!$H$207:$R$207</definedName>
    <definedName name="hernieuwbare_energiebron_namen">bibliotheek!$H$205:$R$205</definedName>
    <definedName name="hoog_laag">bibliotheek!$I$472:$J$472</definedName>
    <definedName name="installaties_RV_investering">bibliotheek!#REF!</definedName>
    <definedName name="installaties_RV_onderhoud">bibliotheek!#REF!</definedName>
    <definedName name="installaties_RV_verlies_elek_prod_aftapwarmte">bibliotheek!$E$94:$BB$94</definedName>
    <definedName name="installaties_RV_vervanging_na_15_jaar">bibliotheek!#REF!</definedName>
    <definedName name="installaties_TAP_verlies_elek_prod_aftapwarmte">bibliotheek!$E$150:$AY$150</definedName>
    <definedName name="isolatiepakketten_gebouwschil_namen">bibliotheek!$H$34:$W$34</definedName>
    <definedName name="koken_aardgas_per_m2">bibliotheek!$I$305</definedName>
    <definedName name="koken_elektriciteit">bibliotheek!$I$300</definedName>
    <definedName name="koken_elektriciteit_per_m2">bibliotheek!$I$301</definedName>
    <definedName name="koken_gas">bibliotheek!$I$304</definedName>
    <definedName name="koudebehoefte_koeling_ondergrens">bibliotheek!$I$329</definedName>
    <definedName name="kWh">bibliotheek!$J$464</definedName>
    <definedName name="m3gas">bibliotheek!$I$464</definedName>
    <definedName name="niet_gebouwgebonden_elektriciteitgebruik_woningen_per_m2">bibliotheek!$I$320</definedName>
    <definedName name="nieuw">bibliotheek!$I$470</definedName>
    <definedName name="NulEen">bibliotheek!$I$473:$J$473</definedName>
    <definedName name="nvt">bibliotheek!$L$464</definedName>
    <definedName name="opwekking_elektriciteit">bibliotheek!$I$257:$R$257</definedName>
    <definedName name="parameters_fitformule">bibliotheek!$E$337:$E$349</definedName>
    <definedName name="referentie_koeling">bibliotheek!$I$165</definedName>
    <definedName name="referentie_verwarming">bibliotheek!$I$75</definedName>
    <definedName name="referentie_warmtapwater">bibliotheek!$I$131</definedName>
    <definedName name="referentiepakketten_bij_gebouwen">bibliotheek!$H$17:$EC$17</definedName>
    <definedName name="restwarmte">bibliotheek!$M$216</definedName>
    <definedName name="specifiek_niet_gebouwgebonden_elektriciteitsgebruik_gebruiksfuncties">bibliotheek!$E$291:$U$291</definedName>
    <definedName name="specifiek_niet_gebouwgebonden_elektriciteitsgebruik_waarden">bibliotheek!$E$293:$U$293</definedName>
    <definedName name="specifieke_interne_warmtecapaciteit">bibliotheek!$H$458:$K$458</definedName>
    <definedName name="standaardwaarde_basis">bibliotheek!$E$421:$M$421</definedName>
    <definedName name="standaardwaarde_extra_vraag_boven_grenswaarde_vormfactor">bibliotheek!$E$424:$M$424</definedName>
    <definedName name="standaardwaarde_grens_vormfactor">bibliotheek!$E$423:$M$423</definedName>
    <definedName name="standaardwaarden_gebruiksfuncties">bibliotheek!$E$418:$M$418</definedName>
    <definedName name="toestellen_KOEL">bibliotheek!$E$165:$AC$185</definedName>
    <definedName name="toestellen_KOEL_invoer">bibliotheek!$H$165:$AC$165</definedName>
    <definedName name="toestellen_KOEL_kopregel">bibliotheek!$E$165:$AC$165</definedName>
    <definedName name="toestellen_RV">bibliotheek!$E$75:$BB$111</definedName>
    <definedName name="toestellen_RV_invoer">bibliotheek!$H$75:$BB$75</definedName>
    <definedName name="toestellen_RV_kopregel">bibliotheek!$E$75:$BB$75</definedName>
    <definedName name="toestellen_TAP">bibliotheek!$E$131:$AY$159</definedName>
    <definedName name="toestellen_TAP_invoer">bibliotheek!$H$131:$AY$131</definedName>
    <definedName name="toestellen_TAP_kopregel">bibliotheek!$E$131:$AY$131</definedName>
    <definedName name="ventilatie_A">bibliotheek!$I$51</definedName>
    <definedName name="ventilatie_investering">bibliotheek!#REF!</definedName>
    <definedName name="ventilatie_onderhoud">bibliotheek!#REF!</definedName>
    <definedName name="ventilatie_vervanging_na_15_jaar">bibliotheek!#REF!</definedName>
    <definedName name="ventilatiesystemen_code">bibliotheek!$H$52:$Q$52</definedName>
    <definedName name="ventilatiesystemen_kenmerken">bibliotheek!$E$51:$Q$52</definedName>
    <definedName name="ventilatiesystemen_kenmerken_kopregel">bibliotheek!$E$51:$Q$51</definedName>
    <definedName name="ventilatiesystemen_namen">bibliotheek!$H$51:$Q$51</definedName>
    <definedName name="ventilatoren_typen">bibliotheek!$E$59:$E$62</definedName>
    <definedName name="ventilatorenergie_ventilatiesysteem_B_C">bibliotheek!$E$58:$U$62</definedName>
    <definedName name="ventilatorenergie_ventilatiesysteem_B_C_kopregel">bibliotheek!$E$58:$U$58</definedName>
    <definedName name="ventilatorenergie_ventilatiesysteem_D">bibliotheek!$E$64:$U$68</definedName>
    <definedName name="ventilatorenergie_ventilatiesysteem_D_kopregel">bibliotheek!$E$64:$U$64</definedName>
    <definedName name="verlichting_parameters_a">bibliotheek!$E$372:$U$372</definedName>
    <definedName name="verlichting_parameters_b">bibliotheek!$E$373:$U$373</definedName>
    <definedName name="verlichting_parameters_gebruiksfuncties">bibliotheek!$E$371:$U$371</definedName>
    <definedName name="verlichting_vermogen_forfaitair">bibliotheek!$E$374:$U$374</definedName>
    <definedName name="verlichtingsregeling_kopregel">bibliotheek!$E$383:$N$383</definedName>
    <definedName name="verlichtingsregeling_namen">bibliotheek!$H$383:$N$383</definedName>
    <definedName name="verlichtingsregeling_waarden">bibliotheek!$E$384:$N$384</definedName>
    <definedName name="WaarOnwaar">bibliotheek!$I$475:$J$475</definedName>
    <definedName name="warmtapwater_specifieke_warmtebehoefte_gebruiksfuncties">bibliotheek!$E$283:$U$283</definedName>
    <definedName name="warmtapwater_specifieke_warmtebehoefte_waarden">bibliotheek!$E$284:$U$284</definedName>
    <definedName name="warmtebehoefte_verwarming_CONSTANTE">[1]bibliotheek!$E$321:$U$325</definedName>
    <definedName name="warmtebehoefte_verwarming_MACHT">[1]bibliotheek!$E$333:$U$337</definedName>
    <definedName name="warmtebehoefte_verwarming_ondergrens">bibliotheek!$I$328</definedName>
    <definedName name="warmtebehoefte_verwarming_VARIABELE_X">[1]bibliotheek!$E$327:$U$331</definedName>
    <definedName name="warmtenetten_NL_CO2_emissiecoefficient">bibliotheek!$H$249:$DE$249</definedName>
    <definedName name="warmtenetten_NL_codes">bibliotheek!$H$246:$DE$246</definedName>
    <definedName name="warmtenetten_NL_fp_del">bibliotheek!$H$247:$DE$247</definedName>
    <definedName name="warmtenetten_NL_fp_ren">bibliotheek!$H$248:$DE$248</definedName>
    <definedName name="warmtenetten_NL_namen">bibliotheek!$H$242:$DE$242</definedName>
    <definedName name="warmtenetten_NL_voor_KOEL">bibliotheek!$H$244:$DE$244</definedName>
    <definedName name="warmtenetten_NL_voor_RV">bibliotheek!$H$243:$DE$243</definedName>
    <definedName name="warmtenetten_NL_voor_TAP">bibliotheek!$H$245:$DE$245</definedName>
    <definedName name="woning">bibliotheek!$S$268</definedName>
    <definedName name="woningen_gebouwen_gegevens">bibliotheek!$E$13:$EC$28</definedName>
    <definedName name="woningen_gebouwen_namen">bibliotheek!$H$13:$EC$13</definedName>
    <definedName name="woongebouw">bibliotheek!$T$268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O98" i="24" l="1"/>
  <c r="AN98" i="24"/>
  <c r="AM98" i="24"/>
  <c r="AP98" i="24"/>
  <c r="AQ98" i="24"/>
  <c r="AR98" i="24"/>
  <c r="AS98" i="24"/>
  <c r="E34" i="23"/>
  <c r="E32" i="23"/>
  <c r="BI251" i="24"/>
  <c r="BH251" i="24"/>
  <c r="BG251" i="24"/>
  <c r="BF251" i="24"/>
  <c r="BE251" i="24"/>
  <c r="BD251" i="24"/>
  <c r="BC251" i="24"/>
  <c r="BB251" i="24"/>
  <c r="BA251" i="24"/>
  <c r="AZ251" i="24"/>
  <c r="AY251" i="24"/>
  <c r="AX251" i="24"/>
  <c r="AW251" i="24"/>
  <c r="AV251" i="24"/>
  <c r="AU251" i="24"/>
  <c r="AT251" i="24"/>
  <c r="AS251" i="24"/>
  <c r="AR251" i="24"/>
  <c r="AQ251" i="24"/>
  <c r="AP251" i="24"/>
  <c r="AO251" i="24"/>
  <c r="AN251" i="24"/>
  <c r="AM251" i="24"/>
  <c r="AL251" i="24"/>
  <c r="AK251" i="24"/>
  <c r="AJ251" i="24"/>
  <c r="AI251" i="24"/>
  <c r="AH251" i="24"/>
  <c r="AG251" i="24"/>
  <c r="AF251" i="24"/>
  <c r="AE251" i="24"/>
  <c r="AD251" i="24"/>
  <c r="AC251" i="24"/>
  <c r="AB251" i="24"/>
  <c r="AA251" i="24"/>
  <c r="Z251" i="24"/>
  <c r="Y251" i="24"/>
  <c r="X251" i="24"/>
  <c r="W251" i="24"/>
  <c r="V251" i="24"/>
  <c r="U251" i="24"/>
  <c r="T251" i="24"/>
  <c r="S251" i="24"/>
  <c r="R251" i="24"/>
  <c r="Q251" i="24"/>
  <c r="P251" i="24"/>
  <c r="BI250" i="24"/>
  <c r="BH250" i="24"/>
  <c r="BG250" i="24"/>
  <c r="BF250" i="24"/>
  <c r="BE250" i="24"/>
  <c r="BD250" i="24"/>
  <c r="BC250" i="24"/>
  <c r="BB250" i="24"/>
  <c r="BA250" i="24"/>
  <c r="AZ250" i="24"/>
  <c r="AY250" i="24"/>
  <c r="AX250" i="24"/>
  <c r="AW250" i="24"/>
  <c r="AV250" i="24"/>
  <c r="AU250" i="24"/>
  <c r="AT250" i="24"/>
  <c r="AS250" i="24"/>
  <c r="AR250" i="24"/>
  <c r="AQ250" i="24"/>
  <c r="AP250" i="24"/>
  <c r="AO250" i="24"/>
  <c r="AN250" i="24"/>
  <c r="AM250" i="24"/>
  <c r="AL250" i="24"/>
  <c r="AK250" i="24"/>
  <c r="AJ250" i="24"/>
  <c r="AI250" i="24"/>
  <c r="AH250" i="24"/>
  <c r="AG250" i="24"/>
  <c r="AF250" i="24"/>
  <c r="AE250" i="24"/>
  <c r="AD250" i="24"/>
  <c r="AC250" i="24"/>
  <c r="AB250" i="24"/>
  <c r="AA250" i="24"/>
  <c r="Z250" i="24"/>
  <c r="Y250" i="24"/>
  <c r="X250" i="24"/>
  <c r="W250" i="24"/>
  <c r="V250" i="24"/>
  <c r="U250" i="24"/>
  <c r="T250" i="24"/>
  <c r="S250" i="24"/>
  <c r="R250" i="24"/>
  <c r="Q250" i="24"/>
  <c r="P250" i="24"/>
  <c r="AG223" i="24"/>
  <c r="AD223" i="24"/>
  <c r="AE223" i="24"/>
  <c r="AF223" i="24"/>
  <c r="AH223" i="24"/>
  <c r="AI223" i="24"/>
  <c r="AJ223" i="24"/>
  <c r="AK223" i="24"/>
  <c r="AL223" i="24"/>
  <c r="AM223" i="24"/>
  <c r="AC223" i="24"/>
  <c r="K262" i="24"/>
  <c r="J262" i="24"/>
  <c r="U147" i="24"/>
  <c r="AE147" i="24"/>
  <c r="O28" i="24"/>
  <c r="N28" i="24"/>
  <c r="M28" i="24"/>
  <c r="L28" i="24"/>
  <c r="K28" i="24"/>
  <c r="J28" i="24"/>
  <c r="I28" i="24"/>
  <c r="BN28" i="24"/>
  <c r="BM28"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AF91" i="24"/>
  <c r="U91" i="24"/>
  <c r="O251" i="24" l="1"/>
  <c r="N251" i="24"/>
  <c r="M251" i="24"/>
  <c r="L251" i="24"/>
  <c r="K251" i="24"/>
  <c r="J251" i="24"/>
  <c r="I251" i="24"/>
  <c r="K261" i="24" l="1"/>
  <c r="J261" i="24"/>
  <c r="K258" i="24"/>
  <c r="K259" i="24" s="1"/>
  <c r="J258" i="24"/>
  <c r="J259" i="24" s="1"/>
  <c r="I261" i="24" l="1"/>
  <c r="I259" i="24"/>
  <c r="J250" i="24"/>
  <c r="K250" i="24"/>
  <c r="L250" i="24"/>
  <c r="M250" i="24"/>
  <c r="N250" i="24"/>
  <c r="O250" i="24"/>
  <c r="I250" i="24"/>
  <c r="E281" i="107" l="1"/>
  <c r="E280" i="107"/>
  <c r="E281" i="106"/>
  <c r="E280" i="106"/>
  <c r="E281" i="105"/>
  <c r="E280" i="105"/>
  <c r="E281" i="104"/>
  <c r="E280" i="104"/>
  <c r="E281" i="55"/>
  <c r="E280" i="55"/>
  <c r="E280" i="103"/>
  <c r="E281" i="103"/>
  <c r="AI21" i="61" l="1"/>
  <c r="AI22" i="61"/>
  <c r="X22" i="61"/>
  <c r="X21" i="61"/>
  <c r="M21" i="61"/>
  <c r="B21" i="61"/>
  <c r="AL9" i="61" l="1"/>
  <c r="AM9" i="61"/>
  <c r="AN9" i="61"/>
  <c r="AO9" i="61"/>
  <c r="AP9" i="61"/>
  <c r="AQ9" i="61"/>
  <c r="AR9" i="61"/>
  <c r="AK9" i="61"/>
  <c r="AA20" i="61" l="1"/>
  <c r="AB20" i="61"/>
  <c r="AC20" i="61"/>
  <c r="AD20" i="61"/>
  <c r="AE20" i="61"/>
  <c r="AF20" i="61"/>
  <c r="AG20" i="61"/>
  <c r="Z20" i="61"/>
  <c r="AL11" i="61" a="1"/>
  <c r="AL11" i="61" s="1"/>
  <c r="AL20" i="61" s="1"/>
  <c r="AM11" i="61" a="1"/>
  <c r="AM11" i="61" s="1"/>
  <c r="AM20" i="61" s="1"/>
  <c r="AN11" i="61" a="1"/>
  <c r="AN11" i="61" s="1"/>
  <c r="AN20" i="61" s="1"/>
  <c r="AO11" i="61" a="1"/>
  <c r="AO11" i="61" s="1"/>
  <c r="AO20" i="61" s="1"/>
  <c r="AP11" i="61" a="1"/>
  <c r="AP11" i="61" s="1"/>
  <c r="AP20" i="61" s="1"/>
  <c r="AQ11" i="61" a="1"/>
  <c r="AQ11" i="61" s="1"/>
  <c r="AQ20" i="61" s="1"/>
  <c r="AR11" i="61" a="1"/>
  <c r="AR11" i="61" s="1"/>
  <c r="AR20" i="61" s="1"/>
  <c r="AK11" i="61" a="1"/>
  <c r="AK11" i="61" s="1"/>
  <c r="AK20" i="61" s="1"/>
  <c r="E20" i="61"/>
  <c r="E13" i="61" s="1"/>
  <c r="F20" i="61"/>
  <c r="F14" i="61" s="1"/>
  <c r="G20" i="61"/>
  <c r="G14" i="61" s="1"/>
  <c r="H20" i="61"/>
  <c r="H13" i="61" s="1"/>
  <c r="I20" i="61"/>
  <c r="I13" i="61" s="1"/>
  <c r="J20" i="61"/>
  <c r="J13" i="61" s="1"/>
  <c r="K20" i="61"/>
  <c r="K13" i="61" s="1"/>
  <c r="D20" i="61"/>
  <c r="D13" i="61" s="1"/>
  <c r="S11" i="61" a="1"/>
  <c r="S11" i="61" s="1"/>
  <c r="S20" i="61" s="1"/>
  <c r="S9" i="61"/>
  <c r="P11" i="61" a="1"/>
  <c r="P11" i="61" s="1"/>
  <c r="P20" i="61" s="1"/>
  <c r="Q11" i="61" a="1"/>
  <c r="Q11" i="61" s="1"/>
  <c r="Q20" i="61" s="1"/>
  <c r="R11" i="61" a="1"/>
  <c r="R11" i="61" s="1"/>
  <c r="R20" i="61" s="1"/>
  <c r="T11" i="61" a="1"/>
  <c r="T11" i="61" s="1"/>
  <c r="T20" i="61" s="1"/>
  <c r="U11" i="61" a="1"/>
  <c r="U11" i="61" s="1"/>
  <c r="U20" i="61" s="1"/>
  <c r="V11" i="61" a="1"/>
  <c r="V11" i="61" s="1"/>
  <c r="V20" i="61" s="1"/>
  <c r="O11" i="61" a="1"/>
  <c r="O11" i="61" s="1"/>
  <c r="O20" i="61" s="1"/>
  <c r="O9" i="61"/>
  <c r="E365" i="24"/>
  <c r="I363" i="24"/>
  <c r="J363" i="24" s="1"/>
  <c r="K363" i="24" s="1"/>
  <c r="L363" i="24" s="1"/>
  <c r="E457" i="24"/>
  <c r="E458" i="24" s="1"/>
  <c r="I456" i="24"/>
  <c r="J456" i="24" s="1"/>
  <c r="I333" i="24"/>
  <c r="J333" i="24" s="1"/>
  <c r="K333" i="24" s="1"/>
  <c r="L333" i="24" s="1"/>
  <c r="M333" i="24" s="1"/>
  <c r="N333" i="24" s="1"/>
  <c r="O333" i="24" s="1"/>
  <c r="P333" i="24" s="1"/>
  <c r="Q333" i="24" s="1"/>
  <c r="R333" i="24" s="1"/>
  <c r="S333" i="24" s="1"/>
  <c r="T333" i="24" s="1"/>
  <c r="U333" i="24" s="1"/>
  <c r="V333" i="24" s="1"/>
  <c r="W333" i="24" s="1"/>
  <c r="X333" i="24" s="1"/>
  <c r="Y333" i="24" s="1"/>
  <c r="Z333" i="24" s="1"/>
  <c r="AA333" i="24" s="1"/>
  <c r="AB333" i="24" s="1"/>
  <c r="AC333" i="24" s="1"/>
  <c r="AD333" i="24" s="1"/>
  <c r="AE333" i="24" s="1"/>
  <c r="AF333" i="24" s="1"/>
  <c r="AG333" i="24" s="1"/>
  <c r="AH333" i="24" s="1"/>
  <c r="AI333" i="24" s="1"/>
  <c r="AJ333" i="24" s="1"/>
  <c r="AK333" i="24" s="1"/>
  <c r="AL333" i="24" s="1"/>
  <c r="AM333" i="24" s="1"/>
  <c r="AN333" i="24" s="1"/>
  <c r="AO333" i="24" s="1"/>
  <c r="AP333" i="24" s="1"/>
  <c r="AQ333" i="24" s="1"/>
  <c r="AR333" i="24" s="1"/>
  <c r="AS333" i="24" s="1"/>
  <c r="AT333" i="24" s="1"/>
  <c r="AU333" i="24" s="1"/>
  <c r="AV333" i="24" s="1"/>
  <c r="AW333" i="24" s="1"/>
  <c r="AX333" i="24" s="1"/>
  <c r="AY333" i="24" s="1"/>
  <c r="AZ333" i="24" s="1"/>
  <c r="BA333" i="24" s="1"/>
  <c r="BB333" i="24" s="1"/>
  <c r="BC333" i="24" s="1"/>
  <c r="BD333" i="24" s="1"/>
  <c r="BE333" i="24" s="1"/>
  <c r="BF333" i="24" s="1"/>
  <c r="BG333" i="24" s="1"/>
  <c r="BH333" i="24" s="1"/>
  <c r="BI333" i="24" s="1"/>
  <c r="BJ333" i="24" s="1"/>
  <c r="BK333" i="24" s="1"/>
  <c r="BL333" i="24" s="1"/>
  <c r="BM333" i="24" s="1"/>
  <c r="BN333" i="24" s="1"/>
  <c r="BO333" i="24" s="1"/>
  <c r="BP333" i="24" s="1"/>
  <c r="BQ333" i="24" s="1"/>
  <c r="BR333" i="24" s="1"/>
  <c r="BS333" i="24" s="1"/>
  <c r="BT333" i="24" s="1"/>
  <c r="BU333" i="24" s="1"/>
  <c r="BV333" i="24" s="1"/>
  <c r="BW333" i="24" s="1"/>
  <c r="BX333" i="24" s="1"/>
  <c r="BY333" i="24" s="1"/>
  <c r="BZ333" i="24" s="1"/>
  <c r="CA333" i="24" s="1"/>
  <c r="CB333" i="24" s="1"/>
  <c r="CC333" i="24" s="1"/>
  <c r="CD333" i="24" s="1"/>
  <c r="CE333" i="24" s="1"/>
  <c r="CF333" i="24" s="1"/>
  <c r="CG333" i="24" s="1"/>
  <c r="CH333" i="24" s="1"/>
  <c r="CI333" i="24" s="1"/>
  <c r="CJ333" i="24" s="1"/>
  <c r="CK333" i="24" s="1"/>
  <c r="CL333" i="24" s="1"/>
  <c r="CM333" i="24" s="1"/>
  <c r="CN333" i="24" s="1"/>
  <c r="CO333" i="24" s="1"/>
  <c r="CP333" i="24" s="1"/>
  <c r="CQ333" i="24" s="1"/>
  <c r="CR333" i="24" s="1"/>
  <c r="CS333" i="24" s="1"/>
  <c r="CT333" i="24" s="1"/>
  <c r="CU333" i="24" s="1"/>
  <c r="CV333" i="24" s="1"/>
  <c r="CW333" i="24" s="1"/>
  <c r="CX333" i="24" s="1"/>
  <c r="CY333" i="24" s="1"/>
  <c r="CZ333" i="24" s="1"/>
  <c r="DA333" i="24" s="1"/>
  <c r="DB333" i="24" s="1"/>
  <c r="DC333" i="24" s="1"/>
  <c r="DD333" i="24" s="1"/>
  <c r="DE333" i="24" s="1"/>
  <c r="DF333" i="24" s="1"/>
  <c r="DG333" i="24" s="1"/>
  <c r="DH333" i="24" s="1"/>
  <c r="DI333" i="24" s="1"/>
  <c r="DJ333" i="24" s="1"/>
  <c r="DK333" i="24" s="1"/>
  <c r="DL333" i="24" s="1"/>
  <c r="DM333" i="24" s="1"/>
  <c r="DN333" i="24" s="1"/>
  <c r="DO333" i="24" s="1"/>
  <c r="DP333" i="24" s="1"/>
  <c r="DQ333" i="24" s="1"/>
  <c r="DR333" i="24" s="1"/>
  <c r="DS333" i="24" s="1"/>
  <c r="DT333" i="24" s="1"/>
  <c r="DU333" i="24" s="1"/>
  <c r="DV333" i="24" s="1"/>
  <c r="DW333" i="24" s="1"/>
  <c r="DX333" i="24" s="1"/>
  <c r="DY333" i="24" s="1"/>
  <c r="DZ333" i="24" s="1"/>
  <c r="EA333" i="24" s="1"/>
  <c r="EB333" i="24" s="1"/>
  <c r="EC333" i="24" s="1"/>
  <c r="ED333" i="24" s="1"/>
  <c r="EE333" i="24" s="1"/>
  <c r="EF333" i="24" s="1"/>
  <c r="EG333" i="24" s="1"/>
  <c r="EH333" i="24" s="1"/>
  <c r="EI333" i="24" s="1"/>
  <c r="EJ333" i="24" s="1"/>
  <c r="EK333" i="24" s="1"/>
  <c r="EL333" i="24" s="1"/>
  <c r="EM333" i="24" s="1"/>
  <c r="EN333" i="24" s="1"/>
  <c r="EO333" i="24" s="1"/>
  <c r="EP333" i="24" s="1"/>
  <c r="EQ333" i="24" s="1"/>
  <c r="ER333" i="24" s="1"/>
  <c r="ES333" i="24" s="1"/>
  <c r="ET333" i="24" s="1"/>
  <c r="EU333" i="24" s="1"/>
  <c r="EV333" i="24" s="1"/>
  <c r="EW333" i="24" s="1"/>
  <c r="EX333" i="24" s="1"/>
  <c r="EY333" i="24" s="1"/>
  <c r="EZ333" i="24" s="1"/>
  <c r="FA333" i="24" s="1"/>
  <c r="FB333" i="24" s="1"/>
  <c r="FC333" i="24" s="1"/>
  <c r="FD333" i="24" s="1"/>
  <c r="FE333" i="24" s="1"/>
  <c r="FF333" i="24" s="1"/>
  <c r="FG333" i="24" s="1"/>
  <c r="FH333" i="24" s="1"/>
  <c r="FI333" i="24" s="1"/>
  <c r="FJ333" i="24" s="1"/>
  <c r="FK333" i="24" s="1"/>
  <c r="FL333" i="24" s="1"/>
  <c r="FM333" i="24" s="1"/>
  <c r="FN333" i="24" s="1"/>
  <c r="FO333" i="24" s="1"/>
  <c r="FP333" i="24" s="1"/>
  <c r="FQ333" i="24" s="1"/>
  <c r="FR333" i="24" s="1"/>
  <c r="FS333" i="24" s="1"/>
  <c r="FT333" i="24" s="1"/>
  <c r="FU333" i="24" s="1"/>
  <c r="FV333" i="24" s="1"/>
  <c r="FW333" i="24" s="1"/>
  <c r="FX333" i="24" s="1"/>
  <c r="FY333" i="24" s="1"/>
  <c r="FZ333" i="24" s="1"/>
  <c r="GA333" i="24" s="1"/>
  <c r="GB333" i="24" s="1"/>
  <c r="GC333" i="24" s="1"/>
  <c r="GD333" i="24" s="1"/>
  <c r="GE333" i="24" s="1"/>
  <c r="GF333" i="24" s="1"/>
  <c r="GG333" i="24" s="1"/>
  <c r="GH333" i="24" s="1"/>
  <c r="GI333" i="24" s="1"/>
  <c r="GJ333" i="24" s="1"/>
  <c r="GK333" i="24" s="1"/>
  <c r="GL333" i="24" s="1"/>
  <c r="GM333" i="24" s="1"/>
  <c r="GN333" i="24" s="1"/>
  <c r="GO333" i="24" s="1"/>
  <c r="GP333" i="24" s="1"/>
  <c r="GQ333" i="24" s="1"/>
  <c r="GR333" i="24" s="1"/>
  <c r="GS333" i="24" s="1"/>
  <c r="GT333" i="24" s="1"/>
  <c r="GU333" i="24" s="1"/>
  <c r="GV333" i="24" s="1"/>
  <c r="GW333" i="24" s="1"/>
  <c r="GX333" i="24" s="1"/>
  <c r="GY333" i="24" s="1"/>
  <c r="GZ333" i="24" s="1"/>
  <c r="HA333" i="24" s="1"/>
  <c r="HB333" i="24" s="1"/>
  <c r="HC333" i="24" s="1"/>
  <c r="HD333" i="24" s="1"/>
  <c r="HE333" i="24" s="1"/>
  <c r="HF333" i="24" s="1"/>
  <c r="HG333" i="24" s="1"/>
  <c r="HH333" i="24" s="1"/>
  <c r="HI333" i="24" s="1"/>
  <c r="HJ333" i="24" s="1"/>
  <c r="HK333" i="24" s="1"/>
  <c r="HL333" i="24" s="1"/>
  <c r="HM333" i="24" s="1"/>
  <c r="HN333" i="24" s="1"/>
  <c r="HO333" i="24" s="1"/>
  <c r="HP333" i="24" s="1"/>
  <c r="HQ333" i="24" s="1"/>
  <c r="HR333" i="24" s="1"/>
  <c r="HS333" i="24" s="1"/>
  <c r="HT333" i="24" s="1"/>
  <c r="HU333" i="24" s="1"/>
  <c r="HV333" i="24" s="1"/>
  <c r="HW333" i="24" s="1"/>
  <c r="HX333" i="24" s="1"/>
  <c r="HY333" i="24" s="1"/>
  <c r="HZ333" i="24" s="1"/>
  <c r="IA333" i="24" s="1"/>
  <c r="IB333" i="24" s="1"/>
  <c r="IC333" i="24" s="1"/>
  <c r="ID333" i="24" s="1"/>
  <c r="IE333" i="24" s="1"/>
  <c r="IF333" i="24" s="1"/>
  <c r="IG333" i="24" s="1"/>
  <c r="IH333" i="24" s="1"/>
  <c r="II333" i="24" s="1"/>
  <c r="IJ333" i="24" s="1"/>
  <c r="IK333" i="24" s="1"/>
  <c r="IL333" i="24" s="1"/>
  <c r="IM333" i="24" s="1"/>
  <c r="IN333" i="24" s="1"/>
  <c r="IO333" i="24" s="1"/>
  <c r="IP333" i="24" s="1"/>
  <c r="IQ333" i="24" s="1"/>
  <c r="IR333" i="24" s="1"/>
  <c r="IS333" i="24" s="1"/>
  <c r="IT333" i="24" s="1"/>
  <c r="IU333" i="24" s="1"/>
  <c r="IV333" i="24" s="1"/>
  <c r="IW333" i="24" s="1"/>
  <c r="IX333" i="24" s="1"/>
  <c r="IY333" i="24" s="1"/>
  <c r="IZ333" i="24" s="1"/>
  <c r="JA333" i="24" s="1"/>
  <c r="JB333" i="24" s="1"/>
  <c r="JC333" i="24" s="1"/>
  <c r="JD333" i="24" s="1"/>
  <c r="JE333" i="24" s="1"/>
  <c r="JF333" i="24" s="1"/>
  <c r="JG333" i="24" s="1"/>
  <c r="JH333" i="24" s="1"/>
  <c r="JI333" i="24" s="1"/>
  <c r="JJ333" i="24" s="1"/>
  <c r="JK333" i="24" s="1"/>
  <c r="JL333" i="24" s="1"/>
  <c r="JM333" i="24" s="1"/>
  <c r="JN333" i="24" s="1"/>
  <c r="JO333" i="24" s="1"/>
  <c r="JP333" i="24" s="1"/>
  <c r="JQ333" i="24" s="1"/>
  <c r="JR333" i="24" s="1"/>
  <c r="JS333" i="24" s="1"/>
  <c r="JT333" i="24" s="1"/>
  <c r="JU333" i="24" s="1"/>
  <c r="JV333" i="24" s="1"/>
  <c r="JW333" i="24" s="1"/>
  <c r="JX333" i="24" s="1"/>
  <c r="JY333" i="24" s="1"/>
  <c r="JZ333" i="24" s="1"/>
  <c r="KA333" i="24" s="1"/>
  <c r="KB333" i="24" s="1"/>
  <c r="KC333" i="24" s="1"/>
  <c r="KD333" i="24" s="1"/>
  <c r="KE333" i="24" s="1"/>
  <c r="KF333" i="24" s="1"/>
  <c r="KG333" i="24" s="1"/>
  <c r="KH333" i="24" s="1"/>
  <c r="KI333" i="24" s="1"/>
  <c r="KJ333" i="24" s="1"/>
  <c r="KK333" i="24" s="1"/>
  <c r="KL333" i="24" s="1"/>
  <c r="KM333" i="24" s="1"/>
  <c r="KN333" i="24" s="1"/>
  <c r="KO333" i="24" s="1"/>
  <c r="KP333" i="24" s="1"/>
  <c r="KQ333" i="24" s="1"/>
  <c r="KR333" i="24" s="1"/>
  <c r="KS333" i="24" s="1"/>
  <c r="KT333" i="24" s="1"/>
  <c r="KU333" i="24" s="1"/>
  <c r="KV333" i="24" s="1"/>
  <c r="KW333" i="24" s="1"/>
  <c r="KX333" i="24" s="1"/>
  <c r="KY333" i="24" s="1"/>
  <c r="KZ333" i="24" s="1"/>
  <c r="LA333" i="24" s="1"/>
  <c r="LB333" i="24" s="1"/>
  <c r="LC333" i="24" s="1"/>
  <c r="LD333" i="24" s="1"/>
  <c r="LE333" i="24" s="1"/>
  <c r="LF333" i="24" s="1"/>
  <c r="LG333" i="24" s="1"/>
  <c r="LH333" i="24" s="1"/>
  <c r="LI333" i="24" s="1"/>
  <c r="LJ333" i="24" s="1"/>
  <c r="LK333" i="24" s="1"/>
  <c r="LL333" i="24" s="1"/>
  <c r="LM333" i="24" s="1"/>
  <c r="LN333" i="24" s="1"/>
  <c r="LO333" i="24" s="1"/>
  <c r="LP333" i="24" s="1"/>
  <c r="LQ333" i="24" s="1"/>
  <c r="LR333" i="24" s="1"/>
  <c r="LS333" i="24" s="1"/>
  <c r="LT333" i="24" s="1"/>
  <c r="LU333" i="24" s="1"/>
  <c r="LV333" i="24" s="1"/>
  <c r="LW333" i="24" s="1"/>
  <c r="LX333" i="24" s="1"/>
  <c r="LY333" i="24" s="1"/>
  <c r="LZ333" i="24" s="1"/>
  <c r="MA333" i="24" s="1"/>
  <c r="MB333" i="24" s="1"/>
  <c r="MC333" i="24" s="1"/>
  <c r="MD333" i="24" s="1"/>
  <c r="ME333" i="24" s="1"/>
  <c r="MF333" i="24" s="1"/>
  <c r="MG333" i="24" s="1"/>
  <c r="MH333" i="24" s="1"/>
  <c r="MI333" i="24" s="1"/>
  <c r="MJ333" i="24" s="1"/>
  <c r="MK333" i="24" s="1"/>
  <c r="ML333" i="24" s="1"/>
  <c r="MM333" i="24" s="1"/>
  <c r="MN333" i="24" s="1"/>
  <c r="MO333" i="24" s="1"/>
  <c r="MP333" i="24" s="1"/>
  <c r="MQ333" i="24" s="1"/>
  <c r="MR333" i="24" s="1"/>
  <c r="MS333" i="24" s="1"/>
  <c r="MT333" i="24" s="1"/>
  <c r="MU333" i="24" s="1"/>
  <c r="MV333" i="24" s="1"/>
  <c r="MW333" i="24" s="1"/>
  <c r="MX333" i="24" s="1"/>
  <c r="MY333" i="24" s="1"/>
  <c r="MZ333" i="24" s="1"/>
  <c r="NA333" i="24" s="1"/>
  <c r="NB333" i="24" s="1"/>
  <c r="NC333" i="24" s="1"/>
  <c r="ND333" i="24" s="1"/>
  <c r="NE333" i="24" s="1"/>
  <c r="NF333" i="24" s="1"/>
  <c r="NG333" i="24" s="1"/>
  <c r="NH333" i="24" s="1"/>
  <c r="NI333" i="24" s="1"/>
  <c r="NJ333" i="24" s="1"/>
  <c r="NK333" i="24" s="1"/>
  <c r="NL333" i="24" s="1"/>
  <c r="NM333" i="24" s="1"/>
  <c r="NN333" i="24" s="1"/>
  <c r="NO333" i="24" s="1"/>
  <c r="NP333" i="24" s="1"/>
  <c r="NQ333" i="24" s="1"/>
  <c r="NR333" i="24" s="1"/>
  <c r="NS333" i="24" s="1"/>
  <c r="NT333" i="24" s="1"/>
  <c r="NU333" i="24" s="1"/>
  <c r="NV333" i="24" s="1"/>
  <c r="NW333" i="24" s="1"/>
  <c r="NX333" i="24" s="1"/>
  <c r="NY333" i="24" s="1"/>
  <c r="NZ333" i="24" s="1"/>
  <c r="OA333" i="24" s="1"/>
  <c r="OB333" i="24" s="1"/>
  <c r="OC333" i="24" s="1"/>
  <c r="OD333" i="24" s="1"/>
  <c r="OE333" i="24" s="1"/>
  <c r="OF333" i="24" s="1"/>
  <c r="OG333" i="24" s="1"/>
  <c r="OH333" i="24" s="1"/>
  <c r="OI333" i="24" s="1"/>
  <c r="OJ333" i="24" s="1"/>
  <c r="OK333" i="24" s="1"/>
  <c r="OL333" i="24" s="1"/>
  <c r="OM333" i="24" s="1"/>
  <c r="ON333" i="24" s="1"/>
  <c r="OO333" i="24" s="1"/>
  <c r="OP333" i="24" s="1"/>
  <c r="OQ333" i="24" s="1"/>
  <c r="OR333" i="24" s="1"/>
  <c r="OS333" i="24" s="1"/>
  <c r="OT333" i="24" s="1"/>
  <c r="OU333" i="24" s="1"/>
  <c r="OV333" i="24" s="1"/>
  <c r="OW333" i="24" s="1"/>
  <c r="OX333" i="24" s="1"/>
  <c r="OY333" i="24" s="1"/>
  <c r="OZ333" i="24" s="1"/>
  <c r="PA333" i="24" s="1"/>
  <c r="PB333" i="24" s="1"/>
  <c r="PC333" i="24" s="1"/>
  <c r="PD333" i="24" s="1"/>
  <c r="PE333" i="24" s="1"/>
  <c r="PF333" i="24" s="1"/>
  <c r="PG333" i="24" s="1"/>
  <c r="PH333" i="24" s="1"/>
  <c r="PI333" i="24" s="1"/>
  <c r="PJ333" i="24" s="1"/>
  <c r="PK333" i="24" s="1"/>
  <c r="PL333" i="24" s="1"/>
  <c r="PM333" i="24" s="1"/>
  <c r="PN333" i="24" s="1"/>
  <c r="PO333" i="24" s="1"/>
  <c r="PP333" i="24" s="1"/>
  <c r="PQ333" i="24" s="1"/>
  <c r="PR333" i="24" s="1"/>
  <c r="PS333" i="24" s="1"/>
  <c r="PT333" i="24" s="1"/>
  <c r="PU333" i="24" s="1"/>
  <c r="PV333" i="24" s="1"/>
  <c r="PW333" i="24" s="1"/>
  <c r="PX333" i="24" s="1"/>
  <c r="PY333" i="24" s="1"/>
  <c r="PZ333" i="24" s="1"/>
  <c r="QA333" i="24" s="1"/>
  <c r="QB333" i="24" s="1"/>
  <c r="QC333" i="24" s="1"/>
  <c r="QD333" i="24" s="1"/>
  <c r="QE333" i="24" s="1"/>
  <c r="QF333" i="24" s="1"/>
  <c r="QG333" i="24" s="1"/>
  <c r="QH333" i="24" s="1"/>
  <c r="QI333" i="24" s="1"/>
  <c r="QJ333" i="24" s="1"/>
  <c r="QK333" i="24" s="1"/>
  <c r="QL333" i="24" s="1"/>
  <c r="QM333" i="24" s="1"/>
  <c r="QN333" i="24" s="1"/>
  <c r="QO333" i="24" s="1"/>
  <c r="QP333" i="24" s="1"/>
  <c r="QQ333" i="24" s="1"/>
  <c r="QR333" i="24" s="1"/>
  <c r="QS333" i="24" s="1"/>
  <c r="QT333" i="24" s="1"/>
  <c r="QU333" i="24" s="1"/>
  <c r="QV333" i="24" s="1"/>
  <c r="QW333" i="24" s="1"/>
  <c r="QX333" i="24" s="1"/>
  <c r="QY333" i="24" s="1"/>
  <c r="QZ333" i="24" s="1"/>
  <c r="RA333" i="24" s="1"/>
  <c r="RB333" i="24" s="1"/>
  <c r="RC333" i="24" s="1"/>
  <c r="RD333" i="24" s="1"/>
  <c r="RE333" i="24" s="1"/>
  <c r="RF333" i="24" s="1"/>
  <c r="RG333" i="24" s="1"/>
  <c r="RH333" i="24" s="1"/>
  <c r="RI333" i="24" s="1"/>
  <c r="RJ333" i="24" s="1"/>
  <c r="RK333" i="24" s="1"/>
  <c r="RL333" i="24" s="1"/>
  <c r="RM333" i="24" s="1"/>
  <c r="RN333" i="24" s="1"/>
  <c r="RO333" i="24" s="1"/>
  <c r="RP333" i="24" s="1"/>
  <c r="RQ333" i="24" s="1"/>
  <c r="RR333" i="24" s="1"/>
  <c r="RS333" i="24" s="1"/>
  <c r="RT333" i="24" s="1"/>
  <c r="RU333" i="24" s="1"/>
  <c r="RV333" i="24" s="1"/>
  <c r="RW333" i="24" s="1"/>
  <c r="RX333" i="24" s="1"/>
  <c r="RY333" i="24" s="1"/>
  <c r="RZ333" i="24" s="1"/>
  <c r="SA333" i="24" s="1"/>
  <c r="SB333" i="24" s="1"/>
  <c r="SC333" i="24" s="1"/>
  <c r="SD333" i="24" s="1"/>
  <c r="SE333" i="24" s="1"/>
  <c r="SF333" i="24" s="1"/>
  <c r="SG333" i="24" s="1"/>
  <c r="SH333" i="24" s="1"/>
  <c r="SI333" i="24" s="1"/>
  <c r="SJ333" i="24" s="1"/>
  <c r="SK333" i="24" s="1"/>
  <c r="SL333" i="24" s="1"/>
  <c r="SM333" i="24" s="1"/>
  <c r="SN333" i="24" s="1"/>
  <c r="SO333" i="24" s="1"/>
  <c r="SP333" i="24" s="1"/>
  <c r="SQ333" i="24" s="1"/>
  <c r="SR333" i="24" s="1"/>
  <c r="SS333" i="24" s="1"/>
  <c r="ST333" i="24" s="1"/>
  <c r="SU333" i="24" s="1"/>
  <c r="SV333" i="24" s="1"/>
  <c r="SW333" i="24" s="1"/>
  <c r="SX333" i="24" s="1"/>
  <c r="SY333" i="24" s="1"/>
  <c r="SZ333" i="24" s="1"/>
  <c r="TA333" i="24" s="1"/>
  <c r="TB333" i="24" s="1"/>
  <c r="TC333" i="24" s="1"/>
  <c r="TD333" i="24" s="1"/>
  <c r="TE333" i="24" s="1"/>
  <c r="TF333" i="24" s="1"/>
  <c r="TG333" i="24" s="1"/>
  <c r="TH333" i="24" s="1"/>
  <c r="TI333" i="24" s="1"/>
  <c r="TJ333" i="24" s="1"/>
  <c r="TK333" i="24" s="1"/>
  <c r="TL333" i="24" s="1"/>
  <c r="TM333" i="24" s="1"/>
  <c r="TN333" i="24" s="1"/>
  <c r="TO333" i="24" s="1"/>
  <c r="TP333" i="24" s="1"/>
  <c r="TQ333" i="24" s="1"/>
  <c r="TR333" i="24" s="1"/>
  <c r="TS333" i="24" s="1"/>
  <c r="TT333" i="24" s="1"/>
  <c r="TU333" i="24" s="1"/>
  <c r="TV333" i="24" s="1"/>
  <c r="TW333" i="24" s="1"/>
  <c r="TX333" i="24" s="1"/>
  <c r="TY333" i="24" s="1"/>
  <c r="TZ333" i="24" s="1"/>
  <c r="UA333" i="24" s="1"/>
  <c r="UB333" i="24" s="1"/>
  <c r="UC333" i="24" s="1"/>
  <c r="UD333" i="24" s="1"/>
  <c r="UE333" i="24" s="1"/>
  <c r="UF333" i="24" s="1"/>
  <c r="UG333" i="24" s="1"/>
  <c r="UH333" i="24" s="1"/>
  <c r="UI333" i="24" s="1"/>
  <c r="UJ333" i="24" s="1"/>
  <c r="UK333" i="24" s="1"/>
  <c r="UL333" i="24" s="1"/>
  <c r="UM333" i="24" s="1"/>
  <c r="UN333" i="24" s="1"/>
  <c r="UO333" i="24" s="1"/>
  <c r="UP333" i="24" s="1"/>
  <c r="UQ333" i="24" s="1"/>
  <c r="UR333" i="24" s="1"/>
  <c r="US333" i="24" s="1"/>
  <c r="UT333" i="24" s="1"/>
  <c r="UU333" i="24" s="1"/>
  <c r="UV333" i="24" s="1"/>
  <c r="UW333" i="24" s="1"/>
  <c r="UX333" i="24" s="1"/>
  <c r="UY333" i="24" s="1"/>
  <c r="UZ333" i="24" s="1"/>
  <c r="VA333" i="24" s="1"/>
  <c r="VB333" i="24" s="1"/>
  <c r="VC333" i="24" s="1"/>
  <c r="VD333" i="24" s="1"/>
  <c r="VE333" i="24" s="1"/>
  <c r="VF333" i="24" s="1"/>
  <c r="VG333" i="24" s="1"/>
  <c r="VH333" i="24" s="1"/>
  <c r="VI333" i="24" s="1"/>
  <c r="VJ333" i="24" s="1"/>
  <c r="VK333" i="24" s="1"/>
  <c r="VL333" i="24" s="1"/>
  <c r="VM333" i="24" s="1"/>
  <c r="VN333" i="24" s="1"/>
  <c r="VO333" i="24" s="1"/>
  <c r="VP333" i="24" s="1"/>
  <c r="VQ333" i="24" s="1"/>
  <c r="VR333" i="24" s="1"/>
  <c r="VS333" i="24" s="1"/>
  <c r="VT333" i="24" s="1"/>
  <c r="VU333" i="24" s="1"/>
  <c r="VV333" i="24" s="1"/>
  <c r="VW333" i="24" s="1"/>
  <c r="VX333" i="24" s="1"/>
  <c r="VY333" i="24" s="1"/>
  <c r="VZ333" i="24" s="1"/>
  <c r="WA333" i="24" s="1"/>
  <c r="WB333" i="24" s="1"/>
  <c r="WC333" i="24" s="1"/>
  <c r="WD333" i="24" s="1"/>
  <c r="WE333" i="24" s="1"/>
  <c r="WF333" i="24" s="1"/>
  <c r="WG333" i="24" s="1"/>
  <c r="WH333" i="24" s="1"/>
  <c r="WI333" i="24" s="1"/>
  <c r="WJ333" i="24" s="1"/>
  <c r="WK333" i="24" s="1"/>
  <c r="WL333" i="24" s="1"/>
  <c r="WM333" i="24" s="1"/>
  <c r="WN333" i="24" s="1"/>
  <c r="WO333" i="24" s="1"/>
  <c r="WP333" i="24" s="1"/>
  <c r="WQ333" i="24" s="1"/>
  <c r="WR333" i="24" s="1"/>
  <c r="WS333" i="24" s="1"/>
  <c r="WT333" i="24" s="1"/>
  <c r="WU333" i="24" s="1"/>
  <c r="WV333" i="24" s="1"/>
  <c r="WW333" i="24" s="1"/>
  <c r="WX333" i="24" s="1"/>
  <c r="WY333" i="24" s="1"/>
  <c r="WZ333" i="24" s="1"/>
  <c r="XA333" i="24" s="1"/>
  <c r="XB333" i="24" s="1"/>
  <c r="XC333" i="24" s="1"/>
  <c r="XD333" i="24" s="1"/>
  <c r="XE333" i="24" s="1"/>
  <c r="XF333" i="24" s="1"/>
  <c r="XG333" i="24" s="1"/>
  <c r="XH333" i="24" s="1"/>
  <c r="XI333" i="24" s="1"/>
  <c r="XJ333" i="24" s="1"/>
  <c r="XK333" i="24" s="1"/>
  <c r="XL333" i="24" s="1"/>
  <c r="XM333" i="24" s="1"/>
  <c r="XN333" i="24" s="1"/>
  <c r="XO333" i="24" s="1"/>
  <c r="XP333" i="24" s="1"/>
  <c r="XQ333" i="24" s="1"/>
  <c r="XR333" i="24" s="1"/>
  <c r="XS333" i="24" s="1"/>
  <c r="XT333" i="24" s="1"/>
  <c r="XU333" i="24" s="1"/>
  <c r="XV333" i="24" s="1"/>
  <c r="XW333" i="24" s="1"/>
  <c r="XX333" i="24" s="1"/>
  <c r="XY333" i="24" s="1"/>
  <c r="XZ333" i="24" s="1"/>
  <c r="YA333" i="24" s="1"/>
  <c r="YB333" i="24" s="1"/>
  <c r="YC333" i="24" s="1"/>
  <c r="YD333" i="24" s="1"/>
  <c r="YE333" i="24" s="1"/>
  <c r="YF333" i="24" s="1"/>
  <c r="YG333" i="24" s="1"/>
  <c r="YH333" i="24" s="1"/>
  <c r="YI333" i="24" s="1"/>
  <c r="YJ333" i="24" s="1"/>
  <c r="YK333" i="24" s="1"/>
  <c r="YL333" i="24" s="1"/>
  <c r="YM333" i="24" s="1"/>
  <c r="YN333" i="24" s="1"/>
  <c r="YO333" i="24" s="1"/>
  <c r="YP333" i="24" s="1"/>
  <c r="YQ333" i="24" s="1"/>
  <c r="YR333" i="24" s="1"/>
  <c r="YS333" i="24" s="1"/>
  <c r="YT333" i="24" s="1"/>
  <c r="YU333" i="24" s="1"/>
  <c r="YV333" i="24" s="1"/>
  <c r="YW333" i="24" s="1"/>
  <c r="YX333" i="24" s="1"/>
  <c r="YY333" i="24" s="1"/>
  <c r="YZ333" i="24" s="1"/>
  <c r="ZA333" i="24" s="1"/>
  <c r="ZB333" i="24" s="1"/>
  <c r="ZC333" i="24" s="1"/>
  <c r="ZD333" i="24" s="1"/>
  <c r="ZE333" i="24" s="1"/>
  <c r="ZF333" i="24" s="1"/>
  <c r="ZG333" i="24" s="1"/>
  <c r="ZH333" i="24" s="1"/>
  <c r="ZI333" i="24" s="1"/>
  <c r="ZJ333" i="24" s="1"/>
  <c r="ZK333" i="24" s="1"/>
  <c r="ZL333" i="24" s="1"/>
  <c r="ZM333" i="24" s="1"/>
  <c r="ZN333" i="24" s="1"/>
  <c r="ZO333" i="24" s="1"/>
  <c r="ZP333" i="24" s="1"/>
  <c r="ZQ333" i="24" s="1"/>
  <c r="ZR333" i="24" s="1"/>
  <c r="ZS333" i="24" s="1"/>
  <c r="ZT333" i="24" s="1"/>
  <c r="ZU333" i="24" s="1"/>
  <c r="ZV333" i="24" s="1"/>
  <c r="ZW333" i="24" s="1"/>
  <c r="ZX333" i="24" s="1"/>
  <c r="ZY333" i="24" s="1"/>
  <c r="ZZ333" i="24" s="1"/>
  <c r="AAA333" i="24" s="1"/>
  <c r="AAB333" i="24" s="1"/>
  <c r="AAC333" i="24" s="1"/>
  <c r="AAD333" i="24" s="1"/>
  <c r="AAE333" i="24" s="1"/>
  <c r="AAF333" i="24" s="1"/>
  <c r="AAG333" i="24" s="1"/>
  <c r="AAH333" i="24" s="1"/>
  <c r="AAI333" i="24" s="1"/>
  <c r="AAJ333" i="24" s="1"/>
  <c r="AN13" i="61" l="1"/>
  <c r="AN14" i="61"/>
  <c r="AN15" i="61"/>
  <c r="AN16" i="61"/>
  <c r="AN17" i="61"/>
  <c r="AN18" i="61"/>
  <c r="AC13" i="61"/>
  <c r="AC14" i="61"/>
  <c r="AC15" i="61"/>
  <c r="AC16" i="61"/>
  <c r="AC17" i="61"/>
  <c r="AC18" i="61"/>
  <c r="AM13" i="61"/>
  <c r="AM14" i="61"/>
  <c r="AM15" i="61"/>
  <c r="AM16" i="61"/>
  <c r="AM17" i="61"/>
  <c r="AM18" i="61"/>
  <c r="AB13" i="61"/>
  <c r="AB14" i="61"/>
  <c r="AB15" i="61"/>
  <c r="AB16" i="61"/>
  <c r="AB17" i="61"/>
  <c r="AB18" i="61"/>
  <c r="S16" i="61"/>
  <c r="S14" i="61"/>
  <c r="S18" i="61"/>
  <c r="S17" i="61"/>
  <c r="S13" i="61"/>
  <c r="S15" i="61"/>
  <c r="AL13" i="61"/>
  <c r="AL14" i="61"/>
  <c r="AL15" i="61"/>
  <c r="AL16" i="61"/>
  <c r="AL17" i="61"/>
  <c r="AL18" i="61"/>
  <c r="AA13" i="61"/>
  <c r="AA14" i="61"/>
  <c r="AA15" i="61"/>
  <c r="AA16" i="61"/>
  <c r="AA17" i="61"/>
  <c r="AA18" i="61"/>
  <c r="AD15" i="61"/>
  <c r="AD18" i="61"/>
  <c r="AD14" i="61"/>
  <c r="AD16" i="61"/>
  <c r="AD13" i="61"/>
  <c r="AD17" i="61"/>
  <c r="O14" i="61"/>
  <c r="O15" i="61"/>
  <c r="O16" i="61"/>
  <c r="O17" i="61"/>
  <c r="O18" i="61"/>
  <c r="AK14" i="61"/>
  <c r="AK15" i="61"/>
  <c r="AK16" i="61"/>
  <c r="AK17" i="61"/>
  <c r="AK18" i="61"/>
  <c r="AK13" i="61"/>
  <c r="Z14" i="61"/>
  <c r="Z15" i="61"/>
  <c r="Z16" i="61"/>
  <c r="Z17" i="61"/>
  <c r="Z18" i="61"/>
  <c r="Z13" i="61"/>
  <c r="AR15" i="61"/>
  <c r="AR16" i="61"/>
  <c r="AR18" i="61"/>
  <c r="AR14" i="61"/>
  <c r="AR13" i="61"/>
  <c r="AR17" i="61"/>
  <c r="AG14" i="61"/>
  <c r="AG16" i="61"/>
  <c r="AG15" i="61"/>
  <c r="AG17" i="61"/>
  <c r="AG13" i="61"/>
  <c r="AG18" i="61"/>
  <c r="AO17" i="61"/>
  <c r="AO16" i="61"/>
  <c r="AO15" i="61"/>
  <c r="AO13" i="61"/>
  <c r="AO14" i="61"/>
  <c r="AO18" i="61"/>
  <c r="AQ13" i="61"/>
  <c r="AQ14" i="61"/>
  <c r="AQ15" i="61"/>
  <c r="AQ16" i="61"/>
  <c r="AQ17" i="61"/>
  <c r="AQ18" i="61"/>
  <c r="AF16" i="61"/>
  <c r="AF17" i="61"/>
  <c r="AF15" i="61"/>
  <c r="AF18" i="61"/>
  <c r="AF13" i="61"/>
  <c r="AF14" i="61"/>
  <c r="AP13" i="61"/>
  <c r="AP14" i="61"/>
  <c r="AP15" i="61"/>
  <c r="AP16" i="61"/>
  <c r="AP17" i="61"/>
  <c r="AP18" i="61"/>
  <c r="AE13" i="61"/>
  <c r="AE14" i="61"/>
  <c r="AE15" i="61"/>
  <c r="AE16" i="61"/>
  <c r="AE17" i="61"/>
  <c r="AE18" i="61"/>
  <c r="E15" i="61"/>
  <c r="O13" i="61"/>
  <c r="E16" i="61"/>
  <c r="E14" i="61"/>
  <c r="F13" i="61"/>
  <c r="E18" i="61"/>
  <c r="E17" i="61"/>
  <c r="G13" i="61"/>
  <c r="F18" i="61"/>
  <c r="F17" i="61"/>
  <c r="F16" i="61"/>
  <c r="F15" i="61"/>
  <c r="D18" i="61"/>
  <c r="D17" i="61"/>
  <c r="D16" i="61"/>
  <c r="D15" i="61"/>
  <c r="D14" i="61"/>
  <c r="K18" i="61"/>
  <c r="K17" i="61"/>
  <c r="K16" i="61"/>
  <c r="K15" i="61"/>
  <c r="K14" i="61"/>
  <c r="J18" i="61"/>
  <c r="J17" i="61"/>
  <c r="J16" i="61"/>
  <c r="J15" i="61"/>
  <c r="J14" i="61"/>
  <c r="I18" i="61"/>
  <c r="I17" i="61"/>
  <c r="I16" i="61"/>
  <c r="I15" i="61"/>
  <c r="I14" i="61"/>
  <c r="H18" i="61"/>
  <c r="H17" i="61"/>
  <c r="H16" i="61"/>
  <c r="H15" i="61"/>
  <c r="H14" i="61"/>
  <c r="G18" i="61"/>
  <c r="G17" i="61"/>
  <c r="G16" i="61"/>
  <c r="G15" i="61"/>
  <c r="I365" i="24" a="1"/>
  <c r="I365" i="24" s="1"/>
  <c r="L365" i="24" a="1"/>
  <c r="L365" i="24" s="1"/>
  <c r="K365" i="24" a="1"/>
  <c r="K365" i="24" s="1"/>
  <c r="J365" i="24" a="1"/>
  <c r="J365" i="24" s="1"/>
  <c r="I49" i="24" l="1"/>
  <c r="J49" i="24" s="1"/>
  <c r="K49" i="24" s="1"/>
  <c r="L49" i="24" s="1"/>
  <c r="M49" i="24" s="1"/>
  <c r="N49" i="24" l="1"/>
  <c r="O49" i="24" s="1"/>
  <c r="P49" i="24" s="1"/>
  <c r="AW98" i="24" l="1"/>
  <c r="AV98" i="24"/>
  <c r="AU98" i="24"/>
  <c r="AT98" i="24"/>
  <c r="AW89" i="24"/>
  <c r="AV89" i="24"/>
  <c r="AU89" i="24"/>
  <c r="AT89" i="24"/>
  <c r="AS89" i="24"/>
  <c r="AR89" i="24"/>
  <c r="AQ89" i="24"/>
  <c r="BA89" i="24"/>
  <c r="AZ89" i="24"/>
  <c r="AY89" i="24"/>
  <c r="AX89" i="24"/>
  <c r="AP89" i="24"/>
  <c r="AO89" i="24"/>
  <c r="AN89" i="24"/>
  <c r="AM89" i="24"/>
  <c r="AW304" i="107" l="1"/>
  <c r="AK304" i="107"/>
  <c r="Y304" i="107"/>
  <c r="M304" i="107"/>
  <c r="J304" i="107"/>
  <c r="M263" i="107"/>
  <c r="J263" i="107"/>
  <c r="AW242" i="107"/>
  <c r="AK242" i="107"/>
  <c r="Y242" i="107"/>
  <c r="M242" i="107"/>
  <c r="J242" i="107"/>
  <c r="AW235" i="107"/>
  <c r="AK235" i="107"/>
  <c r="Y235" i="107"/>
  <c r="M235" i="107"/>
  <c r="J235" i="107"/>
  <c r="AW222" i="107"/>
  <c r="AK222" i="107"/>
  <c r="Y222" i="107"/>
  <c r="W222" i="107"/>
  <c r="V222" i="107"/>
  <c r="U222" i="107"/>
  <c r="T222" i="107"/>
  <c r="S222" i="107"/>
  <c r="R222" i="107"/>
  <c r="Q222" i="107"/>
  <c r="P222" i="107"/>
  <c r="O222" i="107"/>
  <c r="M222" i="107"/>
  <c r="J222" i="107"/>
  <c r="AW210" i="107"/>
  <c r="AK210" i="107"/>
  <c r="Y210" i="107"/>
  <c r="W210" i="107"/>
  <c r="Q210" i="107"/>
  <c r="P210" i="107"/>
  <c r="O210" i="107"/>
  <c r="M210" i="107"/>
  <c r="J210" i="107"/>
  <c r="BG204" i="107"/>
  <c r="BF204" i="107"/>
  <c r="BE204" i="107"/>
  <c r="BD204" i="107"/>
  <c r="BC204" i="107"/>
  <c r="BB204" i="107"/>
  <c r="BA204" i="107"/>
  <c r="AZ204" i="107"/>
  <c r="AY204" i="107"/>
  <c r="AU204" i="107"/>
  <c r="AT204" i="107"/>
  <c r="AS204" i="107"/>
  <c r="AR204" i="107"/>
  <c r="AQ204" i="107"/>
  <c r="AP204" i="107"/>
  <c r="AO204" i="107"/>
  <c r="AN204" i="107"/>
  <c r="AM204" i="107"/>
  <c r="AI204" i="107"/>
  <c r="AH204" i="107"/>
  <c r="AG204" i="107"/>
  <c r="AF204" i="107"/>
  <c r="AE204" i="107"/>
  <c r="AD204" i="107"/>
  <c r="AC204" i="107"/>
  <c r="AB204" i="107"/>
  <c r="AA204" i="107"/>
  <c r="W204" i="107"/>
  <c r="V204" i="107"/>
  <c r="U204" i="107"/>
  <c r="T204" i="107"/>
  <c r="S204" i="107"/>
  <c r="R204" i="107"/>
  <c r="Q204" i="107"/>
  <c r="P204" i="107"/>
  <c r="O204" i="107"/>
  <c r="AW198" i="107"/>
  <c r="AK198" i="107"/>
  <c r="Y198" i="107"/>
  <c r="W198" i="107"/>
  <c r="V198" i="107"/>
  <c r="U198" i="107"/>
  <c r="T198" i="107"/>
  <c r="S198" i="107"/>
  <c r="R198" i="107"/>
  <c r="Q198" i="107"/>
  <c r="P198" i="107"/>
  <c r="O198" i="107"/>
  <c r="M198" i="107"/>
  <c r="J198" i="107"/>
  <c r="H191" i="107"/>
  <c r="H190" i="107"/>
  <c r="H189" i="107"/>
  <c r="AW187" i="107"/>
  <c r="AK187" i="107"/>
  <c r="Y187" i="107"/>
  <c r="W187" i="107"/>
  <c r="V187" i="107"/>
  <c r="U187" i="107"/>
  <c r="T187" i="107"/>
  <c r="S187" i="107"/>
  <c r="R187" i="107"/>
  <c r="Q187" i="107"/>
  <c r="P187" i="107"/>
  <c r="O187" i="107"/>
  <c r="M187" i="107"/>
  <c r="W168" i="107"/>
  <c r="V168" i="107"/>
  <c r="U168" i="107"/>
  <c r="T168" i="107"/>
  <c r="S168" i="107"/>
  <c r="R168" i="107"/>
  <c r="Q168" i="107"/>
  <c r="P168" i="107"/>
  <c r="O168" i="107"/>
  <c r="J168" i="107"/>
  <c r="BD161" i="107"/>
  <c r="AR161" i="107"/>
  <c r="AF161" i="107"/>
  <c r="T161" i="107"/>
  <c r="BA154" i="107"/>
  <c r="AZ154" i="107"/>
  <c r="AY154" i="107"/>
  <c r="AO154" i="107"/>
  <c r="AN154" i="107"/>
  <c r="AM154" i="107"/>
  <c r="AC154" i="107"/>
  <c r="AB154" i="107"/>
  <c r="AA154" i="107"/>
  <c r="Q154" i="107"/>
  <c r="P154" i="107"/>
  <c r="O154" i="107"/>
  <c r="V152" i="107"/>
  <c r="U152" i="107"/>
  <c r="T152" i="107"/>
  <c r="S152" i="107"/>
  <c r="R152" i="107"/>
  <c r="Q152" i="107"/>
  <c r="P152" i="107"/>
  <c r="O152" i="107"/>
  <c r="BA139" i="107"/>
  <c r="AZ139" i="107"/>
  <c r="AZ141" i="107" s="1"/>
  <c r="AY139" i="107"/>
  <c r="AO139" i="107"/>
  <c r="AN139" i="107"/>
  <c r="AN141" i="107" s="1"/>
  <c r="AM139" i="107"/>
  <c r="AC139" i="107"/>
  <c r="AB139" i="107"/>
  <c r="AB141" i="107" s="1"/>
  <c r="AA139" i="107"/>
  <c r="Q139" i="107"/>
  <c r="P139" i="107"/>
  <c r="P141" i="107" s="1"/>
  <c r="O139" i="107"/>
  <c r="BA132" i="107"/>
  <c r="AZ132" i="107"/>
  <c r="AY132" i="107"/>
  <c r="AO132" i="107"/>
  <c r="AN132" i="107"/>
  <c r="AM132" i="107"/>
  <c r="AC132" i="107"/>
  <c r="AB132" i="107"/>
  <c r="AA132" i="107"/>
  <c r="Q132" i="107"/>
  <c r="P132" i="107"/>
  <c r="O132" i="107"/>
  <c r="BA128" i="107"/>
  <c r="AZ128" i="107"/>
  <c r="AY128" i="107"/>
  <c r="AO128" i="107"/>
  <c r="AN128" i="107"/>
  <c r="AM128" i="107"/>
  <c r="AC128" i="107"/>
  <c r="AB128" i="107"/>
  <c r="AA128" i="107"/>
  <c r="Q128" i="107"/>
  <c r="P128" i="107"/>
  <c r="O128" i="107"/>
  <c r="BA127" i="107"/>
  <c r="AZ127" i="107"/>
  <c r="AY127" i="107"/>
  <c r="AO127" i="107"/>
  <c r="AN127" i="107"/>
  <c r="AM127" i="107"/>
  <c r="AC127" i="107"/>
  <c r="AB127" i="107"/>
  <c r="AA127" i="107"/>
  <c r="Q127" i="107"/>
  <c r="P127" i="107"/>
  <c r="O127" i="107"/>
  <c r="AZ115" i="107"/>
  <c r="AN115" i="107"/>
  <c r="AB115" i="107"/>
  <c r="P115" i="107"/>
  <c r="BA114" i="107"/>
  <c r="AY114" i="107"/>
  <c r="AO114" i="107"/>
  <c r="AM114" i="107"/>
  <c r="AC114" i="107"/>
  <c r="AA114" i="107"/>
  <c r="Q114" i="107"/>
  <c r="O114" i="107"/>
  <c r="BA111" i="107"/>
  <c r="AZ111" i="107"/>
  <c r="AY111" i="107"/>
  <c r="AO111" i="107"/>
  <c r="AN111" i="107"/>
  <c r="AM111" i="107"/>
  <c r="AC111" i="107"/>
  <c r="AB111" i="107"/>
  <c r="AA111" i="107"/>
  <c r="Q111" i="107"/>
  <c r="P111" i="107"/>
  <c r="O111" i="107"/>
  <c r="BA108" i="107"/>
  <c r="BA137" i="107" s="1"/>
  <c r="AZ108" i="107"/>
  <c r="AZ137" i="107" s="1"/>
  <c r="AY108" i="107"/>
  <c r="AY137" i="107" s="1"/>
  <c r="AO108" i="107"/>
  <c r="AO134" i="107" s="1"/>
  <c r="AN108" i="107"/>
  <c r="AN137" i="107" s="1"/>
  <c r="AM108" i="107"/>
  <c r="AM137" i="107" s="1"/>
  <c r="AC108" i="107"/>
  <c r="AC134" i="107" s="1"/>
  <c r="AB108" i="107"/>
  <c r="AB137" i="107" s="1"/>
  <c r="AA108" i="107"/>
  <c r="AA137" i="107" s="1"/>
  <c r="Q108" i="107"/>
  <c r="P108" i="107"/>
  <c r="O108" i="107"/>
  <c r="BA105" i="107"/>
  <c r="BA200" i="107" s="1"/>
  <c r="AZ105" i="107"/>
  <c r="AZ200" i="107" s="1"/>
  <c r="AY105" i="107"/>
  <c r="AY200" i="107" s="1"/>
  <c r="AO105" i="107"/>
  <c r="AO200" i="107" s="1"/>
  <c r="AN105" i="107"/>
  <c r="AN200" i="107" s="1"/>
  <c r="AM105" i="107"/>
  <c r="AM200" i="107" s="1"/>
  <c r="AC105" i="107"/>
  <c r="AC200" i="107" s="1"/>
  <c r="AB105" i="107"/>
  <c r="AB200" i="107" s="1"/>
  <c r="AA105" i="107"/>
  <c r="AA200" i="107" s="1"/>
  <c r="Q105" i="107"/>
  <c r="P105" i="107"/>
  <c r="O105" i="107"/>
  <c r="BA104" i="107"/>
  <c r="BA113" i="107" s="1"/>
  <c r="AZ104" i="107"/>
  <c r="AY104" i="107"/>
  <c r="AY113" i="107" s="1"/>
  <c r="AO104" i="107"/>
  <c r="AO113" i="107" s="1"/>
  <c r="AN104" i="107"/>
  <c r="AM104" i="107"/>
  <c r="AM113" i="107" s="1"/>
  <c r="AC104" i="107"/>
  <c r="AC113" i="107" s="1"/>
  <c r="AB104" i="107"/>
  <c r="AA104" i="107"/>
  <c r="AA113" i="107" s="1"/>
  <c r="Q104" i="107"/>
  <c r="Q113" i="107" s="1"/>
  <c r="P104" i="107"/>
  <c r="O104" i="107"/>
  <c r="O113" i="107" s="1"/>
  <c r="AW102" i="107"/>
  <c r="AK102" i="107"/>
  <c r="Y102" i="107"/>
  <c r="Q102" i="107"/>
  <c r="P102" i="107"/>
  <c r="O102" i="107"/>
  <c r="M102" i="107"/>
  <c r="J102" i="107"/>
  <c r="BA86" i="107"/>
  <c r="AZ86" i="107"/>
  <c r="AY86" i="107"/>
  <c r="AO86" i="107"/>
  <c r="AN86" i="107"/>
  <c r="AM86" i="107"/>
  <c r="AC86" i="107"/>
  <c r="AB86" i="107"/>
  <c r="AA86" i="107"/>
  <c r="Q86" i="107"/>
  <c r="O86" i="107"/>
  <c r="AZ84" i="107"/>
  <c r="AZ224" i="107" s="1"/>
  <c r="AN84" i="107"/>
  <c r="AN224" i="107" s="1"/>
  <c r="AB84" i="107"/>
  <c r="AB224" i="107" s="1"/>
  <c r="P84" i="107"/>
  <c r="E84" i="107"/>
  <c r="AW76" i="107"/>
  <c r="AK76" i="107"/>
  <c r="Y76" i="107"/>
  <c r="W76" i="107"/>
  <c r="V76" i="107"/>
  <c r="U76" i="107"/>
  <c r="T76" i="107"/>
  <c r="S76" i="107"/>
  <c r="R76" i="107"/>
  <c r="Q76" i="107"/>
  <c r="P76" i="107"/>
  <c r="O76" i="107"/>
  <c r="M76" i="107"/>
  <c r="J76" i="107"/>
  <c r="E71" i="107"/>
  <c r="E69" i="107"/>
  <c r="E68" i="107"/>
  <c r="E67" i="107"/>
  <c r="E66" i="107"/>
  <c r="E65" i="107"/>
  <c r="E64" i="107"/>
  <c r="E62" i="107"/>
  <c r="AW59" i="107"/>
  <c r="AK59" i="107"/>
  <c r="Y59" i="107"/>
  <c r="M59" i="107"/>
  <c r="J59" i="107"/>
  <c r="AW38" i="107"/>
  <c r="AK38" i="107"/>
  <c r="Y38" i="107"/>
  <c r="M38" i="107"/>
  <c r="AX29" i="107"/>
  <c r="BG24" i="107"/>
  <c r="BF24" i="107"/>
  <c r="BE24" i="107"/>
  <c r="BE56" i="107" s="1" a="1"/>
  <c r="BE56" i="107" s="1"/>
  <c r="BD24" i="107"/>
  <c r="BC24" i="107"/>
  <c r="BB24" i="107"/>
  <c r="BA24" i="107"/>
  <c r="AZ24" i="107"/>
  <c r="AY24" i="107"/>
  <c r="AU24" i="107"/>
  <c r="AT24" i="107"/>
  <c r="AS24" i="107"/>
  <c r="AR24" i="107"/>
  <c r="AQ24" i="107"/>
  <c r="AP24" i="107"/>
  <c r="AO24" i="107"/>
  <c r="AN24" i="107"/>
  <c r="AM24" i="107"/>
  <c r="AI24" i="107"/>
  <c r="AH24" i="107"/>
  <c r="AG24" i="107"/>
  <c r="AF24" i="107"/>
  <c r="AE24" i="107"/>
  <c r="AD24" i="107"/>
  <c r="AC24" i="107"/>
  <c r="AB24" i="107"/>
  <c r="AA24" i="107"/>
  <c r="W24" i="107"/>
  <c r="V24" i="107"/>
  <c r="V56" i="107" s="1" a="1"/>
  <c r="V56" i="107" s="1"/>
  <c r="U24" i="107"/>
  <c r="T24" i="107"/>
  <c r="S24" i="107"/>
  <c r="R24" i="107"/>
  <c r="Q24" i="107"/>
  <c r="P24" i="107"/>
  <c r="O24" i="107"/>
  <c r="BG20" i="107"/>
  <c r="BF20" i="107"/>
  <c r="BE20" i="107"/>
  <c r="BD20" i="107"/>
  <c r="BC20" i="107"/>
  <c r="BB20" i="107"/>
  <c r="BA20" i="107"/>
  <c r="AZ20" i="107"/>
  <c r="AY20" i="107"/>
  <c r="AU20" i="107"/>
  <c r="AT20" i="107"/>
  <c r="AS20" i="107"/>
  <c r="AR20" i="107"/>
  <c r="AQ20" i="107"/>
  <c r="AP20" i="107"/>
  <c r="AO20" i="107"/>
  <c r="AN20" i="107"/>
  <c r="AM20" i="107"/>
  <c r="AI20" i="107"/>
  <c r="AH20" i="107"/>
  <c r="AG20" i="107"/>
  <c r="AF20" i="107"/>
  <c r="AE20" i="107"/>
  <c r="AD20" i="107"/>
  <c r="AC20" i="107"/>
  <c r="AB20" i="107"/>
  <c r="AA20" i="107"/>
  <c r="W20" i="107"/>
  <c r="V20" i="107"/>
  <c r="U20" i="107"/>
  <c r="T20" i="107"/>
  <c r="S20" i="107"/>
  <c r="R20" i="107"/>
  <c r="Q20" i="107"/>
  <c r="P20" i="107"/>
  <c r="O20" i="107"/>
  <c r="BG19" i="107"/>
  <c r="BF19" i="107"/>
  <c r="BE19" i="107"/>
  <c r="BD19" i="107"/>
  <c r="BC19" i="107"/>
  <c r="BB19" i="107"/>
  <c r="BA19" i="107"/>
  <c r="AZ19" i="107"/>
  <c r="AY19" i="107"/>
  <c r="AU19" i="107"/>
  <c r="AU17" i="107" s="1"/>
  <c r="AT19" i="107"/>
  <c r="AS19" i="107"/>
  <c r="AR19" i="107"/>
  <c r="AQ19" i="107"/>
  <c r="AP19" i="107"/>
  <c r="AO19" i="107"/>
  <c r="AO17" i="107" s="1"/>
  <c r="AN19" i="107"/>
  <c r="AM19" i="107"/>
  <c r="AI19" i="107"/>
  <c r="AH19" i="107"/>
  <c r="AG19" i="107"/>
  <c r="AF19" i="107"/>
  <c r="AE19" i="107"/>
  <c r="AD19" i="107"/>
  <c r="AD17" i="107" s="1"/>
  <c r="AD38" i="107" s="1"/>
  <c r="AC19" i="107"/>
  <c r="AB19" i="107"/>
  <c r="AA19" i="107"/>
  <c r="W19" i="107"/>
  <c r="V19" i="107"/>
  <c r="V17" i="107" s="1"/>
  <c r="U19" i="107"/>
  <c r="T19" i="107"/>
  <c r="S19" i="107"/>
  <c r="S17" i="107" s="1"/>
  <c r="S59" i="107" s="1"/>
  <c r="R19" i="107"/>
  <c r="Q19" i="107"/>
  <c r="Q17" i="107" s="1"/>
  <c r="P19" i="107"/>
  <c r="P17" i="107" s="1"/>
  <c r="P59" i="107" s="1"/>
  <c r="O19" i="107"/>
  <c r="O17" i="107" s="1"/>
  <c r="O59" i="107" s="1"/>
  <c r="BG17" i="107"/>
  <c r="BF17" i="107"/>
  <c r="BF59" i="107" s="1"/>
  <c r="BA17" i="107"/>
  <c r="BA59" i="107" s="1"/>
  <c r="AZ17" i="107"/>
  <c r="AZ59" i="107" s="1"/>
  <c r="AY17" i="107"/>
  <c r="AW17" i="107"/>
  <c r="AN17" i="107"/>
  <c r="AN59" i="107" s="1"/>
  <c r="AM17" i="107"/>
  <c r="AM59" i="107" s="1"/>
  <c r="AK17" i="107"/>
  <c r="AC17" i="107"/>
  <c r="Y17" i="107"/>
  <c r="R17" i="107"/>
  <c r="M17" i="107"/>
  <c r="J17" i="107"/>
  <c r="BG10" i="107"/>
  <c r="BF10" i="107"/>
  <c r="BE10" i="107"/>
  <c r="BD10" i="107"/>
  <c r="BC10" i="107"/>
  <c r="BB10" i="107"/>
  <c r="BA10" i="107"/>
  <c r="AZ10" i="107"/>
  <c r="AY10" i="107"/>
  <c r="AU10" i="107"/>
  <c r="AT10" i="107"/>
  <c r="AS10" i="107"/>
  <c r="AR10" i="107"/>
  <c r="AQ10" i="107"/>
  <c r="AP10" i="107"/>
  <c r="AO10" i="107"/>
  <c r="AN10" i="107"/>
  <c r="AM10" i="107"/>
  <c r="AI10" i="107"/>
  <c r="AH10" i="107"/>
  <c r="AG10" i="107"/>
  <c r="AF10" i="107"/>
  <c r="AE10" i="107"/>
  <c r="AD10" i="107"/>
  <c r="AC10" i="107"/>
  <c r="AB10" i="107"/>
  <c r="AA10" i="107"/>
  <c r="H6" i="107"/>
  <c r="H5" i="107"/>
  <c r="G5" i="107"/>
  <c r="E3" i="107"/>
  <c r="E2" i="107"/>
  <c r="E1" i="107"/>
  <c r="AW304" i="106"/>
  <c r="AK304" i="106"/>
  <c r="Y304" i="106"/>
  <c r="M304" i="106"/>
  <c r="J304" i="106"/>
  <c r="M263" i="106"/>
  <c r="J263" i="106"/>
  <c r="AW242" i="106"/>
  <c r="AK242" i="106"/>
  <c r="Y242" i="106"/>
  <c r="M242" i="106"/>
  <c r="J242" i="106"/>
  <c r="AW235" i="106"/>
  <c r="AK235" i="106"/>
  <c r="Y235" i="106"/>
  <c r="M235" i="106"/>
  <c r="J235" i="106"/>
  <c r="AW222" i="106"/>
  <c r="AK222" i="106"/>
  <c r="Y222" i="106"/>
  <c r="W222" i="106"/>
  <c r="V222" i="106"/>
  <c r="U222" i="106"/>
  <c r="T222" i="106"/>
  <c r="S222" i="106"/>
  <c r="R222" i="106"/>
  <c r="Q222" i="106"/>
  <c r="P222" i="106"/>
  <c r="O222" i="106"/>
  <c r="M222" i="106"/>
  <c r="J222" i="106"/>
  <c r="AW210" i="106"/>
  <c r="AK210" i="106"/>
  <c r="Y210" i="106"/>
  <c r="W210" i="106"/>
  <c r="Q210" i="106"/>
  <c r="P210" i="106"/>
  <c r="O210" i="106"/>
  <c r="M210" i="106"/>
  <c r="J210" i="106"/>
  <c r="BG204" i="106"/>
  <c r="BF204" i="106"/>
  <c r="BE204" i="106"/>
  <c r="BD204" i="106"/>
  <c r="BC204" i="106"/>
  <c r="BB204" i="106"/>
  <c r="BA204" i="106"/>
  <c r="AZ204" i="106"/>
  <c r="AY204" i="106"/>
  <c r="AU204" i="106"/>
  <c r="AT204" i="106"/>
  <c r="AS204" i="106"/>
  <c r="AR204" i="106"/>
  <c r="AQ204" i="106"/>
  <c r="AP204" i="106"/>
  <c r="AO204" i="106"/>
  <c r="AN204" i="106"/>
  <c r="AM204" i="106"/>
  <c r="AI204" i="106"/>
  <c r="AH204" i="106"/>
  <c r="AG204" i="106"/>
  <c r="AF204" i="106"/>
  <c r="AE204" i="106"/>
  <c r="AD204" i="106"/>
  <c r="AC204" i="106"/>
  <c r="AB204" i="106"/>
  <c r="AA204" i="106"/>
  <c r="W204" i="106"/>
  <c r="V204" i="106"/>
  <c r="U204" i="106"/>
  <c r="T204" i="106"/>
  <c r="S204" i="106"/>
  <c r="R204" i="106"/>
  <c r="Q204" i="106"/>
  <c r="P204" i="106"/>
  <c r="O204" i="106"/>
  <c r="AW198" i="106"/>
  <c r="AK198" i="106"/>
  <c r="Y198" i="106"/>
  <c r="W198" i="106"/>
  <c r="V198" i="106"/>
  <c r="U198" i="106"/>
  <c r="T198" i="106"/>
  <c r="S198" i="106"/>
  <c r="R198" i="106"/>
  <c r="Q198" i="106"/>
  <c r="P198" i="106"/>
  <c r="O198" i="106"/>
  <c r="M198" i="106"/>
  <c r="J198" i="106"/>
  <c r="H191" i="106"/>
  <c r="H190" i="106"/>
  <c r="H189" i="106"/>
  <c r="AW187" i="106"/>
  <c r="AK187" i="106"/>
  <c r="Y187" i="106"/>
  <c r="W187" i="106"/>
  <c r="V187" i="106"/>
  <c r="U187" i="106"/>
  <c r="T187" i="106"/>
  <c r="S187" i="106"/>
  <c r="R187" i="106"/>
  <c r="Q187" i="106"/>
  <c r="P187" i="106"/>
  <c r="O187" i="106"/>
  <c r="M187" i="106"/>
  <c r="W168" i="106"/>
  <c r="V168" i="106"/>
  <c r="U168" i="106"/>
  <c r="T168" i="106"/>
  <c r="S168" i="106"/>
  <c r="R168" i="106"/>
  <c r="Q168" i="106"/>
  <c r="P168" i="106"/>
  <c r="O168" i="106"/>
  <c r="J168" i="106"/>
  <c r="BD161" i="106"/>
  <c r="AR161" i="106"/>
  <c r="AF161" i="106"/>
  <c r="T161" i="106"/>
  <c r="BA154" i="106"/>
  <c r="AZ154" i="106"/>
  <c r="AY154" i="106"/>
  <c r="AO154" i="106"/>
  <c r="AN154" i="106"/>
  <c r="AM154" i="106"/>
  <c r="AC154" i="106"/>
  <c r="AB154" i="106"/>
  <c r="AA154" i="106"/>
  <c r="Q154" i="106"/>
  <c r="P154" i="106"/>
  <c r="O154" i="106"/>
  <c r="V152" i="106"/>
  <c r="U152" i="106"/>
  <c r="T152" i="106"/>
  <c r="S152" i="106"/>
  <c r="R152" i="106"/>
  <c r="Q152" i="106"/>
  <c r="P152" i="106"/>
  <c r="O152" i="106"/>
  <c r="BA139" i="106"/>
  <c r="AZ139" i="106"/>
  <c r="AZ141" i="106" s="1"/>
  <c r="AY139" i="106"/>
  <c r="AO139" i="106"/>
  <c r="AN139" i="106"/>
  <c r="AN141" i="106" s="1"/>
  <c r="AM139" i="106"/>
  <c r="AC139" i="106"/>
  <c r="AB139" i="106"/>
  <c r="AB141" i="106" s="1"/>
  <c r="AA139" i="106"/>
  <c r="Q139" i="106"/>
  <c r="P139" i="106"/>
  <c r="P141" i="106" s="1"/>
  <c r="O139" i="106"/>
  <c r="BA132" i="106"/>
  <c r="AZ132" i="106"/>
  <c r="AY132" i="106"/>
  <c r="AO132" i="106"/>
  <c r="AN132" i="106"/>
  <c r="AM132" i="106"/>
  <c r="AC132" i="106"/>
  <c r="AB132" i="106"/>
  <c r="AA132" i="106"/>
  <c r="Q132" i="106"/>
  <c r="P132" i="106"/>
  <c r="O132" i="106"/>
  <c r="BA128" i="106"/>
  <c r="AZ128" i="106"/>
  <c r="AY128" i="106"/>
  <c r="AO128" i="106"/>
  <c r="AN128" i="106"/>
  <c r="AM128" i="106"/>
  <c r="AC128" i="106"/>
  <c r="AB128" i="106"/>
  <c r="AA128" i="106"/>
  <c r="Q128" i="106"/>
  <c r="P128" i="106"/>
  <c r="O128" i="106"/>
  <c r="BA127" i="106"/>
  <c r="AZ127" i="106"/>
  <c r="AY127" i="106"/>
  <c r="AO127" i="106"/>
  <c r="AN127" i="106"/>
  <c r="AM127" i="106"/>
  <c r="AC127" i="106"/>
  <c r="AB127" i="106"/>
  <c r="AA127" i="106"/>
  <c r="Q127" i="106"/>
  <c r="P127" i="106"/>
  <c r="O127" i="106"/>
  <c r="AZ115" i="106"/>
  <c r="AN115" i="106"/>
  <c r="AB115" i="106"/>
  <c r="P115" i="106"/>
  <c r="BA114" i="106"/>
  <c r="AY114" i="106"/>
  <c r="AO114" i="106"/>
  <c r="AM114" i="106"/>
  <c r="AC114" i="106"/>
  <c r="AA114" i="106"/>
  <c r="Q114" i="106"/>
  <c r="O114" i="106"/>
  <c r="BA111" i="106"/>
  <c r="AZ111" i="106"/>
  <c r="AY111" i="106"/>
  <c r="AO111" i="106"/>
  <c r="AN111" i="106"/>
  <c r="AM111" i="106"/>
  <c r="AC111" i="106"/>
  <c r="AB111" i="106"/>
  <c r="AA111" i="106"/>
  <c r="Q111" i="106"/>
  <c r="P111" i="106"/>
  <c r="O111" i="106"/>
  <c r="BA108" i="106"/>
  <c r="BA137" i="106" s="1"/>
  <c r="AZ108" i="106"/>
  <c r="AZ137" i="106" s="1"/>
  <c r="AY108" i="106"/>
  <c r="AY137" i="106" s="1"/>
  <c r="AO108" i="106"/>
  <c r="AO137" i="106" s="1"/>
  <c r="AN108" i="106"/>
  <c r="AN137" i="106" s="1"/>
  <c r="AM108" i="106"/>
  <c r="AM137" i="106" s="1"/>
  <c r="AC108" i="106"/>
  <c r="AC134" i="106" s="1"/>
  <c r="AB108" i="106"/>
  <c r="AB137" i="106" s="1"/>
  <c r="AA108" i="106"/>
  <c r="AA137" i="106" s="1"/>
  <c r="Q108" i="106"/>
  <c r="P108" i="106"/>
  <c r="O108" i="106"/>
  <c r="BA105" i="106"/>
  <c r="AZ105" i="106"/>
  <c r="AY105" i="106"/>
  <c r="AO105" i="106"/>
  <c r="AO200" i="106" s="1"/>
  <c r="AN105" i="106"/>
  <c r="AM105" i="106"/>
  <c r="AC105" i="106"/>
  <c r="AB105" i="106"/>
  <c r="AB200" i="106" s="1"/>
  <c r="AA105" i="106"/>
  <c r="Q105" i="106"/>
  <c r="P105" i="106"/>
  <c r="O105" i="106"/>
  <c r="BA104" i="106"/>
  <c r="BA113" i="106" s="1"/>
  <c r="AZ104" i="106"/>
  <c r="AY104" i="106"/>
  <c r="AY113" i="106" s="1"/>
  <c r="AO104" i="106"/>
  <c r="AO113" i="106" s="1"/>
  <c r="AN104" i="106"/>
  <c r="AM104" i="106"/>
  <c r="AM113" i="106" s="1"/>
  <c r="AC104" i="106"/>
  <c r="AC113" i="106" s="1"/>
  <c r="AB104" i="106"/>
  <c r="AA104" i="106"/>
  <c r="AA113" i="106" s="1"/>
  <c r="Q104" i="106"/>
  <c r="Q113" i="106" s="1"/>
  <c r="P104" i="106"/>
  <c r="O104" i="106"/>
  <c r="O113" i="106" s="1"/>
  <c r="AW102" i="106"/>
  <c r="AK102" i="106"/>
  <c r="Y102" i="106"/>
  <c r="Q102" i="106"/>
  <c r="P102" i="106"/>
  <c r="O102" i="106"/>
  <c r="M102" i="106"/>
  <c r="J102" i="106"/>
  <c r="BA86" i="106"/>
  <c r="AZ86" i="106"/>
  <c r="AY86" i="106"/>
  <c r="AO86" i="106"/>
  <c r="AN86" i="106"/>
  <c r="AM86" i="106"/>
  <c r="AC86" i="106"/>
  <c r="AB86" i="106"/>
  <c r="AA86" i="106"/>
  <c r="Q86" i="106"/>
  <c r="O86" i="106"/>
  <c r="AZ84" i="106"/>
  <c r="AZ224" i="106" s="1"/>
  <c r="AN84" i="106"/>
  <c r="AN224" i="106" s="1"/>
  <c r="AB84" i="106"/>
  <c r="AB224" i="106" s="1"/>
  <c r="P84" i="106"/>
  <c r="E84" i="106"/>
  <c r="AW76" i="106"/>
  <c r="AK76" i="106"/>
  <c r="Y76" i="106"/>
  <c r="W76" i="106"/>
  <c r="V76" i="106"/>
  <c r="U76" i="106"/>
  <c r="T76" i="106"/>
  <c r="S76" i="106"/>
  <c r="R76" i="106"/>
  <c r="Q76" i="106"/>
  <c r="P76" i="106"/>
  <c r="O76" i="106"/>
  <c r="M76" i="106"/>
  <c r="J76" i="106"/>
  <c r="E71" i="106"/>
  <c r="E69" i="106"/>
  <c r="E68" i="106"/>
  <c r="E67" i="106"/>
  <c r="E66" i="106"/>
  <c r="E65" i="106"/>
  <c r="E64" i="106"/>
  <c r="E62" i="106"/>
  <c r="AW59" i="106"/>
  <c r="AK59" i="106"/>
  <c r="Y59" i="106"/>
  <c r="M59" i="106"/>
  <c r="J59" i="106"/>
  <c r="AW38" i="106"/>
  <c r="AK38" i="106"/>
  <c r="Y38" i="106"/>
  <c r="M38" i="106"/>
  <c r="AX29" i="106"/>
  <c r="BG24" i="106"/>
  <c r="BF24" i="106"/>
  <c r="BE24" i="106"/>
  <c r="BD24" i="106"/>
  <c r="BC24" i="106"/>
  <c r="BB24" i="106"/>
  <c r="BA24" i="106"/>
  <c r="AZ24" i="106"/>
  <c r="AY24" i="106"/>
  <c r="AU24" i="106"/>
  <c r="AT24" i="106"/>
  <c r="AS24" i="106"/>
  <c r="AS56" i="106" s="1" a="1"/>
  <c r="AS56" i="106" s="1"/>
  <c r="AR24" i="106"/>
  <c r="AQ24" i="106"/>
  <c r="AP24" i="106"/>
  <c r="AO24" i="106"/>
  <c r="AO56" i="106" s="1" a="1"/>
  <c r="AO56" i="106" s="1"/>
  <c r="AN24" i="106"/>
  <c r="AM24" i="106"/>
  <c r="AI24" i="106"/>
  <c r="AH24" i="106"/>
  <c r="AG24" i="106"/>
  <c r="AF24" i="106"/>
  <c r="AE24" i="106"/>
  <c r="AD24" i="106"/>
  <c r="AC24" i="106"/>
  <c r="AB24" i="106"/>
  <c r="AA24" i="106"/>
  <c r="W24" i="106"/>
  <c r="V24" i="106"/>
  <c r="U24" i="106"/>
  <c r="U56" i="106" s="1" a="1"/>
  <c r="U56" i="106" s="1"/>
  <c r="T24" i="106"/>
  <c r="S24" i="106"/>
  <c r="R24" i="106"/>
  <c r="Q24" i="106"/>
  <c r="P24" i="106"/>
  <c r="O24" i="106"/>
  <c r="BG20" i="106"/>
  <c r="BF20" i="106"/>
  <c r="BE20" i="106"/>
  <c r="BD20" i="106"/>
  <c r="BC20" i="106"/>
  <c r="BB20" i="106"/>
  <c r="BA20" i="106"/>
  <c r="AZ20" i="106"/>
  <c r="AY20" i="106"/>
  <c r="AU20" i="106"/>
  <c r="AT20" i="106"/>
  <c r="AS20" i="106"/>
  <c r="AR20" i="106"/>
  <c r="AQ20" i="106"/>
  <c r="AP20" i="106"/>
  <c r="AO20" i="106"/>
  <c r="AN20" i="106"/>
  <c r="AM20" i="106"/>
  <c r="AI20" i="106"/>
  <c r="AH20" i="106"/>
  <c r="AG20" i="106"/>
  <c r="AF20" i="106"/>
  <c r="AE20" i="106"/>
  <c r="AD20" i="106"/>
  <c r="AC20" i="106"/>
  <c r="AB20" i="106"/>
  <c r="AA20" i="106"/>
  <c r="W20" i="106"/>
  <c r="V20" i="106"/>
  <c r="U20" i="106"/>
  <c r="T20" i="106"/>
  <c r="S20" i="106"/>
  <c r="R20" i="106"/>
  <c r="Q20" i="106"/>
  <c r="P20" i="106"/>
  <c r="O20" i="106"/>
  <c r="BG19" i="106"/>
  <c r="BF19" i="106"/>
  <c r="BE19" i="106"/>
  <c r="BD19" i="106"/>
  <c r="BC19" i="106"/>
  <c r="BB19" i="106"/>
  <c r="BB17" i="106" s="1"/>
  <c r="BA19" i="106"/>
  <c r="AZ19" i="106"/>
  <c r="AY19" i="106"/>
  <c r="AU19" i="106"/>
  <c r="AT19" i="106"/>
  <c r="AS19" i="106"/>
  <c r="AS17" i="106" s="1"/>
  <c r="AR19" i="106"/>
  <c r="AQ19" i="106"/>
  <c r="AQ17" i="106" s="1"/>
  <c r="AP19" i="106"/>
  <c r="AO19" i="106"/>
  <c r="AN19" i="106"/>
  <c r="AM19" i="106"/>
  <c r="AI19" i="106"/>
  <c r="AH19" i="106"/>
  <c r="AG19" i="106"/>
  <c r="AF19" i="106"/>
  <c r="AF17" i="106" s="1"/>
  <c r="AF59" i="106" s="1"/>
  <c r="AE19" i="106"/>
  <c r="AD19" i="106"/>
  <c r="AC19" i="106"/>
  <c r="AB19" i="106"/>
  <c r="AA19" i="106"/>
  <c r="W19" i="106"/>
  <c r="V19" i="106"/>
  <c r="U19" i="106"/>
  <c r="U17" i="106" s="1"/>
  <c r="T19" i="106"/>
  <c r="S19" i="106"/>
  <c r="S35" i="106" s="1"/>
  <c r="R19" i="106"/>
  <c r="R21" i="106" s="1"/>
  <c r="R289" i="106" s="1"/>
  <c r="Q19" i="106"/>
  <c r="Q17" i="106" s="1"/>
  <c r="P19" i="106"/>
  <c r="P21" i="106" s="1"/>
  <c r="P289" i="106" s="1"/>
  <c r="O19" i="106"/>
  <c r="O17" i="106" s="1"/>
  <c r="BF17" i="106"/>
  <c r="BC17" i="106"/>
  <c r="AW17" i="106"/>
  <c r="AU17" i="106"/>
  <c r="AM17" i="106"/>
  <c r="AK17" i="106"/>
  <c r="Y17" i="106"/>
  <c r="M17" i="106"/>
  <c r="J17" i="106"/>
  <c r="BG10" i="106"/>
  <c r="BF10" i="106"/>
  <c r="BE10" i="106"/>
  <c r="BD10" i="106"/>
  <c r="BC10" i="106"/>
  <c r="BB10" i="106"/>
  <c r="BA10" i="106"/>
  <c r="AZ10" i="106"/>
  <c r="AY10" i="106"/>
  <c r="AU10" i="106"/>
  <c r="AT10" i="106"/>
  <c r="AS10" i="106"/>
  <c r="AR10" i="106"/>
  <c r="AQ10" i="106"/>
  <c r="AP10" i="106"/>
  <c r="AO10" i="106"/>
  <c r="AN10" i="106"/>
  <c r="AM10" i="106"/>
  <c r="AI10" i="106"/>
  <c r="AH10" i="106"/>
  <c r="AG10" i="106"/>
  <c r="AF10" i="106"/>
  <c r="AE10" i="106"/>
  <c r="AD10" i="106"/>
  <c r="AC10" i="106"/>
  <c r="AB10" i="106"/>
  <c r="AA10" i="106"/>
  <c r="H6" i="106"/>
  <c r="H5" i="106"/>
  <c r="G5" i="106"/>
  <c r="E3" i="106"/>
  <c r="E2" i="106"/>
  <c r="E1" i="106"/>
  <c r="AW304" i="105"/>
  <c r="AK304" i="105"/>
  <c r="Y304" i="105"/>
  <c r="M304" i="105"/>
  <c r="J304" i="105"/>
  <c r="M263" i="105"/>
  <c r="J263" i="105"/>
  <c r="AW242" i="105"/>
  <c r="AK242" i="105"/>
  <c r="Y242" i="105"/>
  <c r="M242" i="105"/>
  <c r="J242" i="105"/>
  <c r="AW235" i="105"/>
  <c r="AK235" i="105"/>
  <c r="Y235" i="105"/>
  <c r="M235" i="105"/>
  <c r="J235" i="105"/>
  <c r="AW222" i="105"/>
  <c r="AK222" i="105"/>
  <c r="Y222" i="105"/>
  <c r="W222" i="105"/>
  <c r="V222" i="105"/>
  <c r="U222" i="105"/>
  <c r="T222" i="105"/>
  <c r="S222" i="105"/>
  <c r="R222" i="105"/>
  <c r="Q222" i="105"/>
  <c r="P222" i="105"/>
  <c r="O222" i="105"/>
  <c r="M222" i="105"/>
  <c r="J222" i="105"/>
  <c r="AW210" i="105"/>
  <c r="AK210" i="105"/>
  <c r="Y210" i="105"/>
  <c r="W210" i="105"/>
  <c r="Q210" i="105"/>
  <c r="P210" i="105"/>
  <c r="O210" i="105"/>
  <c r="M210" i="105"/>
  <c r="J210" i="105"/>
  <c r="BG204" i="105"/>
  <c r="BF204" i="105"/>
  <c r="BE204" i="105"/>
  <c r="BD204" i="105"/>
  <c r="BC204" i="105"/>
  <c r="BB204" i="105"/>
  <c r="BA204" i="105"/>
  <c r="AZ204" i="105"/>
  <c r="AY204" i="105"/>
  <c r="AU204" i="105"/>
  <c r="AT204" i="105"/>
  <c r="AS204" i="105"/>
  <c r="AR204" i="105"/>
  <c r="AQ204" i="105"/>
  <c r="AP204" i="105"/>
  <c r="AO204" i="105"/>
  <c r="AN204" i="105"/>
  <c r="AM204" i="105"/>
  <c r="AI204" i="105"/>
  <c r="AH204" i="105"/>
  <c r="AG204" i="105"/>
  <c r="AF204" i="105"/>
  <c r="AE204" i="105"/>
  <c r="AD204" i="105"/>
  <c r="AC204" i="105"/>
  <c r="AB204" i="105"/>
  <c r="AA204" i="105"/>
  <c r="W204" i="105"/>
  <c r="V204" i="105"/>
  <c r="U204" i="105"/>
  <c r="T204" i="105"/>
  <c r="S204" i="105"/>
  <c r="R204" i="105"/>
  <c r="Q204" i="105"/>
  <c r="P204" i="105"/>
  <c r="O204" i="105"/>
  <c r="AW198" i="105"/>
  <c r="AK198" i="105"/>
  <c r="Y198" i="105"/>
  <c r="W198" i="105"/>
  <c r="V198" i="105"/>
  <c r="U198" i="105"/>
  <c r="T198" i="105"/>
  <c r="S198" i="105"/>
  <c r="R198" i="105"/>
  <c r="Q198" i="105"/>
  <c r="P198" i="105"/>
  <c r="O198" i="105"/>
  <c r="M198" i="105"/>
  <c r="J198" i="105"/>
  <c r="H191" i="105"/>
  <c r="H190" i="105"/>
  <c r="H189" i="105"/>
  <c r="AW187" i="105"/>
  <c r="AK187" i="105"/>
  <c r="Y187" i="105"/>
  <c r="W187" i="105"/>
  <c r="V187" i="105"/>
  <c r="U187" i="105"/>
  <c r="T187" i="105"/>
  <c r="S187" i="105"/>
  <c r="R187" i="105"/>
  <c r="Q187" i="105"/>
  <c r="P187" i="105"/>
  <c r="O187" i="105"/>
  <c r="M187" i="105"/>
  <c r="W168" i="105"/>
  <c r="V168" i="105"/>
  <c r="U168" i="105"/>
  <c r="T168" i="105"/>
  <c r="S168" i="105"/>
  <c r="R168" i="105"/>
  <c r="Q168" i="105"/>
  <c r="P168" i="105"/>
  <c r="O168" i="105"/>
  <c r="J168" i="105"/>
  <c r="BD161" i="105"/>
  <c r="AR161" i="105"/>
  <c r="AF161" i="105"/>
  <c r="T161" i="105"/>
  <c r="BA154" i="105"/>
  <c r="AZ154" i="105"/>
  <c r="AY154" i="105"/>
  <c r="AO154" i="105"/>
  <c r="AN154" i="105"/>
  <c r="AM154" i="105"/>
  <c r="AC154" i="105"/>
  <c r="AB154" i="105"/>
  <c r="AA154" i="105"/>
  <c r="Q154" i="105"/>
  <c r="P154" i="105"/>
  <c r="O154" i="105"/>
  <c r="V152" i="105"/>
  <c r="U152" i="105"/>
  <c r="T152" i="105"/>
  <c r="S152" i="105"/>
  <c r="R152" i="105"/>
  <c r="Q152" i="105"/>
  <c r="P152" i="105"/>
  <c r="O152" i="105"/>
  <c r="BA139" i="105"/>
  <c r="AZ139" i="105"/>
  <c r="AZ141" i="105" s="1"/>
  <c r="AY139" i="105"/>
  <c r="AO139" i="105"/>
  <c r="AN139" i="105"/>
  <c r="AN141" i="105" s="1"/>
  <c r="AM139" i="105"/>
  <c r="AC139" i="105"/>
  <c r="AB139" i="105"/>
  <c r="AB141" i="105" s="1"/>
  <c r="AA139" i="105"/>
  <c r="Q139" i="105"/>
  <c r="P139" i="105"/>
  <c r="P141" i="105" s="1"/>
  <c r="O139" i="105"/>
  <c r="BA132" i="105"/>
  <c r="AZ132" i="105"/>
  <c r="AY132" i="105"/>
  <c r="AO132" i="105"/>
  <c r="AN132" i="105"/>
  <c r="AM132" i="105"/>
  <c r="AC132" i="105"/>
  <c r="AB132" i="105"/>
  <c r="AA132" i="105"/>
  <c r="Q132" i="105"/>
  <c r="P132" i="105"/>
  <c r="O132" i="105"/>
  <c r="BA128" i="105"/>
  <c r="AZ128" i="105"/>
  <c r="AY128" i="105"/>
  <c r="AO128" i="105"/>
  <c r="AN128" i="105"/>
  <c r="AM128" i="105"/>
  <c r="AC128" i="105"/>
  <c r="AB128" i="105"/>
  <c r="AA128" i="105"/>
  <c r="Q128" i="105"/>
  <c r="P128" i="105"/>
  <c r="O128" i="105"/>
  <c r="BA127" i="105"/>
  <c r="AZ127" i="105"/>
  <c r="AY127" i="105"/>
  <c r="AO127" i="105"/>
  <c r="AN127" i="105"/>
  <c r="AM127" i="105"/>
  <c r="AC127" i="105"/>
  <c r="AB127" i="105"/>
  <c r="AA127" i="105"/>
  <c r="Q127" i="105"/>
  <c r="P127" i="105"/>
  <c r="O127" i="105"/>
  <c r="AZ115" i="105"/>
  <c r="AN115" i="105"/>
  <c r="AB115" i="105"/>
  <c r="P115" i="105"/>
  <c r="BA114" i="105"/>
  <c r="AY114" i="105"/>
  <c r="AO114" i="105"/>
  <c r="AM114" i="105"/>
  <c r="AC114" i="105"/>
  <c r="AA114" i="105"/>
  <c r="Q114" i="105"/>
  <c r="O114" i="105"/>
  <c r="BA111" i="105"/>
  <c r="AZ111" i="105"/>
  <c r="AY111" i="105"/>
  <c r="AO111" i="105"/>
  <c r="AN111" i="105"/>
  <c r="AM111" i="105"/>
  <c r="AC111" i="105"/>
  <c r="AB111" i="105"/>
  <c r="AA111" i="105"/>
  <c r="Q111" i="105"/>
  <c r="P111" i="105"/>
  <c r="O111" i="105"/>
  <c r="BA108" i="105"/>
  <c r="BA137" i="105" s="1"/>
  <c r="AZ108" i="105"/>
  <c r="AZ137" i="105" s="1"/>
  <c r="AY108" i="105"/>
  <c r="AY137" i="105" s="1"/>
  <c r="AO108" i="105"/>
  <c r="AO137" i="105" s="1"/>
  <c r="AN108" i="105"/>
  <c r="AM108" i="105"/>
  <c r="AM137" i="105" s="1"/>
  <c r="AC108" i="105"/>
  <c r="AC137" i="105" s="1"/>
  <c r="AB108" i="105"/>
  <c r="AB137" i="105" s="1"/>
  <c r="AA108" i="105"/>
  <c r="AA134" i="105" s="1"/>
  <c r="Q108" i="105"/>
  <c r="P108" i="105"/>
  <c r="O108" i="105"/>
  <c r="BA105" i="105"/>
  <c r="BA200" i="105" s="1"/>
  <c r="AZ105" i="105"/>
  <c r="AZ200" i="105" s="1"/>
  <c r="AY105" i="105"/>
  <c r="AY200" i="105" s="1"/>
  <c r="AO105" i="105"/>
  <c r="AO200" i="105" s="1"/>
  <c r="AN105" i="105"/>
  <c r="AN200" i="105" s="1"/>
  <c r="AM105" i="105"/>
  <c r="AM200" i="105" s="1"/>
  <c r="AC105" i="105"/>
  <c r="AC200" i="105" s="1"/>
  <c r="AB105" i="105"/>
  <c r="AB200" i="105" s="1"/>
  <c r="AA105" i="105"/>
  <c r="AA200" i="105" s="1"/>
  <c r="Q105" i="105"/>
  <c r="P105" i="105"/>
  <c r="O105" i="105"/>
  <c r="BA104" i="105"/>
  <c r="BA113" i="105" s="1"/>
  <c r="AZ104" i="105"/>
  <c r="AY104" i="105"/>
  <c r="AY113" i="105" s="1"/>
  <c r="AO104" i="105"/>
  <c r="AO113" i="105" s="1"/>
  <c r="AN104" i="105"/>
  <c r="AM104" i="105"/>
  <c r="AM113" i="105" s="1"/>
  <c r="AC104" i="105"/>
  <c r="AC113" i="105" s="1"/>
  <c r="AB104" i="105"/>
  <c r="AA104" i="105"/>
  <c r="AA113" i="105" s="1"/>
  <c r="Q104" i="105"/>
  <c r="Q113" i="105" s="1"/>
  <c r="P104" i="105"/>
  <c r="O104" i="105"/>
  <c r="O113" i="105" s="1"/>
  <c r="AW102" i="105"/>
  <c r="AK102" i="105"/>
  <c r="Y102" i="105"/>
  <c r="Q102" i="105"/>
  <c r="P102" i="105"/>
  <c r="O102" i="105"/>
  <c r="M102" i="105"/>
  <c r="J102" i="105"/>
  <c r="BA86" i="105"/>
  <c r="AZ86" i="105"/>
  <c r="AY86" i="105"/>
  <c r="AO86" i="105"/>
  <c r="AN86" i="105"/>
  <c r="AM86" i="105"/>
  <c r="AC86" i="105"/>
  <c r="AB86" i="105"/>
  <c r="AA86" i="105"/>
  <c r="Q86" i="105"/>
  <c r="O86" i="105"/>
  <c r="AZ84" i="105"/>
  <c r="AZ224" i="105" s="1"/>
  <c r="AN84" i="105"/>
  <c r="AN224" i="105" s="1"/>
  <c r="AB84" i="105"/>
  <c r="AB224" i="105" s="1"/>
  <c r="P84" i="105"/>
  <c r="E84" i="105"/>
  <c r="AW76" i="105"/>
  <c r="AK76" i="105"/>
  <c r="Y76" i="105"/>
  <c r="W76" i="105"/>
  <c r="V76" i="105"/>
  <c r="U76" i="105"/>
  <c r="T76" i="105"/>
  <c r="S76" i="105"/>
  <c r="R76" i="105"/>
  <c r="Q76" i="105"/>
  <c r="P76" i="105"/>
  <c r="O76" i="105"/>
  <c r="M76" i="105"/>
  <c r="J76" i="105"/>
  <c r="E71" i="105"/>
  <c r="E69" i="105"/>
  <c r="E68" i="105"/>
  <c r="E67" i="105"/>
  <c r="E66" i="105"/>
  <c r="E65" i="105"/>
  <c r="E64" i="105"/>
  <c r="E62" i="105"/>
  <c r="AW59" i="105"/>
  <c r="AK59" i="105"/>
  <c r="Y59" i="105"/>
  <c r="M59" i="105"/>
  <c r="J59" i="105"/>
  <c r="AW38" i="105"/>
  <c r="AK38" i="105"/>
  <c r="Y38" i="105"/>
  <c r="M38" i="105"/>
  <c r="AX29" i="105"/>
  <c r="BG24" i="105"/>
  <c r="BF24" i="105"/>
  <c r="BE24" i="105"/>
  <c r="BD24" i="105"/>
  <c r="BC24" i="105"/>
  <c r="BB24" i="105"/>
  <c r="BA24" i="105"/>
  <c r="AZ24" i="105"/>
  <c r="AY24" i="105"/>
  <c r="AU24" i="105"/>
  <c r="AT24" i="105"/>
  <c r="AS24" i="105"/>
  <c r="AR24" i="105"/>
  <c r="AQ24" i="105"/>
  <c r="AP24" i="105"/>
  <c r="AO24" i="105"/>
  <c r="AN24" i="105"/>
  <c r="AM24" i="105"/>
  <c r="AI24" i="105"/>
  <c r="AH24" i="105"/>
  <c r="AG24" i="105"/>
  <c r="AF24" i="105"/>
  <c r="AE24" i="105"/>
  <c r="AD24" i="105"/>
  <c r="AC24" i="105"/>
  <c r="AB24" i="105"/>
  <c r="AA24" i="105"/>
  <c r="W24" i="105"/>
  <c r="V24" i="105"/>
  <c r="U24" i="105"/>
  <c r="T24" i="105"/>
  <c r="S24" i="105"/>
  <c r="R24" i="105"/>
  <c r="Q24" i="105"/>
  <c r="P24" i="105"/>
  <c r="O24" i="105"/>
  <c r="O56" i="105" s="1" a="1"/>
  <c r="O56" i="105" s="1"/>
  <c r="BG20" i="105"/>
  <c r="BF20" i="105"/>
  <c r="BE20" i="105"/>
  <c r="BD20" i="105"/>
  <c r="BC20" i="105"/>
  <c r="BB20" i="105"/>
  <c r="BA20" i="105"/>
  <c r="AZ20" i="105"/>
  <c r="AY20" i="105"/>
  <c r="AU20" i="105"/>
  <c r="AT20" i="105"/>
  <c r="AS20" i="105"/>
  <c r="AR20" i="105"/>
  <c r="AQ20" i="105"/>
  <c r="AP20" i="105"/>
  <c r="AO20" i="105"/>
  <c r="AN20" i="105"/>
  <c r="AM20" i="105"/>
  <c r="AI20" i="105"/>
  <c r="AH20" i="105"/>
  <c r="AG20" i="105"/>
  <c r="AF20" i="105"/>
  <c r="AE20" i="105"/>
  <c r="AD20" i="105"/>
  <c r="AC20" i="105"/>
  <c r="AB20" i="105"/>
  <c r="AA20" i="105"/>
  <c r="W20" i="105"/>
  <c r="V20" i="105"/>
  <c r="U20" i="105"/>
  <c r="T20" i="105"/>
  <c r="S20" i="105"/>
  <c r="R20" i="105"/>
  <c r="Q20" i="105"/>
  <c r="P20" i="105"/>
  <c r="O20" i="105"/>
  <c r="BG19" i="105"/>
  <c r="BF19" i="105"/>
  <c r="BE19" i="105"/>
  <c r="BD19" i="105"/>
  <c r="BD17" i="105" s="1"/>
  <c r="BD59" i="105" s="1"/>
  <c r="BC19" i="105"/>
  <c r="BB19" i="105"/>
  <c r="BA19" i="105"/>
  <c r="AZ19" i="105"/>
  <c r="AY19" i="105"/>
  <c r="AY17" i="105" s="1"/>
  <c r="AU19" i="105"/>
  <c r="AT19" i="105"/>
  <c r="AS19" i="105"/>
  <c r="AR19" i="105"/>
  <c r="AQ19" i="105"/>
  <c r="AP19" i="105"/>
  <c r="AP17" i="105" s="1"/>
  <c r="AP38" i="105" s="1"/>
  <c r="AO19" i="105"/>
  <c r="AN19" i="105"/>
  <c r="AM19" i="105"/>
  <c r="AI19" i="105"/>
  <c r="AH19" i="105"/>
  <c r="AG19" i="105"/>
  <c r="AF19" i="105"/>
  <c r="AE19" i="105"/>
  <c r="AD19" i="105"/>
  <c r="AC19" i="105"/>
  <c r="AB19" i="105"/>
  <c r="AA19" i="105"/>
  <c r="W19" i="105"/>
  <c r="V19" i="105"/>
  <c r="U19" i="105"/>
  <c r="U17" i="105" s="1"/>
  <c r="U38" i="105" s="1"/>
  <c r="T19" i="105"/>
  <c r="S19" i="105"/>
  <c r="S17" i="105" s="1"/>
  <c r="R19" i="105"/>
  <c r="Q19" i="105"/>
  <c r="Q17" i="105" s="1"/>
  <c r="Q38" i="105" s="1"/>
  <c r="P19" i="105"/>
  <c r="P17" i="105" s="1"/>
  <c r="P38" i="105" s="1"/>
  <c r="O19" i="105"/>
  <c r="BG17" i="105"/>
  <c r="BG38" i="105" s="1"/>
  <c r="BB17" i="105"/>
  <c r="BB38" i="105" s="1"/>
  <c r="BA17" i="105"/>
  <c r="AZ17" i="105"/>
  <c r="AZ59" i="105" s="1"/>
  <c r="AW17" i="105"/>
  <c r="AQ17" i="105"/>
  <c r="AK17" i="105"/>
  <c r="AE17" i="105"/>
  <c r="Y17" i="105"/>
  <c r="T17" i="105"/>
  <c r="M17" i="105"/>
  <c r="J17" i="105"/>
  <c r="BG10" i="105"/>
  <c r="BF10" i="105"/>
  <c r="BE10" i="105"/>
  <c r="BD10" i="105"/>
  <c r="BC10" i="105"/>
  <c r="BB10" i="105"/>
  <c r="BA10" i="105"/>
  <c r="AZ10" i="105"/>
  <c r="AY10" i="105"/>
  <c r="AU10" i="105"/>
  <c r="AT10" i="105"/>
  <c r="AS10" i="105"/>
  <c r="AR10" i="105"/>
  <c r="AQ10" i="105"/>
  <c r="AP10" i="105"/>
  <c r="AO10" i="105"/>
  <c r="AN10" i="105"/>
  <c r="AM10" i="105"/>
  <c r="AI10" i="105"/>
  <c r="AH10" i="105"/>
  <c r="AG10" i="105"/>
  <c r="AF10" i="105"/>
  <c r="AE10" i="105"/>
  <c r="AD10" i="105"/>
  <c r="AC10" i="105"/>
  <c r="AB10" i="105"/>
  <c r="AA10" i="105"/>
  <c r="H6" i="105"/>
  <c r="H5" i="105"/>
  <c r="G5" i="105"/>
  <c r="E3" i="105"/>
  <c r="E2" i="105"/>
  <c r="E1" i="105"/>
  <c r="AW304" i="104"/>
  <c r="AK304" i="104"/>
  <c r="Y304" i="104"/>
  <c r="M304" i="104"/>
  <c r="J304" i="104"/>
  <c r="M263" i="104"/>
  <c r="J263" i="104"/>
  <c r="AW242" i="104"/>
  <c r="AK242" i="104"/>
  <c r="Y242" i="104"/>
  <c r="M242" i="104"/>
  <c r="J242" i="104"/>
  <c r="AW235" i="104"/>
  <c r="AK235" i="104"/>
  <c r="Y235" i="104"/>
  <c r="M235" i="104"/>
  <c r="J235" i="104"/>
  <c r="AW222" i="104"/>
  <c r="AK222" i="104"/>
  <c r="Y222" i="104"/>
  <c r="W222" i="104"/>
  <c r="V222" i="104"/>
  <c r="U222" i="104"/>
  <c r="T222" i="104"/>
  <c r="S222" i="104"/>
  <c r="R222" i="104"/>
  <c r="Q222" i="104"/>
  <c r="P222" i="104"/>
  <c r="O222" i="104"/>
  <c r="M222" i="104"/>
  <c r="J222" i="104"/>
  <c r="AW210" i="104"/>
  <c r="AK210" i="104"/>
  <c r="Y210" i="104"/>
  <c r="W210" i="104"/>
  <c r="Q210" i="104"/>
  <c r="P210" i="104"/>
  <c r="O210" i="104"/>
  <c r="M210" i="104"/>
  <c r="J210" i="104"/>
  <c r="BG204" i="104"/>
  <c r="BF204" i="104"/>
  <c r="BE204" i="104"/>
  <c r="BD204" i="104"/>
  <c r="BC204" i="104"/>
  <c r="BB204" i="104"/>
  <c r="BA204" i="104"/>
  <c r="AZ204" i="104"/>
  <c r="AY204" i="104"/>
  <c r="AU204" i="104"/>
  <c r="AT204" i="104"/>
  <c r="AS204" i="104"/>
  <c r="AR204" i="104"/>
  <c r="AQ204" i="104"/>
  <c r="AP204" i="104"/>
  <c r="AO204" i="104"/>
  <c r="AN204" i="104"/>
  <c r="AM204" i="104"/>
  <c r="AI204" i="104"/>
  <c r="AH204" i="104"/>
  <c r="AG204" i="104"/>
  <c r="AF204" i="104"/>
  <c r="AE204" i="104"/>
  <c r="AD204" i="104"/>
  <c r="AC204" i="104"/>
  <c r="AB204" i="104"/>
  <c r="AA204" i="104"/>
  <c r="W204" i="104"/>
  <c r="V204" i="104"/>
  <c r="U204" i="104"/>
  <c r="T204" i="104"/>
  <c r="S204" i="104"/>
  <c r="R204" i="104"/>
  <c r="Q204" i="104"/>
  <c r="P204" i="104"/>
  <c r="O204" i="104"/>
  <c r="AW198" i="104"/>
  <c r="AK198" i="104"/>
  <c r="Y198" i="104"/>
  <c r="W198" i="104"/>
  <c r="V198" i="104"/>
  <c r="U198" i="104"/>
  <c r="T198" i="104"/>
  <c r="S198" i="104"/>
  <c r="R198" i="104"/>
  <c r="Q198" i="104"/>
  <c r="P198" i="104"/>
  <c r="O198" i="104"/>
  <c r="M198" i="104"/>
  <c r="J198" i="104"/>
  <c r="H191" i="104"/>
  <c r="H190" i="104"/>
  <c r="H189" i="104"/>
  <c r="AW187" i="104"/>
  <c r="AK187" i="104"/>
  <c r="Y187" i="104"/>
  <c r="W187" i="104"/>
  <c r="V187" i="104"/>
  <c r="U187" i="104"/>
  <c r="T187" i="104"/>
  <c r="S187" i="104"/>
  <c r="R187" i="104"/>
  <c r="Q187" i="104"/>
  <c r="P187" i="104"/>
  <c r="O187" i="104"/>
  <c r="M187" i="104"/>
  <c r="W168" i="104"/>
  <c r="V168" i="104"/>
  <c r="U168" i="104"/>
  <c r="T168" i="104"/>
  <c r="S168" i="104"/>
  <c r="R168" i="104"/>
  <c r="Q168" i="104"/>
  <c r="P168" i="104"/>
  <c r="O168" i="104"/>
  <c r="J168" i="104"/>
  <c r="BD161" i="104"/>
  <c r="AR161" i="104"/>
  <c r="AF161" i="104"/>
  <c r="T161" i="104"/>
  <c r="BA154" i="104"/>
  <c r="AZ154" i="104"/>
  <c r="AY154" i="104"/>
  <c r="AO154" i="104"/>
  <c r="AN154" i="104"/>
  <c r="AM154" i="104"/>
  <c r="AC154" i="104"/>
  <c r="AB154" i="104"/>
  <c r="AA154" i="104"/>
  <c r="Q154" i="104"/>
  <c r="P154" i="104"/>
  <c r="O154" i="104"/>
  <c r="V152" i="104"/>
  <c r="U152" i="104"/>
  <c r="T152" i="104"/>
  <c r="S152" i="104"/>
  <c r="R152" i="104"/>
  <c r="Q152" i="104"/>
  <c r="P152" i="104"/>
  <c r="O152" i="104"/>
  <c r="BA139" i="104"/>
  <c r="AZ139" i="104"/>
  <c r="AZ141" i="104" s="1"/>
  <c r="AY139" i="104"/>
  <c r="AO139" i="104"/>
  <c r="AN139" i="104"/>
  <c r="AN141" i="104" s="1"/>
  <c r="AM139" i="104"/>
  <c r="AC139" i="104"/>
  <c r="AB139" i="104"/>
  <c r="AB141" i="104" s="1"/>
  <c r="AA139" i="104"/>
  <c r="Q139" i="104"/>
  <c r="P139" i="104"/>
  <c r="P141" i="104" s="1"/>
  <c r="O139" i="104"/>
  <c r="BA132" i="104"/>
  <c r="AZ132" i="104"/>
  <c r="AY132" i="104"/>
  <c r="AO132" i="104"/>
  <c r="AN132" i="104"/>
  <c r="AM132" i="104"/>
  <c r="AC132" i="104"/>
  <c r="AB132" i="104"/>
  <c r="AA132" i="104"/>
  <c r="Q132" i="104"/>
  <c r="P132" i="104"/>
  <c r="O132" i="104"/>
  <c r="BA128" i="104"/>
  <c r="AZ128" i="104"/>
  <c r="AY128" i="104"/>
  <c r="AO128" i="104"/>
  <c r="AN128" i="104"/>
  <c r="AM128" i="104"/>
  <c r="AC128" i="104"/>
  <c r="AB128" i="104"/>
  <c r="AA128" i="104"/>
  <c r="Q128" i="104"/>
  <c r="P128" i="104"/>
  <c r="O128" i="104"/>
  <c r="BA127" i="104"/>
  <c r="AZ127" i="104"/>
  <c r="AY127" i="104"/>
  <c r="AO127" i="104"/>
  <c r="AN127" i="104"/>
  <c r="AM127" i="104"/>
  <c r="AC127" i="104"/>
  <c r="AB127" i="104"/>
  <c r="AA127" i="104"/>
  <c r="Q127" i="104"/>
  <c r="P127" i="104"/>
  <c r="O127" i="104"/>
  <c r="AZ115" i="104"/>
  <c r="AN115" i="104"/>
  <c r="AB115" i="104"/>
  <c r="P115" i="104"/>
  <c r="BA114" i="104"/>
  <c r="AY114" i="104"/>
  <c r="AO114" i="104"/>
  <c r="AM114" i="104"/>
  <c r="AC114" i="104"/>
  <c r="AA114" i="104"/>
  <c r="Q114" i="104"/>
  <c r="O114" i="104"/>
  <c r="BA111" i="104"/>
  <c r="AZ111" i="104"/>
  <c r="AY111" i="104"/>
  <c r="AO111" i="104"/>
  <c r="AN111" i="104"/>
  <c r="AM111" i="104"/>
  <c r="AC111" i="104"/>
  <c r="AB111" i="104"/>
  <c r="AA111" i="104"/>
  <c r="Q111" i="104"/>
  <c r="P111" i="104"/>
  <c r="O111" i="104"/>
  <c r="BA108" i="104"/>
  <c r="BA137" i="104" s="1"/>
  <c r="AZ108" i="104"/>
  <c r="AZ137" i="104" s="1"/>
  <c r="AY108" i="104"/>
  <c r="AY137" i="104" s="1"/>
  <c r="AO108" i="104"/>
  <c r="AO134" i="104" s="1"/>
  <c r="AN108" i="104"/>
  <c r="AN137" i="104" s="1"/>
  <c r="AM108" i="104"/>
  <c r="AM137" i="104" s="1"/>
  <c r="AC108" i="104"/>
  <c r="AC134" i="104" s="1"/>
  <c r="AB108" i="104"/>
  <c r="AB137" i="104" s="1"/>
  <c r="AA108" i="104"/>
  <c r="AA137" i="104" s="1"/>
  <c r="Q108" i="104"/>
  <c r="P108" i="104"/>
  <c r="O108" i="104"/>
  <c r="BA105" i="104"/>
  <c r="BA200" i="104" s="1"/>
  <c r="AZ105" i="104"/>
  <c r="AY105" i="104"/>
  <c r="AO105" i="104"/>
  <c r="AO200" i="104" s="1"/>
  <c r="AN105" i="104"/>
  <c r="AN200" i="104" s="1"/>
  <c r="AM105" i="104"/>
  <c r="AC105" i="104"/>
  <c r="AB105" i="104"/>
  <c r="AB200" i="104" s="1"/>
  <c r="AA105" i="104"/>
  <c r="AA200" i="104" s="1"/>
  <c r="Q105" i="104"/>
  <c r="P105" i="104"/>
  <c r="O105" i="104"/>
  <c r="BA104" i="104"/>
  <c r="BA113" i="104" s="1"/>
  <c r="AZ104" i="104"/>
  <c r="AY104" i="104"/>
  <c r="AY113" i="104" s="1"/>
  <c r="AO104" i="104"/>
  <c r="AO113" i="104" s="1"/>
  <c r="AN104" i="104"/>
  <c r="AM104" i="104"/>
  <c r="AM113" i="104" s="1"/>
  <c r="AC104" i="104"/>
  <c r="AC113" i="104" s="1"/>
  <c r="AB104" i="104"/>
  <c r="AA104" i="104"/>
  <c r="AA113" i="104" s="1"/>
  <c r="Q104" i="104"/>
  <c r="Q113" i="104" s="1"/>
  <c r="P104" i="104"/>
  <c r="O104" i="104"/>
  <c r="O113" i="104" s="1"/>
  <c r="AW102" i="104"/>
  <c r="AK102" i="104"/>
  <c r="Y102" i="104"/>
  <c r="Q102" i="104"/>
  <c r="P102" i="104"/>
  <c r="O102" i="104"/>
  <c r="M102" i="104"/>
  <c r="J102" i="104"/>
  <c r="BA86" i="104"/>
  <c r="AZ86" i="104"/>
  <c r="AY86" i="104"/>
  <c r="AO86" i="104"/>
  <c r="AN86" i="104"/>
  <c r="AM86" i="104"/>
  <c r="AC86" i="104"/>
  <c r="AB86" i="104"/>
  <c r="AA86" i="104"/>
  <c r="Q86" i="104"/>
  <c r="O86" i="104"/>
  <c r="AZ84" i="104"/>
  <c r="AZ224" i="104" s="1"/>
  <c r="AN84" i="104"/>
  <c r="AN224" i="104" s="1"/>
  <c r="AB84" i="104"/>
  <c r="AB224" i="104" s="1"/>
  <c r="P84" i="104"/>
  <c r="E84" i="104"/>
  <c r="AW76" i="104"/>
  <c r="AK76" i="104"/>
  <c r="Y76" i="104"/>
  <c r="W76" i="104"/>
  <c r="V76" i="104"/>
  <c r="U76" i="104"/>
  <c r="T76" i="104"/>
  <c r="S76" i="104"/>
  <c r="R76" i="104"/>
  <c r="Q76" i="104"/>
  <c r="P76" i="104"/>
  <c r="O76" i="104"/>
  <c r="M76" i="104"/>
  <c r="J76" i="104"/>
  <c r="E71" i="104"/>
  <c r="E69" i="104"/>
  <c r="E68" i="104"/>
  <c r="E67" i="104"/>
  <c r="E66" i="104"/>
  <c r="E65" i="104"/>
  <c r="E64" i="104"/>
  <c r="E62" i="104"/>
  <c r="AW59" i="104"/>
  <c r="AK59" i="104"/>
  <c r="Y59" i="104"/>
  <c r="M59" i="104"/>
  <c r="J59" i="104"/>
  <c r="AW38" i="104"/>
  <c r="AK38" i="104"/>
  <c r="Y38" i="104"/>
  <c r="M38" i="104"/>
  <c r="AX29" i="104"/>
  <c r="BG24" i="104"/>
  <c r="BF24" i="104"/>
  <c r="BE24" i="104"/>
  <c r="BD24" i="104"/>
  <c r="BC24" i="104"/>
  <c r="BB24" i="104"/>
  <c r="BA24" i="104"/>
  <c r="AZ24" i="104"/>
  <c r="AY24" i="104"/>
  <c r="AU24" i="104"/>
  <c r="AT24" i="104"/>
  <c r="AS24" i="104"/>
  <c r="AR24" i="104"/>
  <c r="AQ24" i="104"/>
  <c r="AP24" i="104"/>
  <c r="AO24" i="104"/>
  <c r="AN24" i="104"/>
  <c r="AM24" i="104"/>
  <c r="AI24" i="104"/>
  <c r="AH24" i="104"/>
  <c r="AG24" i="104"/>
  <c r="AF24" i="104"/>
  <c r="AE24" i="104"/>
  <c r="AD24" i="104"/>
  <c r="AC24" i="104"/>
  <c r="AB24" i="104"/>
  <c r="AA24" i="104"/>
  <c r="W24" i="104"/>
  <c r="V24" i="104"/>
  <c r="U24" i="104"/>
  <c r="T24" i="104"/>
  <c r="S24" i="104"/>
  <c r="R24" i="104"/>
  <c r="Q24" i="104"/>
  <c r="P24" i="104"/>
  <c r="O24" i="104"/>
  <c r="BG20" i="104"/>
  <c r="BF20" i="104"/>
  <c r="BE20" i="104"/>
  <c r="BD20" i="104"/>
  <c r="BC20" i="104"/>
  <c r="BB20" i="104"/>
  <c r="BA20" i="104"/>
  <c r="AZ20" i="104"/>
  <c r="AY20" i="104"/>
  <c r="AU20" i="104"/>
  <c r="AT20" i="104"/>
  <c r="AS20" i="104"/>
  <c r="AR20" i="104"/>
  <c r="AQ20" i="104"/>
  <c r="AP20" i="104"/>
  <c r="AO20" i="104"/>
  <c r="AN20" i="104"/>
  <c r="AM20" i="104"/>
  <c r="AI20" i="104"/>
  <c r="AH20" i="104"/>
  <c r="AG20" i="104"/>
  <c r="AF20" i="104"/>
  <c r="AE20" i="104"/>
  <c r="AD20" i="104"/>
  <c r="AC20" i="104"/>
  <c r="AB20" i="104"/>
  <c r="AA20" i="104"/>
  <c r="W20" i="104"/>
  <c r="V20" i="104"/>
  <c r="U20" i="104"/>
  <c r="T20" i="104"/>
  <c r="S20" i="104"/>
  <c r="R20" i="104"/>
  <c r="Q20" i="104"/>
  <c r="P20" i="104"/>
  <c r="O20" i="104"/>
  <c r="BG19" i="104"/>
  <c r="BF19" i="104"/>
  <c r="BF17" i="104" s="1"/>
  <c r="BF59" i="104" s="1"/>
  <c r="BE19" i="104"/>
  <c r="BD19" i="104"/>
  <c r="BC19" i="104"/>
  <c r="BB19" i="104"/>
  <c r="BA19" i="104"/>
  <c r="BA17" i="104" s="1"/>
  <c r="BA59" i="104" s="1"/>
  <c r="AZ19" i="104"/>
  <c r="AY19" i="104"/>
  <c r="AY17" i="104" s="1"/>
  <c r="AY59" i="104" s="1"/>
  <c r="AU19" i="104"/>
  <c r="AT19" i="104"/>
  <c r="AS19" i="104"/>
  <c r="AR19" i="104"/>
  <c r="AQ19" i="104"/>
  <c r="AP19" i="104"/>
  <c r="AO19" i="104"/>
  <c r="AN19" i="104"/>
  <c r="AM19" i="104"/>
  <c r="AM17" i="104" s="1"/>
  <c r="AM59" i="104" s="1"/>
  <c r="AI19" i="104"/>
  <c r="AH19" i="104"/>
  <c r="AH17" i="104" s="1"/>
  <c r="AH59" i="104" s="1"/>
  <c r="AG19" i="104"/>
  <c r="AG17" i="104" s="1"/>
  <c r="AG59" i="104" s="1"/>
  <c r="AF19" i="104"/>
  <c r="AE19" i="104"/>
  <c r="AD19" i="104"/>
  <c r="AC19" i="104"/>
  <c r="AB19" i="104"/>
  <c r="AB17" i="104" s="1"/>
  <c r="AA19" i="104"/>
  <c r="W19" i="104"/>
  <c r="V19" i="104"/>
  <c r="U19" i="104"/>
  <c r="T19" i="104"/>
  <c r="S19" i="104"/>
  <c r="R19" i="104"/>
  <c r="Q19" i="104"/>
  <c r="Q17" i="104" s="1"/>
  <c r="Q59" i="104" s="1"/>
  <c r="P19" i="104"/>
  <c r="O19" i="104"/>
  <c r="O17" i="104" s="1"/>
  <c r="O59" i="104" s="1"/>
  <c r="AZ17" i="104"/>
  <c r="AW17" i="104"/>
  <c r="AO17" i="104"/>
  <c r="AO59" i="104" s="1"/>
  <c r="AK17" i="104"/>
  <c r="AD17" i="104"/>
  <c r="AD59" i="104" s="1"/>
  <c r="Y17" i="104"/>
  <c r="W17" i="104"/>
  <c r="W59" i="104" s="1"/>
  <c r="S17" i="104"/>
  <c r="S59" i="104" s="1"/>
  <c r="M17" i="104"/>
  <c r="J17" i="104"/>
  <c r="BG10" i="104"/>
  <c r="BF10" i="104"/>
  <c r="BE10" i="104"/>
  <c r="BD10" i="104"/>
  <c r="BC10" i="104"/>
  <c r="BB10" i="104"/>
  <c r="BB76" i="104" s="1"/>
  <c r="BA10" i="104"/>
  <c r="AZ10" i="104"/>
  <c r="AY10" i="104"/>
  <c r="AU10" i="104"/>
  <c r="AT10" i="104"/>
  <c r="AS10" i="104"/>
  <c r="AR10" i="104"/>
  <c r="AR76" i="104" s="1"/>
  <c r="AQ10" i="104"/>
  <c r="AP10" i="104"/>
  <c r="AO10" i="104"/>
  <c r="AN10" i="104"/>
  <c r="AN76" i="104" s="1"/>
  <c r="AM10" i="104"/>
  <c r="AI10" i="104"/>
  <c r="AH10" i="104"/>
  <c r="AG10" i="104"/>
  <c r="AF10" i="104"/>
  <c r="AE10" i="104"/>
  <c r="AD10" i="104"/>
  <c r="AC10" i="104"/>
  <c r="AB10" i="104"/>
  <c r="AB76" i="104" s="1"/>
  <c r="AA10" i="104"/>
  <c r="H6" i="104"/>
  <c r="H5" i="104"/>
  <c r="G5" i="104"/>
  <c r="E3" i="104"/>
  <c r="E2" i="104"/>
  <c r="E1" i="104"/>
  <c r="AW304" i="103"/>
  <c r="AK304" i="103"/>
  <c r="Y304" i="103"/>
  <c r="M304" i="103"/>
  <c r="J304" i="103"/>
  <c r="M263" i="103"/>
  <c r="J263" i="103"/>
  <c r="AW242" i="103"/>
  <c r="AK242" i="103"/>
  <c r="Y242" i="103"/>
  <c r="M242" i="103"/>
  <c r="J242" i="103"/>
  <c r="AW235" i="103"/>
  <c r="AK235" i="103"/>
  <c r="Y235" i="103"/>
  <c r="M235" i="103"/>
  <c r="J235" i="103"/>
  <c r="AW222" i="103"/>
  <c r="AK222" i="103"/>
  <c r="Y222" i="103"/>
  <c r="W222" i="103"/>
  <c r="V222" i="103"/>
  <c r="U222" i="103"/>
  <c r="T222" i="103"/>
  <c r="S222" i="103"/>
  <c r="R222" i="103"/>
  <c r="Q222" i="103"/>
  <c r="P222" i="103"/>
  <c r="O222" i="103"/>
  <c r="M222" i="103"/>
  <c r="J222" i="103"/>
  <c r="AW210" i="103"/>
  <c r="AK210" i="103"/>
  <c r="Y210" i="103"/>
  <c r="W210" i="103"/>
  <c r="Q210" i="103"/>
  <c r="P210" i="103"/>
  <c r="O210" i="103"/>
  <c r="M210" i="103"/>
  <c r="J210" i="103"/>
  <c r="BG204" i="103"/>
  <c r="BF204" i="103"/>
  <c r="BE204" i="103"/>
  <c r="BD204" i="103"/>
  <c r="BC204" i="103"/>
  <c r="BB204" i="103"/>
  <c r="BA204" i="103"/>
  <c r="AZ204" i="103"/>
  <c r="AY204" i="103"/>
  <c r="AU204" i="103"/>
  <c r="AT204" i="103"/>
  <c r="AS204" i="103"/>
  <c r="AR204" i="103"/>
  <c r="AQ204" i="103"/>
  <c r="AP204" i="103"/>
  <c r="AO204" i="103"/>
  <c r="AN204" i="103"/>
  <c r="AM204" i="103"/>
  <c r="AI204" i="103"/>
  <c r="AH204" i="103"/>
  <c r="AG204" i="103"/>
  <c r="AF204" i="103"/>
  <c r="AE204" i="103"/>
  <c r="AD204" i="103"/>
  <c r="AC204" i="103"/>
  <c r="AB204" i="103"/>
  <c r="AA204" i="103"/>
  <c r="W204" i="103"/>
  <c r="V204" i="103"/>
  <c r="U204" i="103"/>
  <c r="T204" i="103"/>
  <c r="S204" i="103"/>
  <c r="R204" i="103"/>
  <c r="Q204" i="103"/>
  <c r="P204" i="103"/>
  <c r="O204" i="103"/>
  <c r="AW198" i="103"/>
  <c r="AK198" i="103"/>
  <c r="Y198" i="103"/>
  <c r="W198" i="103"/>
  <c r="V198" i="103"/>
  <c r="U198" i="103"/>
  <c r="T198" i="103"/>
  <c r="S198" i="103"/>
  <c r="R198" i="103"/>
  <c r="Q198" i="103"/>
  <c r="P198" i="103"/>
  <c r="O198" i="103"/>
  <c r="M198" i="103"/>
  <c r="J198" i="103"/>
  <c r="H191" i="103"/>
  <c r="H190" i="103"/>
  <c r="H189" i="103"/>
  <c r="AW187" i="103"/>
  <c r="AK187" i="103"/>
  <c r="Y187" i="103"/>
  <c r="W187" i="103"/>
  <c r="V187" i="103"/>
  <c r="U187" i="103"/>
  <c r="T187" i="103"/>
  <c r="S187" i="103"/>
  <c r="R187" i="103"/>
  <c r="Q187" i="103"/>
  <c r="P187" i="103"/>
  <c r="O187" i="103"/>
  <c r="M187" i="103"/>
  <c r="W168" i="103"/>
  <c r="V168" i="103"/>
  <c r="U168" i="103"/>
  <c r="T168" i="103"/>
  <c r="S168" i="103"/>
  <c r="R168" i="103"/>
  <c r="Q168" i="103"/>
  <c r="P168" i="103"/>
  <c r="O168" i="103"/>
  <c r="J168" i="103"/>
  <c r="BD161" i="103"/>
  <c r="AR161" i="103"/>
  <c r="AF161" i="103"/>
  <c r="T161" i="103"/>
  <c r="BA154" i="103"/>
  <c r="AZ154" i="103"/>
  <c r="AY154" i="103"/>
  <c r="AO154" i="103"/>
  <c r="AN154" i="103"/>
  <c r="AM154" i="103"/>
  <c r="AC154" i="103"/>
  <c r="AB154" i="103"/>
  <c r="AA154" i="103"/>
  <c r="Q154" i="103"/>
  <c r="P154" i="103"/>
  <c r="O154" i="103"/>
  <c r="V152" i="103"/>
  <c r="U152" i="103"/>
  <c r="T152" i="103"/>
  <c r="S152" i="103"/>
  <c r="R152" i="103"/>
  <c r="Q152" i="103"/>
  <c r="P152" i="103"/>
  <c r="O152" i="103"/>
  <c r="BA139" i="103"/>
  <c r="AZ139" i="103"/>
  <c r="AZ141" i="103" s="1"/>
  <c r="AY139" i="103"/>
  <c r="AO139" i="103"/>
  <c r="AN139" i="103"/>
  <c r="AN141" i="103" s="1"/>
  <c r="AM139" i="103"/>
  <c r="AC139" i="103"/>
  <c r="AB139" i="103"/>
  <c r="AB141" i="103" s="1"/>
  <c r="AA139" i="103"/>
  <c r="Q139" i="103"/>
  <c r="P139" i="103"/>
  <c r="P141" i="103" s="1"/>
  <c r="O139" i="103"/>
  <c r="BA132" i="103"/>
  <c r="AZ132" i="103"/>
  <c r="AY132" i="103"/>
  <c r="AO132" i="103"/>
  <c r="AN132" i="103"/>
  <c r="AM132" i="103"/>
  <c r="AC132" i="103"/>
  <c r="AB132" i="103"/>
  <c r="AA132" i="103"/>
  <c r="Q132" i="103"/>
  <c r="P132" i="103"/>
  <c r="O132" i="103"/>
  <c r="BA128" i="103"/>
  <c r="AZ128" i="103"/>
  <c r="AY128" i="103"/>
  <c r="AO128" i="103"/>
  <c r="AN128" i="103"/>
  <c r="AM128" i="103"/>
  <c r="AC128" i="103"/>
  <c r="AB128" i="103"/>
  <c r="AA128" i="103"/>
  <c r="Q128" i="103"/>
  <c r="P128" i="103"/>
  <c r="O128" i="103"/>
  <c r="BA127" i="103"/>
  <c r="AZ127" i="103"/>
  <c r="AY127" i="103"/>
  <c r="AO127" i="103"/>
  <c r="AN127" i="103"/>
  <c r="AM127" i="103"/>
  <c r="AC127" i="103"/>
  <c r="AB127" i="103"/>
  <c r="AA127" i="103"/>
  <c r="Q127" i="103"/>
  <c r="P127" i="103"/>
  <c r="O127" i="103"/>
  <c r="AZ115" i="103"/>
  <c r="AN115" i="103"/>
  <c r="AB115" i="103"/>
  <c r="BA114" i="103"/>
  <c r="AY114" i="103"/>
  <c r="AO114" i="103"/>
  <c r="AM114" i="103"/>
  <c r="AC114" i="103"/>
  <c r="AA114" i="103"/>
  <c r="Q114" i="103"/>
  <c r="O114" i="103"/>
  <c r="BA111" i="103"/>
  <c r="AZ111" i="103"/>
  <c r="AY111" i="103"/>
  <c r="AO111" i="103"/>
  <c r="AN111" i="103"/>
  <c r="AM111" i="103"/>
  <c r="AC111" i="103"/>
  <c r="AB111" i="103"/>
  <c r="AA111" i="103"/>
  <c r="Q111" i="103"/>
  <c r="P111" i="103"/>
  <c r="O111" i="103"/>
  <c r="BA108" i="103"/>
  <c r="BA137" i="103" s="1"/>
  <c r="AZ108" i="103"/>
  <c r="AZ137" i="103" s="1"/>
  <c r="AY108" i="103"/>
  <c r="AY137" i="103" s="1"/>
  <c r="AO108" i="103"/>
  <c r="AO137" i="103" s="1"/>
  <c r="AN108" i="103"/>
  <c r="AN137" i="103" s="1"/>
  <c r="AM108" i="103"/>
  <c r="AM134" i="103" s="1"/>
  <c r="AC108" i="103"/>
  <c r="AC137" i="103" s="1"/>
  <c r="AB108" i="103"/>
  <c r="AB137" i="103" s="1"/>
  <c r="AA108" i="103"/>
  <c r="AA134" i="103" s="1"/>
  <c r="Q108" i="103"/>
  <c r="P108" i="103"/>
  <c r="O108" i="103"/>
  <c r="BA105" i="103"/>
  <c r="BA200" i="103" s="1"/>
  <c r="AZ105" i="103"/>
  <c r="AZ200" i="103" s="1"/>
  <c r="AY105" i="103"/>
  <c r="AY200" i="103" s="1"/>
  <c r="AO105" i="103"/>
  <c r="AO200" i="103" s="1"/>
  <c r="AN105" i="103"/>
  <c r="AN200" i="103" s="1"/>
  <c r="AM105" i="103"/>
  <c r="AM200" i="103" s="1"/>
  <c r="AC105" i="103"/>
  <c r="AC200" i="103" s="1"/>
  <c r="AB105" i="103"/>
  <c r="AB200" i="103" s="1"/>
  <c r="AA105" i="103"/>
  <c r="AA200" i="103" s="1"/>
  <c r="Q105" i="103"/>
  <c r="P105" i="103"/>
  <c r="O105" i="103"/>
  <c r="BA104" i="103"/>
  <c r="BA113" i="103" s="1"/>
  <c r="AZ104" i="103"/>
  <c r="AY104" i="103"/>
  <c r="AY113" i="103" s="1"/>
  <c r="AO104" i="103"/>
  <c r="AO113" i="103" s="1"/>
  <c r="AN104" i="103"/>
  <c r="AM104" i="103"/>
  <c r="AM113" i="103" s="1"/>
  <c r="AC104" i="103"/>
  <c r="AC113" i="103" s="1"/>
  <c r="AB104" i="103"/>
  <c r="AA104" i="103"/>
  <c r="AA113" i="103" s="1"/>
  <c r="Q104" i="103"/>
  <c r="Q113" i="103" s="1"/>
  <c r="P104" i="103"/>
  <c r="O104" i="103"/>
  <c r="O113" i="103" s="1"/>
  <c r="AW102" i="103"/>
  <c r="AK102" i="103"/>
  <c r="Y102" i="103"/>
  <c r="Q102" i="103"/>
  <c r="P102" i="103"/>
  <c r="O102" i="103"/>
  <c r="M102" i="103"/>
  <c r="J102" i="103"/>
  <c r="BA86" i="103"/>
  <c r="AZ86" i="103"/>
  <c r="AY86" i="103"/>
  <c r="AO86" i="103"/>
  <c r="AN86" i="103"/>
  <c r="AM86" i="103"/>
  <c r="AC86" i="103"/>
  <c r="AB86" i="103"/>
  <c r="AA86" i="103"/>
  <c r="Q86" i="103"/>
  <c r="O86" i="103"/>
  <c r="AZ84" i="103"/>
  <c r="AZ224" i="103" s="1"/>
  <c r="AN84" i="103"/>
  <c r="AN224" i="103" s="1"/>
  <c r="AB84" i="103"/>
  <c r="AB224" i="103" s="1"/>
  <c r="P84" i="103"/>
  <c r="E84" i="103"/>
  <c r="AW76" i="103"/>
  <c r="AK76" i="103"/>
  <c r="Y76" i="103"/>
  <c r="W76" i="103"/>
  <c r="V76" i="103"/>
  <c r="U76" i="103"/>
  <c r="T76" i="103"/>
  <c r="S76" i="103"/>
  <c r="R76" i="103"/>
  <c r="Q76" i="103"/>
  <c r="P76" i="103"/>
  <c r="O76" i="103"/>
  <c r="M76" i="103"/>
  <c r="J76" i="103"/>
  <c r="E71" i="103"/>
  <c r="E69" i="103"/>
  <c r="E68" i="103"/>
  <c r="E67" i="103"/>
  <c r="E66" i="103"/>
  <c r="E65" i="103"/>
  <c r="E64" i="103"/>
  <c r="E62" i="103"/>
  <c r="AW59" i="103"/>
  <c r="AK59" i="103"/>
  <c r="Y59" i="103"/>
  <c r="M59" i="103"/>
  <c r="J59" i="103"/>
  <c r="AW38" i="103"/>
  <c r="AK38" i="103"/>
  <c r="Y38" i="103"/>
  <c r="M38" i="103"/>
  <c r="AX29" i="103"/>
  <c r="BG24" i="103"/>
  <c r="BF24" i="103"/>
  <c r="BE24" i="103"/>
  <c r="BD24" i="103"/>
  <c r="BC24" i="103"/>
  <c r="BB24" i="103"/>
  <c r="BA24" i="103"/>
  <c r="AZ24" i="103"/>
  <c r="AY24" i="103"/>
  <c r="AU24" i="103"/>
  <c r="AT24" i="103"/>
  <c r="AS24" i="103"/>
  <c r="AR24" i="103"/>
  <c r="AQ24" i="103"/>
  <c r="AP24" i="103"/>
  <c r="AO24" i="103"/>
  <c r="AN24" i="103"/>
  <c r="AM24" i="103"/>
  <c r="AI24" i="103"/>
  <c r="AH24" i="103"/>
  <c r="AG24" i="103"/>
  <c r="AF24" i="103"/>
  <c r="AE24" i="103"/>
  <c r="AD24" i="103"/>
  <c r="AC24" i="103"/>
  <c r="AB24" i="103"/>
  <c r="AA24" i="103"/>
  <c r="W24" i="103"/>
  <c r="V24" i="103"/>
  <c r="U24" i="103"/>
  <c r="T24" i="103"/>
  <c r="S24" i="103"/>
  <c r="R24" i="103"/>
  <c r="Q24" i="103"/>
  <c r="P24" i="103"/>
  <c r="O24" i="103"/>
  <c r="BG20" i="103"/>
  <c r="BF20" i="103"/>
  <c r="BE20" i="103"/>
  <c r="BD20" i="103"/>
  <c r="BC20" i="103"/>
  <c r="BB20" i="103"/>
  <c r="BA20" i="103"/>
  <c r="AZ20" i="103"/>
  <c r="AY20" i="103"/>
  <c r="AU20" i="103"/>
  <c r="AT20" i="103"/>
  <c r="AS20" i="103"/>
  <c r="AR20" i="103"/>
  <c r="AQ20" i="103"/>
  <c r="AP20" i="103"/>
  <c r="AO20" i="103"/>
  <c r="AN20" i="103"/>
  <c r="AM20" i="103"/>
  <c r="AI20" i="103"/>
  <c r="AH20" i="103"/>
  <c r="AG20" i="103"/>
  <c r="AF20" i="103"/>
  <c r="AE20" i="103"/>
  <c r="AD20" i="103"/>
  <c r="AC20" i="103"/>
  <c r="AB20" i="103"/>
  <c r="AA20" i="103"/>
  <c r="W20" i="103"/>
  <c r="V20" i="103"/>
  <c r="U20" i="103"/>
  <c r="T20" i="103"/>
  <c r="S20" i="103"/>
  <c r="R20" i="103"/>
  <c r="Q20" i="103"/>
  <c r="P20" i="103"/>
  <c r="O20" i="103"/>
  <c r="BG19" i="103"/>
  <c r="BF19" i="103"/>
  <c r="BE19" i="103"/>
  <c r="BD19" i="103"/>
  <c r="BC19" i="103"/>
  <c r="BC17" i="103" s="1"/>
  <c r="BB19" i="103"/>
  <c r="BA19" i="103"/>
  <c r="BA17" i="103" s="1"/>
  <c r="AZ19" i="103"/>
  <c r="AZ17" i="103" s="1"/>
  <c r="AY19" i="103"/>
  <c r="AY17" i="103" s="1"/>
  <c r="AU19" i="103"/>
  <c r="AT19" i="103"/>
  <c r="AS19" i="103"/>
  <c r="AS17" i="103" s="1"/>
  <c r="AR19" i="103"/>
  <c r="AQ19" i="103"/>
  <c r="AP19" i="103"/>
  <c r="AO19" i="103"/>
  <c r="AO17" i="103" s="1"/>
  <c r="AN19" i="103"/>
  <c r="AM19" i="103"/>
  <c r="AI19" i="103"/>
  <c r="AH19" i="103"/>
  <c r="AH17" i="103" s="1"/>
  <c r="AH38" i="103" s="1"/>
  <c r="AG19" i="103"/>
  <c r="AF19" i="103"/>
  <c r="AE19" i="103"/>
  <c r="AE17" i="103" s="1"/>
  <c r="AD19" i="103"/>
  <c r="AD17" i="103" s="1"/>
  <c r="AD59" i="103" s="1"/>
  <c r="AC19" i="103"/>
  <c r="AB19" i="103"/>
  <c r="AB17" i="103" s="1"/>
  <c r="AB59" i="103" s="1"/>
  <c r="AA19" i="103"/>
  <c r="AA17" i="103" s="1"/>
  <c r="W19" i="103"/>
  <c r="W17" i="103" s="1"/>
  <c r="V19" i="103"/>
  <c r="U19" i="103"/>
  <c r="T19" i="103"/>
  <c r="S19" i="103"/>
  <c r="S17" i="103" s="1"/>
  <c r="R19" i="103"/>
  <c r="R17" i="103" s="1"/>
  <c r="R59" i="103" s="1"/>
  <c r="Q19" i="103"/>
  <c r="Q17" i="103" s="1"/>
  <c r="P19" i="103"/>
  <c r="P17" i="103" s="1"/>
  <c r="P38" i="103" s="1"/>
  <c r="O19" i="103"/>
  <c r="O17" i="103" s="1"/>
  <c r="BG17" i="103"/>
  <c r="BF17" i="103"/>
  <c r="BF59" i="103" s="1"/>
  <c r="AW17" i="103"/>
  <c r="AK17" i="103"/>
  <c r="Y17" i="103"/>
  <c r="T17" i="103"/>
  <c r="T59" i="103" s="1"/>
  <c r="M17" i="103"/>
  <c r="J17" i="103"/>
  <c r="BG10" i="103"/>
  <c r="BF10" i="103"/>
  <c r="BE10" i="103"/>
  <c r="BD10" i="103"/>
  <c r="BC10" i="103"/>
  <c r="BB10" i="103"/>
  <c r="BA10" i="103"/>
  <c r="AZ10" i="103"/>
  <c r="AY10" i="103"/>
  <c r="AU10" i="103"/>
  <c r="AT10" i="103"/>
  <c r="AS10" i="103"/>
  <c r="AR10" i="103"/>
  <c r="AQ10" i="103"/>
  <c r="AP10" i="103"/>
  <c r="AO10" i="103"/>
  <c r="AN10" i="103"/>
  <c r="AM10" i="103"/>
  <c r="AI10" i="103"/>
  <c r="AH10" i="103"/>
  <c r="AG10" i="103"/>
  <c r="AF10" i="103"/>
  <c r="AE10" i="103"/>
  <c r="AD10" i="103"/>
  <c r="AC10" i="103"/>
  <c r="AB10" i="103"/>
  <c r="AA10" i="103"/>
  <c r="H6" i="103"/>
  <c r="G5" i="103"/>
  <c r="E3" i="103"/>
  <c r="E2" i="103"/>
  <c r="E1" i="103"/>
  <c r="AW179" i="107"/>
  <c r="AN134" i="107" l="1"/>
  <c r="AN202" i="107" s="1"/>
  <c r="AN203" i="107" s="1"/>
  <c r="O40" i="105"/>
  <c r="O53" i="105" s="1"/>
  <c r="P134" i="107"/>
  <c r="P135" i="107" s="1"/>
  <c r="AN134" i="105"/>
  <c r="AN202" i="105" s="1"/>
  <c r="AN203" i="105" s="1"/>
  <c r="P134" i="104"/>
  <c r="P135" i="104" s="1"/>
  <c r="AZ134" i="105"/>
  <c r="AZ202" i="105" s="1"/>
  <c r="AZ203" i="105" s="1"/>
  <c r="AH56" i="104" a="1"/>
  <c r="AH56" i="104" s="1"/>
  <c r="AG56" i="104" a="1"/>
  <c r="AG56" i="104" s="1"/>
  <c r="AT56" i="104" a="1"/>
  <c r="AT56" i="104" s="1"/>
  <c r="BE56" i="104" a="1"/>
  <c r="BE56" i="104" s="1"/>
  <c r="V56" i="104" a="1"/>
  <c r="V56" i="104" s="1"/>
  <c r="BF56" i="104" a="1"/>
  <c r="BF56" i="104" s="1"/>
  <c r="AC56" i="104" a="1"/>
  <c r="AC56" i="104" s="1"/>
  <c r="AD56" i="104" a="1"/>
  <c r="AD56" i="104" s="1"/>
  <c r="AP56" i="104" a="1"/>
  <c r="AP56" i="104" s="1"/>
  <c r="BA56" i="104" a="1"/>
  <c r="BA56" i="104" s="1"/>
  <c r="BB56" i="104" a="1"/>
  <c r="BB56" i="104" s="1"/>
  <c r="AR17" i="107"/>
  <c r="AR59" i="107" s="1"/>
  <c r="AI17" i="106"/>
  <c r="BE17" i="106"/>
  <c r="BD17" i="106"/>
  <c r="BD59" i="106" s="1"/>
  <c r="AH17" i="105"/>
  <c r="AH38" i="105" s="1"/>
  <c r="AO17" i="105"/>
  <c r="AO38" i="105" s="1"/>
  <c r="BD17" i="103"/>
  <c r="BD59" i="103" s="1"/>
  <c r="AF51" i="107"/>
  <c r="V51" i="107"/>
  <c r="AG51" i="107"/>
  <c r="AR51" i="107"/>
  <c r="BC51" i="107"/>
  <c r="W51" i="107"/>
  <c r="AS51" i="107"/>
  <c r="BD51" i="107"/>
  <c r="BE51" i="107"/>
  <c r="AM51" i="107"/>
  <c r="AU51" i="107"/>
  <c r="BF51" i="107"/>
  <c r="U51" i="107"/>
  <c r="AC51" i="107"/>
  <c r="AN51" i="107"/>
  <c r="AY51" i="107"/>
  <c r="BG51" i="107"/>
  <c r="AO51" i="107"/>
  <c r="AZ51" i="107"/>
  <c r="AQ51" i="107"/>
  <c r="BA51" i="107"/>
  <c r="P61" i="106"/>
  <c r="P63" i="106"/>
  <c r="BE22" i="106"/>
  <c r="AM51" i="106"/>
  <c r="AU51" i="106"/>
  <c r="BF51" i="106"/>
  <c r="R61" i="106"/>
  <c r="R63" i="106"/>
  <c r="BG17" i="106"/>
  <c r="BG263" i="106" s="1"/>
  <c r="AD34" i="106"/>
  <c r="AO34" i="106"/>
  <c r="AZ17" i="106"/>
  <c r="AZ59" i="106" s="1"/>
  <c r="AE21" i="106"/>
  <c r="AE66" i="106" s="1"/>
  <c r="U51" i="106"/>
  <c r="AF51" i="106"/>
  <c r="AQ51" i="106"/>
  <c r="BB51" i="106"/>
  <c r="AH17" i="106"/>
  <c r="AH304" i="106" s="1"/>
  <c r="BD35" i="106"/>
  <c r="AC51" i="105"/>
  <c r="AN51" i="105"/>
  <c r="AY51" i="105"/>
  <c r="BG51" i="105"/>
  <c r="BF51" i="105"/>
  <c r="AO51" i="105"/>
  <c r="AZ51" i="105"/>
  <c r="T51" i="105"/>
  <c r="AE51" i="105"/>
  <c r="AP51" i="105"/>
  <c r="BA51" i="105"/>
  <c r="BF17" i="105"/>
  <c r="BB51" i="105"/>
  <c r="V51" i="105"/>
  <c r="BC51" i="105"/>
  <c r="AH51" i="105"/>
  <c r="BD51" i="105"/>
  <c r="AI51" i="105"/>
  <c r="AT51" i="105"/>
  <c r="BE51" i="105"/>
  <c r="AQ51" i="104"/>
  <c r="V51" i="104"/>
  <c r="BC51" i="104"/>
  <c r="W51" i="104"/>
  <c r="AH51" i="104"/>
  <c r="AS51" i="104"/>
  <c r="BD51" i="104"/>
  <c r="U51" i="104"/>
  <c r="BE51" i="104"/>
  <c r="AM51" i="104"/>
  <c r="AU51" i="104"/>
  <c r="BF51" i="104"/>
  <c r="AY51" i="104"/>
  <c r="BG51" i="104"/>
  <c r="AC17" i="104"/>
  <c r="AC59" i="104" s="1"/>
  <c r="AD51" i="104"/>
  <c r="AO51" i="104"/>
  <c r="AZ51" i="104"/>
  <c r="BB51" i="104"/>
  <c r="T51" i="104"/>
  <c r="BA51" i="104"/>
  <c r="BD31" i="104"/>
  <c r="BD276" i="104" s="1"/>
  <c r="AF17" i="103"/>
  <c r="AQ17" i="103"/>
  <c r="V17" i="103"/>
  <c r="V281" i="103" s="1"/>
  <c r="AG17" i="103"/>
  <c r="AG281" i="103" s="1"/>
  <c r="AR17" i="103"/>
  <c r="AR38" i="103" s="1"/>
  <c r="U17" i="103"/>
  <c r="U235" i="103" s="1"/>
  <c r="BB17" i="103"/>
  <c r="BB38" i="103" s="1"/>
  <c r="AH67" i="103"/>
  <c r="BE17" i="103"/>
  <c r="AI17" i="103"/>
  <c r="AM17" i="103"/>
  <c r="AM263" i="103" s="1"/>
  <c r="AU17" i="103"/>
  <c r="AU281" i="103" s="1"/>
  <c r="BF67" i="103"/>
  <c r="AC17" i="103"/>
  <c r="AC242" i="103" s="1"/>
  <c r="AN17" i="103"/>
  <c r="AN59" i="103" s="1"/>
  <c r="AT67" i="103"/>
  <c r="AP17" i="103"/>
  <c r="BE17" i="107"/>
  <c r="BE59" i="107" s="1"/>
  <c r="BB31" i="106"/>
  <c r="BB283" i="106" s="1"/>
  <c r="BF31" i="106"/>
  <c r="BF32" i="106" s="1"/>
  <c r="AD17" i="106"/>
  <c r="AD228" i="106" s="1"/>
  <c r="BG17" i="104"/>
  <c r="BG59" i="104" s="1"/>
  <c r="BB69" i="107"/>
  <c r="BB51" i="107"/>
  <c r="W17" i="107"/>
  <c r="W242" i="107" s="1"/>
  <c r="AI31" i="107"/>
  <c r="AI276" i="107" s="1"/>
  <c r="AI51" i="107"/>
  <c r="AT17" i="107"/>
  <c r="AT304" i="107" s="1"/>
  <c r="AT51" i="107"/>
  <c r="AH69" i="107"/>
  <c r="AH51" i="107"/>
  <c r="AQ17" i="107"/>
  <c r="AQ304" i="107" s="1"/>
  <c r="BB17" i="107"/>
  <c r="BB59" i="107" s="1"/>
  <c r="AF17" i="107"/>
  <c r="AF59" i="107" s="1"/>
  <c r="BC17" i="107"/>
  <c r="BC242" i="107" s="1"/>
  <c r="AG17" i="107"/>
  <c r="AG59" i="107" s="1"/>
  <c r="AS17" i="107"/>
  <c r="AS304" i="107" s="1"/>
  <c r="BD17" i="107"/>
  <c r="BD242" i="107" s="1"/>
  <c r="AD67" i="107"/>
  <c r="AD51" i="107"/>
  <c r="U17" i="107"/>
  <c r="U59" i="107" s="1"/>
  <c r="AH17" i="107"/>
  <c r="AH59" i="107" s="1"/>
  <c r="T17" i="107"/>
  <c r="T59" i="107" s="1"/>
  <c r="T51" i="107"/>
  <c r="AE31" i="107"/>
  <c r="AE271" i="107" s="1"/>
  <c r="AE51" i="107"/>
  <c r="AP67" i="107"/>
  <c r="AP51" i="107"/>
  <c r="AP21" i="106"/>
  <c r="AP289" i="106" s="1"/>
  <c r="AP51" i="106"/>
  <c r="AY21" i="106"/>
  <c r="AY289" i="106" s="1"/>
  <c r="AY51" i="106"/>
  <c r="T22" i="106"/>
  <c r="T51" i="106"/>
  <c r="AK24" i="106"/>
  <c r="AU29" i="106" s="1"/>
  <c r="AU14" i="106" s="1"/>
  <c r="AD69" i="106"/>
  <c r="AD51" i="106"/>
  <c r="AY17" i="106"/>
  <c r="V22" i="106"/>
  <c r="V51" i="106"/>
  <c r="AG22" i="106"/>
  <c r="AG51" i="106"/>
  <c r="AR22" i="106"/>
  <c r="AR51" i="106"/>
  <c r="BC22" i="106"/>
  <c r="BC51" i="106"/>
  <c r="AZ34" i="106"/>
  <c r="AC21" i="106"/>
  <c r="AC289" i="106" s="1"/>
  <c r="AC51" i="106"/>
  <c r="BG21" i="106"/>
  <c r="BG51" i="106"/>
  <c r="BA22" i="106"/>
  <c r="BA51" i="106"/>
  <c r="W34" i="106"/>
  <c r="W51" i="106"/>
  <c r="AH69" i="106"/>
  <c r="AH51" i="106"/>
  <c r="AS34" i="106"/>
  <c r="AS51" i="106"/>
  <c r="BD31" i="106"/>
  <c r="BD278" i="106" s="1"/>
  <c r="BD51" i="106"/>
  <c r="W35" i="106"/>
  <c r="AZ35" i="106"/>
  <c r="AZ51" i="106"/>
  <c r="AE22" i="106"/>
  <c r="AE51" i="106"/>
  <c r="BA17" i="106"/>
  <c r="BA263" i="106" s="1"/>
  <c r="AI21" i="106"/>
  <c r="AI66" i="106" s="1"/>
  <c r="AI51" i="106"/>
  <c r="AT21" i="106"/>
  <c r="AT289" i="106" s="1"/>
  <c r="AT51" i="106"/>
  <c r="BE21" i="106"/>
  <c r="BE289" i="106" s="1"/>
  <c r="BE51" i="106"/>
  <c r="BA21" i="106"/>
  <c r="AF31" i="106"/>
  <c r="AF283" i="106" s="1"/>
  <c r="AH35" i="106"/>
  <c r="AN21" i="106"/>
  <c r="AN289" i="106" s="1"/>
  <c r="AN51" i="106"/>
  <c r="AO35" i="106"/>
  <c r="AO51" i="106"/>
  <c r="W17" i="106"/>
  <c r="W59" i="106" s="1"/>
  <c r="AO17" i="106"/>
  <c r="AO242" i="106" s="1"/>
  <c r="AI22" i="106"/>
  <c r="AT31" i="106"/>
  <c r="AT270" i="106" s="1"/>
  <c r="AS35" i="106"/>
  <c r="AT17" i="105"/>
  <c r="AT59" i="105" s="1"/>
  <c r="BE17" i="105"/>
  <c r="BE235" i="105" s="1"/>
  <c r="U35" i="105"/>
  <c r="U51" i="105"/>
  <c r="AF17" i="105"/>
  <c r="AF59" i="105" s="1"/>
  <c r="AF51" i="105"/>
  <c r="AQ35" i="105"/>
  <c r="AQ51" i="105"/>
  <c r="AG31" i="105"/>
  <c r="AG271" i="105" s="1"/>
  <c r="AG51" i="105"/>
  <c r="AR69" i="105"/>
  <c r="AR51" i="105"/>
  <c r="AI17" i="105"/>
  <c r="AI38" i="105" s="1"/>
  <c r="W35" i="105"/>
  <c r="W51" i="105"/>
  <c r="AS35" i="105"/>
  <c r="AS51" i="105"/>
  <c r="AM17" i="105"/>
  <c r="AM228" i="105" s="1"/>
  <c r="AM51" i="105"/>
  <c r="AU17" i="105"/>
  <c r="AU304" i="105" s="1"/>
  <c r="AU51" i="105"/>
  <c r="BC17" i="105"/>
  <c r="BC38" i="105" s="1"/>
  <c r="AD69" i="105"/>
  <c r="AD51" i="105"/>
  <c r="U17" i="104"/>
  <c r="U59" i="104" s="1"/>
  <c r="AG67" i="104"/>
  <c r="AG51" i="104"/>
  <c r="AI67" i="104"/>
  <c r="AI51" i="104"/>
  <c r="BB17" i="104"/>
  <c r="BB59" i="104" s="1"/>
  <c r="AT69" i="104"/>
  <c r="AT51" i="104"/>
  <c r="AQ17" i="104"/>
  <c r="AQ59" i="104" s="1"/>
  <c r="BC17" i="104"/>
  <c r="BC59" i="104" s="1"/>
  <c r="AC67" i="104"/>
  <c r="AC51" i="104"/>
  <c r="AN17" i="104"/>
  <c r="AN242" i="104" s="1"/>
  <c r="AN51" i="104"/>
  <c r="AF67" i="104"/>
  <c r="AF51" i="104"/>
  <c r="AS17" i="104"/>
  <c r="AS59" i="104" s="1"/>
  <c r="BD17" i="104"/>
  <c r="BD242" i="104" s="1"/>
  <c r="AR69" i="104"/>
  <c r="AR51" i="104"/>
  <c r="AF17" i="104"/>
  <c r="AF304" i="104" s="1"/>
  <c r="AU17" i="104"/>
  <c r="AU59" i="104" s="1"/>
  <c r="BE17" i="104"/>
  <c r="BE59" i="104" s="1"/>
  <c r="AE67" i="104"/>
  <c r="AE51" i="104"/>
  <c r="AP17" i="104"/>
  <c r="AP228" i="104" s="1"/>
  <c r="AP51" i="104"/>
  <c r="AZ31" i="104"/>
  <c r="AZ278" i="104" s="1"/>
  <c r="AT51" i="103"/>
  <c r="AM51" i="103"/>
  <c r="AU51" i="103"/>
  <c r="BF51" i="103"/>
  <c r="BE51" i="103"/>
  <c r="AC51" i="103"/>
  <c r="AN51" i="103"/>
  <c r="AY51" i="103"/>
  <c r="BG51" i="103"/>
  <c r="AD51" i="103"/>
  <c r="AO51" i="103"/>
  <c r="AZ51" i="103"/>
  <c r="AT17" i="103"/>
  <c r="AT59" i="103" s="1"/>
  <c r="T51" i="103"/>
  <c r="AE51" i="103"/>
  <c r="AP51" i="103"/>
  <c r="BA51" i="103"/>
  <c r="BB51" i="103"/>
  <c r="U51" i="103"/>
  <c r="AQ51" i="103"/>
  <c r="V51" i="103"/>
  <c r="AG51" i="103"/>
  <c r="AR51" i="103"/>
  <c r="BC51" i="103"/>
  <c r="AI51" i="103"/>
  <c r="AF51" i="103"/>
  <c r="W51" i="103"/>
  <c r="AH51" i="103"/>
  <c r="AS51" i="103"/>
  <c r="BD51" i="103"/>
  <c r="AB17" i="107"/>
  <c r="AB263" i="107" s="1"/>
  <c r="AB17" i="105"/>
  <c r="AB59" i="105" s="1"/>
  <c r="AB17" i="106"/>
  <c r="AB59" i="106" s="1"/>
  <c r="AA17" i="107"/>
  <c r="AA242" i="107" s="1"/>
  <c r="AA17" i="105"/>
  <c r="AA59" i="105" s="1"/>
  <c r="AA21" i="106"/>
  <c r="AA26" i="106" s="1"/>
  <c r="AA17" i="106"/>
  <c r="AA242" i="106" s="1"/>
  <c r="AN134" i="104"/>
  <c r="AN202" i="104" s="1"/>
  <c r="AN203" i="104" s="1"/>
  <c r="AB134" i="107"/>
  <c r="AB202" i="107" s="1"/>
  <c r="AB203" i="107" s="1"/>
  <c r="AN134" i="106"/>
  <c r="AN135" i="106" s="1"/>
  <c r="Y24" i="103"/>
  <c r="AA8" i="103" s="1"/>
  <c r="P26" i="106"/>
  <c r="AB134" i="104"/>
  <c r="AB135" i="104" s="1"/>
  <c r="P200" i="103"/>
  <c r="Q200" i="105"/>
  <c r="Q134" i="106"/>
  <c r="Q135" i="106" s="1"/>
  <c r="P200" i="105"/>
  <c r="Q200" i="103"/>
  <c r="AB134" i="103"/>
  <c r="AB202" i="103" s="1"/>
  <c r="AB203" i="103" s="1"/>
  <c r="P224" i="104"/>
  <c r="P137" i="104"/>
  <c r="P200" i="107"/>
  <c r="P134" i="106"/>
  <c r="P202" i="106" s="1"/>
  <c r="P203" i="106" s="1"/>
  <c r="Q134" i="104"/>
  <c r="Q135" i="104" s="1"/>
  <c r="P224" i="105"/>
  <c r="P137" i="105"/>
  <c r="Q200" i="107"/>
  <c r="Q134" i="107"/>
  <c r="Q135" i="107" s="1"/>
  <c r="P224" i="103"/>
  <c r="P137" i="103"/>
  <c r="Q137" i="105"/>
  <c r="Q134" i="103"/>
  <c r="Q135" i="103" s="1"/>
  <c r="P224" i="106"/>
  <c r="P137" i="106"/>
  <c r="P224" i="107"/>
  <c r="P137" i="107"/>
  <c r="O134" i="104"/>
  <c r="O200" i="107"/>
  <c r="O134" i="105"/>
  <c r="O200" i="106"/>
  <c r="O200" i="103"/>
  <c r="O134" i="103"/>
  <c r="O200" i="104"/>
  <c r="O134" i="107"/>
  <c r="O200" i="105"/>
  <c r="O137" i="106"/>
  <c r="AW24" i="105"/>
  <c r="BF29" i="105" s="1"/>
  <c r="BF14" i="105" s="1"/>
  <c r="P134" i="103"/>
  <c r="P135" i="103" s="1"/>
  <c r="AN134" i="103"/>
  <c r="AN202" i="103" s="1"/>
  <c r="AN203" i="103" s="1"/>
  <c r="AB134" i="106"/>
  <c r="AB135" i="106" s="1"/>
  <c r="AZ134" i="104"/>
  <c r="AZ135" i="104" s="1"/>
  <c r="P134" i="105"/>
  <c r="P202" i="105" s="1"/>
  <c r="P203" i="105" s="1"/>
  <c r="AZ134" i="103"/>
  <c r="AZ135" i="103" s="1"/>
  <c r="AB134" i="105"/>
  <c r="AB202" i="105" s="1"/>
  <c r="AB203" i="105" s="1"/>
  <c r="AZ134" i="107"/>
  <c r="AZ202" i="107" s="1"/>
  <c r="AZ203" i="107" s="1"/>
  <c r="AZ134" i="106"/>
  <c r="AZ202" i="106" s="1"/>
  <c r="AZ203" i="106" s="1"/>
  <c r="S17" i="106"/>
  <c r="S242" i="106" s="1"/>
  <c r="S34" i="106"/>
  <c r="AK179" i="103"/>
  <c r="AW179" i="104"/>
  <c r="Y179" i="105"/>
  <c r="AK179" i="106"/>
  <c r="M179" i="107"/>
  <c r="AW179" i="103"/>
  <c r="M179" i="104"/>
  <c r="AK179" i="105"/>
  <c r="AW179" i="106"/>
  <c r="Y179" i="107"/>
  <c r="M179" i="103"/>
  <c r="Y179" i="104"/>
  <c r="AW179" i="105"/>
  <c r="M179" i="106"/>
  <c r="AK179" i="107"/>
  <c r="Y179" i="103"/>
  <c r="AK179" i="104"/>
  <c r="M179" i="105"/>
  <c r="Y179" i="106"/>
  <c r="M24" i="106"/>
  <c r="V29" i="106" s="1"/>
  <c r="AK24" i="104"/>
  <c r="AM8" i="104" s="1"/>
  <c r="AK24" i="107"/>
  <c r="AM5" i="107" s="1"/>
  <c r="M24" i="107"/>
  <c r="Y24" i="106"/>
  <c r="AE29" i="106" s="1"/>
  <c r="AZ122" i="106"/>
  <c r="Y24" i="105"/>
  <c r="AA8" i="105" s="1"/>
  <c r="M24" i="104"/>
  <c r="P122" i="104"/>
  <c r="AW24" i="103"/>
  <c r="BG29" i="103" s="1"/>
  <c r="W17" i="105"/>
  <c r="W242" i="105" s="1"/>
  <c r="AD17" i="105"/>
  <c r="AD235" i="105" s="1"/>
  <c r="AE17" i="106"/>
  <c r="AE263" i="106" s="1"/>
  <c r="AP22" i="106"/>
  <c r="AD31" i="106"/>
  <c r="AD32" i="106" s="1"/>
  <c r="AZ31" i="106"/>
  <c r="AZ32" i="106" s="1"/>
  <c r="AH34" i="106"/>
  <c r="BD34" i="106"/>
  <c r="AD35" i="106"/>
  <c r="T21" i="106"/>
  <c r="AT22" i="106"/>
  <c r="AE17" i="107"/>
  <c r="AE263" i="107" s="1"/>
  <c r="AI17" i="107"/>
  <c r="AI263" i="107" s="1"/>
  <c r="AF31" i="104"/>
  <c r="AF276" i="104" s="1"/>
  <c r="O17" i="105"/>
  <c r="O38" i="105" s="1"/>
  <c r="AS17" i="105"/>
  <c r="AS242" i="105" s="1"/>
  <c r="AH31" i="106"/>
  <c r="AH32" i="106" s="1"/>
  <c r="AP17" i="107"/>
  <c r="AP263" i="107" s="1"/>
  <c r="Y182" i="107"/>
  <c r="BE164" i="107"/>
  <c r="BA164" i="107"/>
  <c r="AS164" i="107"/>
  <c r="AO164" i="107"/>
  <c r="AG164" i="107"/>
  <c r="AC164" i="107"/>
  <c r="U164" i="107"/>
  <c r="Q164" i="107"/>
  <c r="M182" i="107"/>
  <c r="BD164" i="107"/>
  <c r="AZ164" i="107"/>
  <c r="AR164" i="107"/>
  <c r="AN164" i="107"/>
  <c r="AF164" i="107"/>
  <c r="AB164" i="107"/>
  <c r="T164" i="107"/>
  <c r="P164" i="107"/>
  <c r="AW182" i="107"/>
  <c r="BC164" i="107"/>
  <c r="AY164" i="107"/>
  <c r="AQ164" i="107"/>
  <c r="AM164" i="107"/>
  <c r="AE164" i="107"/>
  <c r="AA164" i="107"/>
  <c r="S164" i="107"/>
  <c r="O164" i="107"/>
  <c r="AK182" i="107"/>
  <c r="BF164" i="107"/>
  <c r="BB164" i="107"/>
  <c r="AT164" i="107"/>
  <c r="AP164" i="107"/>
  <c r="AH164" i="107"/>
  <c r="AD164" i="107"/>
  <c r="V164" i="107"/>
  <c r="R164" i="107"/>
  <c r="AC222" i="107"/>
  <c r="AC210" i="107"/>
  <c r="AC198" i="107"/>
  <c r="AC168" i="107"/>
  <c r="AC152" i="107"/>
  <c r="AC102" i="107"/>
  <c r="AC187" i="107"/>
  <c r="AC76" i="107"/>
  <c r="AG222" i="107"/>
  <c r="AG198" i="107"/>
  <c r="AG168" i="107"/>
  <c r="AG152" i="107"/>
  <c r="AG187" i="107"/>
  <c r="AG76" i="107"/>
  <c r="AN222" i="107"/>
  <c r="AN198" i="107"/>
  <c r="AN210" i="107"/>
  <c r="AN168" i="107"/>
  <c r="AN187" i="107"/>
  <c r="AN152" i="107"/>
  <c r="AN76" i="107"/>
  <c r="AN102" i="107"/>
  <c r="AR222" i="107"/>
  <c r="AR198" i="107"/>
  <c r="AR168" i="107"/>
  <c r="AR187" i="107"/>
  <c r="AR152" i="107"/>
  <c r="AR76" i="107"/>
  <c r="AY198" i="107"/>
  <c r="AY222" i="107"/>
  <c r="AY210" i="107"/>
  <c r="AY102" i="107"/>
  <c r="AY187" i="107"/>
  <c r="AY168" i="107"/>
  <c r="AY76" i="107"/>
  <c r="AY152" i="107"/>
  <c r="BC198" i="107"/>
  <c r="BC222" i="107"/>
  <c r="BC187" i="107"/>
  <c r="BC168" i="107"/>
  <c r="BC76" i="107"/>
  <c r="BC152" i="107"/>
  <c r="BG210" i="107"/>
  <c r="BG198" i="107"/>
  <c r="BG222" i="107"/>
  <c r="BG187" i="107"/>
  <c r="BG168" i="107"/>
  <c r="BG76" i="107"/>
  <c r="Q304" i="107"/>
  <c r="Q263" i="107"/>
  <c r="Q281" i="107"/>
  <c r="Q242" i="107"/>
  <c r="Q228" i="107"/>
  <c r="Q235" i="107"/>
  <c r="Q59" i="107"/>
  <c r="AO304" i="107"/>
  <c r="AO263" i="107"/>
  <c r="AO281" i="107"/>
  <c r="AO242" i="107"/>
  <c r="AO235" i="107"/>
  <c r="AO228" i="107"/>
  <c r="AO59" i="107"/>
  <c r="AY304" i="107"/>
  <c r="AY281" i="107"/>
  <c r="AY263" i="107"/>
  <c r="AY242" i="107"/>
  <c r="AY235" i="107"/>
  <c r="AY228" i="107"/>
  <c r="AY59" i="107"/>
  <c r="BC281" i="107"/>
  <c r="BC235" i="107"/>
  <c r="BG304" i="107"/>
  <c r="BG281" i="107"/>
  <c r="BG263" i="107"/>
  <c r="BG242" i="107"/>
  <c r="BG235" i="107"/>
  <c r="BG228" i="107"/>
  <c r="BG59" i="107"/>
  <c r="V232" i="107"/>
  <c r="V230" i="107"/>
  <c r="AC232" i="107"/>
  <c r="AC230" i="107"/>
  <c r="AC69" i="107"/>
  <c r="AC67" i="107"/>
  <c r="AG232" i="107"/>
  <c r="AG230" i="107"/>
  <c r="AG69" i="107"/>
  <c r="AG67" i="107"/>
  <c r="AR232" i="107"/>
  <c r="AR230" i="107"/>
  <c r="AY67" i="107"/>
  <c r="BC232" i="107"/>
  <c r="BC230" i="107"/>
  <c r="BC69" i="107"/>
  <c r="BC67" i="107"/>
  <c r="BG232" i="107"/>
  <c r="BG230" i="107"/>
  <c r="BG69" i="107"/>
  <c r="BG67" i="107"/>
  <c r="R21" i="107"/>
  <c r="R289" i="107" s="1"/>
  <c r="V21" i="107"/>
  <c r="AC21" i="107"/>
  <c r="AC289" i="107" s="1"/>
  <c r="AG21" i="107"/>
  <c r="AG289" i="107" s="1"/>
  <c r="AN21" i="107"/>
  <c r="AR21" i="107"/>
  <c r="AY21" i="107"/>
  <c r="AY289" i="107" s="1"/>
  <c r="BC21" i="107"/>
  <c r="BC289" i="107" s="1"/>
  <c r="BG21" i="107"/>
  <c r="BG289" i="107" s="1"/>
  <c r="R22" i="107"/>
  <c r="V22" i="107"/>
  <c r="AC22" i="107"/>
  <c r="AG22" i="107"/>
  <c r="AN22" i="107"/>
  <c r="AR22" i="107"/>
  <c r="AY22" i="107"/>
  <c r="BC22" i="107"/>
  <c r="BG22" i="107"/>
  <c r="T247" i="107"/>
  <c r="T246" i="107"/>
  <c r="Y24" i="107"/>
  <c r="AD247" i="107"/>
  <c r="AD246" i="107"/>
  <c r="AD244" i="107"/>
  <c r="AH247" i="107"/>
  <c r="AH246" i="107"/>
  <c r="AH244" i="107"/>
  <c r="AR247" i="107"/>
  <c r="AR246" i="107"/>
  <c r="AR244" i="107"/>
  <c r="AW24" i="107"/>
  <c r="BB247" i="107"/>
  <c r="BB246" i="107"/>
  <c r="BB244" i="107"/>
  <c r="BB56" i="107" a="1"/>
  <c r="BB56" i="107" s="1"/>
  <c r="BF247" i="107"/>
  <c r="BF246" i="107"/>
  <c r="BF244" i="107"/>
  <c r="BF56" i="107" a="1"/>
  <c r="BF56" i="107" s="1"/>
  <c r="T31" i="107"/>
  <c r="T269" i="107" s="1"/>
  <c r="AD31" i="107"/>
  <c r="AD291" i="107" s="1"/>
  <c r="AH31" i="107"/>
  <c r="AH271" i="107" s="1"/>
  <c r="AR31" i="107"/>
  <c r="AR283" i="107" s="1"/>
  <c r="BB31" i="107"/>
  <c r="BB283" i="107" s="1"/>
  <c r="BF31" i="107"/>
  <c r="BF32" i="107" s="1"/>
  <c r="U34" i="107"/>
  <c r="AF34" i="107"/>
  <c r="AM34" i="107"/>
  <c r="AQ34" i="107"/>
  <c r="AU34" i="107"/>
  <c r="BB34" i="107"/>
  <c r="BF34" i="107"/>
  <c r="U35" i="107"/>
  <c r="AF35" i="107"/>
  <c r="AM35" i="107"/>
  <c r="AQ35" i="107"/>
  <c r="AU35" i="107"/>
  <c r="BB35" i="107"/>
  <c r="BF35" i="107"/>
  <c r="P38" i="107"/>
  <c r="T38" i="107"/>
  <c r="AN38" i="107"/>
  <c r="AR38" i="107"/>
  <c r="BF38" i="107"/>
  <c r="Q40" i="107"/>
  <c r="Q64" i="107" s="1"/>
  <c r="U40" i="107"/>
  <c r="U64" i="107" s="1"/>
  <c r="AB40" i="107"/>
  <c r="AB64" i="107" s="1"/>
  <c r="AF40" i="107"/>
  <c r="AF64" i="107" s="1"/>
  <c r="AM40" i="107"/>
  <c r="AM64" i="107" s="1"/>
  <c r="AQ40" i="107"/>
  <c r="AQ64" i="107" s="1"/>
  <c r="AU40" i="107"/>
  <c r="AU64" i="107" s="1"/>
  <c r="BB40" i="107"/>
  <c r="BB64" i="107" s="1"/>
  <c r="BF40" i="107"/>
  <c r="BF64" i="107" s="1"/>
  <c r="AP56" i="107" a="1"/>
  <c r="AP56" i="107" s="1"/>
  <c r="BA56" i="107" a="1"/>
  <c r="BA56" i="107" s="1"/>
  <c r="T67" i="107"/>
  <c r="BF67" i="107"/>
  <c r="AR69" i="107"/>
  <c r="AD222" i="107"/>
  <c r="AD198" i="107"/>
  <c r="AD168" i="107"/>
  <c r="AD152" i="107"/>
  <c r="AD187" i="107"/>
  <c r="AD76" i="107"/>
  <c r="AH222" i="107"/>
  <c r="AH198" i="107"/>
  <c r="AH168" i="107"/>
  <c r="AH152" i="107"/>
  <c r="AH187" i="107"/>
  <c r="AH76" i="107"/>
  <c r="AO198" i="107"/>
  <c r="AO210" i="107"/>
  <c r="AO222" i="107"/>
  <c r="AO168" i="107"/>
  <c r="AO187" i="107"/>
  <c r="AO152" i="107"/>
  <c r="AO76" i="107"/>
  <c r="AO102" i="107"/>
  <c r="AS198" i="107"/>
  <c r="AS222" i="107"/>
  <c r="AS168" i="107"/>
  <c r="AS187" i="107"/>
  <c r="AS152" i="107"/>
  <c r="AS76" i="107"/>
  <c r="AZ198" i="107"/>
  <c r="AZ222" i="107"/>
  <c r="AZ210" i="107"/>
  <c r="AZ187" i="107"/>
  <c r="AZ168" i="107"/>
  <c r="AZ76" i="107"/>
  <c r="AZ152" i="107"/>
  <c r="AZ102" i="107"/>
  <c r="BD198" i="107"/>
  <c r="BD222" i="107"/>
  <c r="BD187" i="107"/>
  <c r="BD168" i="107"/>
  <c r="BD76" i="107"/>
  <c r="BD152" i="107"/>
  <c r="R304" i="107"/>
  <c r="R281" i="107"/>
  <c r="R263" i="107"/>
  <c r="R242" i="107"/>
  <c r="R235" i="107"/>
  <c r="R228" i="107"/>
  <c r="V304" i="107"/>
  <c r="V281" i="107"/>
  <c r="V263" i="107"/>
  <c r="V235" i="107"/>
  <c r="V242" i="107"/>
  <c r="V228" i="107"/>
  <c r="AP228" i="107"/>
  <c r="AZ304" i="107"/>
  <c r="AZ263" i="107"/>
  <c r="AZ281" i="107"/>
  <c r="AZ235" i="107"/>
  <c r="AZ242" i="107"/>
  <c r="AZ228" i="107"/>
  <c r="W232" i="107"/>
  <c r="W230" i="107"/>
  <c r="W69" i="107"/>
  <c r="W67" i="107"/>
  <c r="AD232" i="107"/>
  <c r="AD230" i="107"/>
  <c r="AH232" i="107"/>
  <c r="AH230" i="107"/>
  <c r="AO232" i="107"/>
  <c r="AO230" i="107"/>
  <c r="AO69" i="107"/>
  <c r="AO67" i="107"/>
  <c r="AS232" i="107"/>
  <c r="AS230" i="107"/>
  <c r="AS69" i="107"/>
  <c r="AS67" i="107"/>
  <c r="AZ232" i="107"/>
  <c r="AZ230" i="107"/>
  <c r="AZ69" i="107"/>
  <c r="BD232" i="107"/>
  <c r="BD230" i="107"/>
  <c r="BD69" i="107"/>
  <c r="O21" i="107"/>
  <c r="O289" i="107" s="1"/>
  <c r="S21" i="107"/>
  <c r="S289" i="107" s="1"/>
  <c r="W21" i="107"/>
  <c r="AD21" i="107"/>
  <c r="AD289" i="107" s="1"/>
  <c r="AH21" i="107"/>
  <c r="AO21" i="107"/>
  <c r="AO289" i="107" s="1"/>
  <c r="AS21" i="107"/>
  <c r="AS289" i="107" s="1"/>
  <c r="AZ21" i="107"/>
  <c r="AZ289" i="107" s="1"/>
  <c r="BD21" i="107"/>
  <c r="O22" i="107"/>
  <c r="S22" i="107"/>
  <c r="W22" i="107"/>
  <c r="AD22" i="107"/>
  <c r="AH22" i="107"/>
  <c r="AO22" i="107"/>
  <c r="AS22" i="107"/>
  <c r="AZ22" i="107"/>
  <c r="BD22" i="107"/>
  <c r="U247" i="107"/>
  <c r="U246" i="107"/>
  <c r="AI78" i="107"/>
  <c r="AI171" i="107" s="1"/>
  <c r="Y73" i="107"/>
  <c r="AI218" i="107" s="1"/>
  <c r="AH78" i="107"/>
  <c r="AH157" i="107" s="1"/>
  <c r="Y71" i="107"/>
  <c r="AE247" i="107"/>
  <c r="AE246" i="107"/>
  <c r="AE244" i="107"/>
  <c r="AI247" i="107"/>
  <c r="AI246" i="107"/>
  <c r="AI244" i="107"/>
  <c r="AO247" i="107"/>
  <c r="AO246" i="107"/>
  <c r="AO244" i="107"/>
  <c r="AO56" i="107" a="1"/>
  <c r="AO56" i="107" s="1"/>
  <c r="AS247" i="107"/>
  <c r="AS246" i="107"/>
  <c r="AS244" i="107"/>
  <c r="AS56" i="107" a="1"/>
  <c r="AS56" i="107" s="1"/>
  <c r="BG78" i="107"/>
  <c r="BG171" i="107" s="1"/>
  <c r="BF78" i="107"/>
  <c r="BF157" i="107" s="1"/>
  <c r="AW73" i="107"/>
  <c r="BG218" i="107" s="1"/>
  <c r="AW71" i="107"/>
  <c r="BC247" i="107"/>
  <c r="BC246" i="107"/>
  <c r="BC244" i="107"/>
  <c r="BG247" i="107"/>
  <c r="BG246" i="107"/>
  <c r="BG244" i="107"/>
  <c r="U31" i="107"/>
  <c r="U268" i="107" s="1"/>
  <c r="AO31" i="107"/>
  <c r="AO272" i="107" s="1"/>
  <c r="AS31" i="107"/>
  <c r="AS268" i="107" s="1"/>
  <c r="BC31" i="107"/>
  <c r="BC269" i="107" s="1"/>
  <c r="BG31" i="107"/>
  <c r="BG272" i="107" s="1"/>
  <c r="V34" i="107"/>
  <c r="AC34" i="107"/>
  <c r="AG34" i="107"/>
  <c r="AN34" i="107"/>
  <c r="AR34" i="107"/>
  <c r="AY34" i="107"/>
  <c r="BC34" i="107"/>
  <c r="BG34" i="107"/>
  <c r="V35" i="107"/>
  <c r="AC35" i="107"/>
  <c r="AG35" i="107"/>
  <c r="AN35" i="107"/>
  <c r="AR35" i="107"/>
  <c r="AY35" i="107"/>
  <c r="BC35" i="107"/>
  <c r="BG35" i="107"/>
  <c r="Q38" i="107"/>
  <c r="AO38" i="107"/>
  <c r="AY38" i="107"/>
  <c r="BC38" i="107"/>
  <c r="BG38" i="107"/>
  <c r="R40" i="107"/>
  <c r="R64" i="107" s="1"/>
  <c r="V40" i="107"/>
  <c r="V64" i="107" s="1"/>
  <c r="AC40" i="107"/>
  <c r="AC64" i="107" s="1"/>
  <c r="AG40" i="107"/>
  <c r="AG64" i="107" s="1"/>
  <c r="AN40" i="107"/>
  <c r="AN64" i="107" s="1"/>
  <c r="AR40" i="107"/>
  <c r="AR64" i="107" s="1"/>
  <c r="AY40" i="107"/>
  <c r="AY64" i="107" s="1"/>
  <c r="BC40" i="107"/>
  <c r="BC64" i="107" s="1"/>
  <c r="BG40" i="107"/>
  <c r="BG64" i="107" s="1"/>
  <c r="T56" i="107" a="1"/>
  <c r="T56" i="107" s="1"/>
  <c r="AC56" i="107" a="1"/>
  <c r="AC56" i="107" s="1"/>
  <c r="AE56" i="107" a="1"/>
  <c r="AE56" i="107" s="1"/>
  <c r="AG56" i="107" a="1"/>
  <c r="AG56" i="107" s="1"/>
  <c r="AI56" i="107" a="1"/>
  <c r="AI56" i="107" s="1"/>
  <c r="BG56" i="107" a="1"/>
  <c r="BG56" i="107" s="1"/>
  <c r="V67" i="107"/>
  <c r="AF67" i="107"/>
  <c r="AZ67" i="107"/>
  <c r="M71" i="107"/>
  <c r="AA210" i="107"/>
  <c r="AA198" i="107"/>
  <c r="AA222" i="107"/>
  <c r="AA102" i="107"/>
  <c r="AA187" i="107"/>
  <c r="AA76" i="107"/>
  <c r="AA168" i="107"/>
  <c r="AA152" i="107"/>
  <c r="AE198" i="107"/>
  <c r="AE222" i="107"/>
  <c r="AE187" i="107"/>
  <c r="AE76" i="107"/>
  <c r="AE168" i="107"/>
  <c r="AE152" i="107"/>
  <c r="AI198" i="107"/>
  <c r="AI210" i="107"/>
  <c r="AI222" i="107"/>
  <c r="AI187" i="107"/>
  <c r="AI76" i="107"/>
  <c r="AI168" i="107"/>
  <c r="AP198" i="107"/>
  <c r="AP222" i="107"/>
  <c r="AP187" i="107"/>
  <c r="AP152" i="107"/>
  <c r="AP76" i="107"/>
  <c r="AP168" i="107"/>
  <c r="AT198" i="107"/>
  <c r="AT222" i="107"/>
  <c r="AT187" i="107"/>
  <c r="AT152" i="107"/>
  <c r="AT76" i="107"/>
  <c r="AT168" i="107"/>
  <c r="BA222" i="107"/>
  <c r="BA210" i="107"/>
  <c r="BA198" i="107"/>
  <c r="BA152" i="107"/>
  <c r="BA102" i="107"/>
  <c r="BA187" i="107"/>
  <c r="BA168" i="107"/>
  <c r="BA76" i="107"/>
  <c r="BE222" i="107"/>
  <c r="BE198" i="107"/>
  <c r="BE152" i="107"/>
  <c r="BE187" i="107"/>
  <c r="BE168" i="107"/>
  <c r="BE76" i="107"/>
  <c r="O304" i="107"/>
  <c r="O263" i="107"/>
  <c r="O281" i="107"/>
  <c r="O242" i="107"/>
  <c r="O235" i="107"/>
  <c r="O228" i="107"/>
  <c r="S304" i="107"/>
  <c r="S263" i="107"/>
  <c r="S281" i="107"/>
  <c r="S242" i="107"/>
  <c r="S235" i="107"/>
  <c r="S228" i="107"/>
  <c r="W281" i="107"/>
  <c r="AC304" i="107"/>
  <c r="AC281" i="107"/>
  <c r="AC263" i="107"/>
  <c r="AC242" i="107"/>
  <c r="AC235" i="107"/>
  <c r="AC228" i="107"/>
  <c r="AM304" i="107"/>
  <c r="AM263" i="107"/>
  <c r="AM281" i="107"/>
  <c r="AM242" i="107"/>
  <c r="AM235" i="107"/>
  <c r="AM228" i="107"/>
  <c r="AQ263" i="107"/>
  <c r="AQ242" i="107"/>
  <c r="AQ235" i="107"/>
  <c r="AQ228" i="107"/>
  <c r="AU304" i="107"/>
  <c r="AU263" i="107"/>
  <c r="AU281" i="107"/>
  <c r="AU242" i="107"/>
  <c r="AU235" i="107"/>
  <c r="AU228" i="107"/>
  <c r="BA304" i="107"/>
  <c r="BA263" i="107"/>
  <c r="BA281" i="107"/>
  <c r="BA242" i="107"/>
  <c r="BA235" i="107"/>
  <c r="BA228" i="107"/>
  <c r="T232" i="107"/>
  <c r="T230" i="107"/>
  <c r="AE232" i="107"/>
  <c r="AE230" i="107"/>
  <c r="AE69" i="107"/>
  <c r="AE67" i="107"/>
  <c r="AI232" i="107"/>
  <c r="AI230" i="107"/>
  <c r="AI69" i="107"/>
  <c r="AI67" i="107"/>
  <c r="AP232" i="107"/>
  <c r="AP230" i="107"/>
  <c r="AT232" i="107"/>
  <c r="AT230" i="107"/>
  <c r="AT69" i="107"/>
  <c r="BA232" i="107"/>
  <c r="BA230" i="107"/>
  <c r="BA69" i="107"/>
  <c r="BA67" i="107"/>
  <c r="BE232" i="107"/>
  <c r="BE230" i="107"/>
  <c r="BE69" i="107"/>
  <c r="BE67" i="107"/>
  <c r="P21" i="107"/>
  <c r="P289" i="107" s="1"/>
  <c r="T21" i="107"/>
  <c r="AA21" i="107"/>
  <c r="AA289" i="107" s="1"/>
  <c r="AE21" i="107"/>
  <c r="AI21" i="107"/>
  <c r="AP21" i="107"/>
  <c r="AP289" i="107" s="1"/>
  <c r="AT21" i="107"/>
  <c r="AT289" i="107" s="1"/>
  <c r="BA21" i="107"/>
  <c r="BE21" i="107"/>
  <c r="P22" i="107"/>
  <c r="T22" i="107"/>
  <c r="AA22" i="107"/>
  <c r="AE22" i="107"/>
  <c r="AI22" i="107"/>
  <c r="AP22" i="107"/>
  <c r="AT22" i="107"/>
  <c r="BA22" i="107"/>
  <c r="BE22" i="107"/>
  <c r="V246" i="107"/>
  <c r="V247" i="107"/>
  <c r="AF246" i="107"/>
  <c r="AF247" i="107"/>
  <c r="AF244" i="107"/>
  <c r="AP246" i="107"/>
  <c r="AP247" i="107"/>
  <c r="AP244" i="107"/>
  <c r="AT246" i="107"/>
  <c r="AT247" i="107"/>
  <c r="AT244" i="107"/>
  <c r="AZ246" i="107"/>
  <c r="AZ247" i="107"/>
  <c r="AZ244" i="107"/>
  <c r="AZ56" i="107" a="1"/>
  <c r="AZ56" i="107" s="1"/>
  <c r="BD246" i="107"/>
  <c r="BD247" i="107"/>
  <c r="BD244" i="107"/>
  <c r="BD56" i="107" a="1"/>
  <c r="BD56" i="107" s="1"/>
  <c r="V31" i="107"/>
  <c r="V283" i="107" s="1"/>
  <c r="AF31" i="107"/>
  <c r="AF271" i="107" s="1"/>
  <c r="AP31" i="107"/>
  <c r="AP291" i="107" s="1"/>
  <c r="AT31" i="107"/>
  <c r="AT32" i="107" s="1"/>
  <c r="AZ31" i="107"/>
  <c r="AZ291" i="107" s="1"/>
  <c r="BD31" i="107"/>
  <c r="BD278" i="107" s="1"/>
  <c r="S34" i="107"/>
  <c r="W34" i="107"/>
  <c r="AD34" i="107"/>
  <c r="AH34" i="107"/>
  <c r="AO34" i="107"/>
  <c r="AS34" i="107"/>
  <c r="AZ34" i="107"/>
  <c r="BD34" i="107"/>
  <c r="S35" i="107"/>
  <c r="W35" i="107"/>
  <c r="AD35" i="107"/>
  <c r="AH35" i="107"/>
  <c r="AO35" i="107"/>
  <c r="AS35" i="107"/>
  <c r="AZ35" i="107"/>
  <c r="BD35" i="107"/>
  <c r="R38" i="107"/>
  <c r="V38" i="107"/>
  <c r="AZ38" i="107"/>
  <c r="O40" i="107"/>
  <c r="S40" i="107"/>
  <c r="S64" i="107" s="1"/>
  <c r="W40" i="107"/>
  <c r="W64" i="107" s="1"/>
  <c r="AD40" i="107"/>
  <c r="AD64" i="107" s="1"/>
  <c r="AH40" i="107"/>
  <c r="AH64" i="107" s="1"/>
  <c r="AO40" i="107"/>
  <c r="AO64" i="107" s="1"/>
  <c r="AS40" i="107"/>
  <c r="AS64" i="107" s="1"/>
  <c r="AZ40" i="107"/>
  <c r="AZ64" i="107" s="1"/>
  <c r="BD40" i="107"/>
  <c r="BD64" i="107" s="1"/>
  <c r="AT56" i="107" a="1"/>
  <c r="AT56" i="107" s="1"/>
  <c r="V59" i="107"/>
  <c r="AC59" i="107"/>
  <c r="AU59" i="107"/>
  <c r="AH67" i="107"/>
  <c r="AR67" i="107"/>
  <c r="BB67" i="107"/>
  <c r="T69" i="107"/>
  <c r="AD69" i="107"/>
  <c r="AO135" i="107"/>
  <c r="AO202" i="107" s="1"/>
  <c r="AK178" i="107"/>
  <c r="BF161" i="107"/>
  <c r="BB161" i="107"/>
  <c r="AT161" i="107"/>
  <c r="AP161" i="107"/>
  <c r="AH161" i="107"/>
  <c r="AD161" i="107"/>
  <c r="V161" i="107"/>
  <c r="R161" i="107"/>
  <c r="Y178" i="107"/>
  <c r="BE161" i="107"/>
  <c r="BA161" i="107"/>
  <c r="AS161" i="107"/>
  <c r="AO161" i="107"/>
  <c r="AG161" i="107"/>
  <c r="AC161" i="107"/>
  <c r="U161" i="107"/>
  <c r="Q161" i="107"/>
  <c r="M178" i="107"/>
  <c r="AZ161" i="107"/>
  <c r="AN161" i="107"/>
  <c r="AB161" i="107"/>
  <c r="P161" i="107"/>
  <c r="AW178" i="107"/>
  <c r="BC161" i="107"/>
  <c r="AY161" i="107"/>
  <c r="AQ161" i="107"/>
  <c r="AM161" i="107"/>
  <c r="AE161" i="107"/>
  <c r="AA161" i="107"/>
  <c r="S161" i="107"/>
  <c r="O161" i="107"/>
  <c r="AB210" i="107"/>
  <c r="AB198" i="107"/>
  <c r="AB222" i="107"/>
  <c r="AB187" i="107"/>
  <c r="AB76" i="107"/>
  <c r="AB168" i="107"/>
  <c r="AB152" i="107"/>
  <c r="AB102" i="107"/>
  <c r="AF198" i="107"/>
  <c r="AF222" i="107"/>
  <c r="AF187" i="107"/>
  <c r="AF76" i="107"/>
  <c r="AF168" i="107"/>
  <c r="AF152" i="107"/>
  <c r="AM210" i="107"/>
  <c r="AM222" i="107"/>
  <c r="AM198" i="107"/>
  <c r="AM102" i="107"/>
  <c r="AM168" i="107"/>
  <c r="AM187" i="107"/>
  <c r="AM152" i="107"/>
  <c r="AM76" i="107"/>
  <c r="AQ222" i="107"/>
  <c r="AQ198" i="107"/>
  <c r="AQ168" i="107"/>
  <c r="AQ187" i="107"/>
  <c r="AQ152" i="107"/>
  <c r="AQ76" i="107"/>
  <c r="AU222" i="107"/>
  <c r="AU210" i="107"/>
  <c r="AU198" i="107"/>
  <c r="AU168" i="107"/>
  <c r="AU187" i="107"/>
  <c r="AU76" i="107"/>
  <c r="BB222" i="107"/>
  <c r="BB198" i="107"/>
  <c r="BB152" i="107"/>
  <c r="BB187" i="107"/>
  <c r="BB168" i="107"/>
  <c r="BB76" i="107"/>
  <c r="BF222" i="107"/>
  <c r="BF198" i="107"/>
  <c r="BF152" i="107"/>
  <c r="BF187" i="107"/>
  <c r="BF168" i="107"/>
  <c r="BF76" i="107"/>
  <c r="P304" i="107"/>
  <c r="P263" i="107"/>
  <c r="P281" i="107"/>
  <c r="P242" i="107"/>
  <c r="P228" i="107"/>
  <c r="P235" i="107"/>
  <c r="T304" i="107"/>
  <c r="T263" i="107"/>
  <c r="T281" i="107"/>
  <c r="T228" i="107"/>
  <c r="T242" i="107"/>
  <c r="T235" i="107"/>
  <c r="AD304" i="107"/>
  <c r="AD263" i="107"/>
  <c r="AD281" i="107"/>
  <c r="AD228" i="107"/>
  <c r="AD242" i="107"/>
  <c r="AD235" i="107"/>
  <c r="AH304" i="107"/>
  <c r="AH263" i="107"/>
  <c r="AH235" i="107"/>
  <c r="AN304" i="107"/>
  <c r="AN281" i="107"/>
  <c r="AN263" i="107"/>
  <c r="AN242" i="107"/>
  <c r="AN235" i="107"/>
  <c r="AN228" i="107"/>
  <c r="AR304" i="107"/>
  <c r="AR281" i="107"/>
  <c r="AR263" i="107"/>
  <c r="AR242" i="107"/>
  <c r="AR235" i="107"/>
  <c r="AR228" i="107"/>
  <c r="BF304" i="107"/>
  <c r="BF263" i="107"/>
  <c r="BF281" i="107"/>
  <c r="BF228" i="107"/>
  <c r="BF242" i="107"/>
  <c r="BF235" i="107"/>
  <c r="U232" i="107"/>
  <c r="U230" i="107"/>
  <c r="U69" i="107"/>
  <c r="U67" i="107"/>
  <c r="AF232" i="107"/>
  <c r="AF230" i="107"/>
  <c r="AQ232" i="107"/>
  <c r="AQ230" i="107"/>
  <c r="AQ69" i="107"/>
  <c r="AQ67" i="107"/>
  <c r="AU232" i="107"/>
  <c r="AU230" i="107"/>
  <c r="AU69" i="107"/>
  <c r="AU67" i="107"/>
  <c r="BB232" i="107"/>
  <c r="BB230" i="107"/>
  <c r="BF232" i="107"/>
  <c r="BF230" i="107"/>
  <c r="Q21" i="107"/>
  <c r="Q289" i="107" s="1"/>
  <c r="U21" i="107"/>
  <c r="AB21" i="107"/>
  <c r="AB289" i="107" s="1"/>
  <c r="AF21" i="107"/>
  <c r="AM21" i="107"/>
  <c r="AM289" i="107" s="1"/>
  <c r="AQ21" i="107"/>
  <c r="AU21" i="107"/>
  <c r="AU289" i="107" s="1"/>
  <c r="BB21" i="107"/>
  <c r="BB289" i="107" s="1"/>
  <c r="BF21" i="107"/>
  <c r="Q22" i="107"/>
  <c r="U22" i="107"/>
  <c r="AB22" i="107"/>
  <c r="AF22" i="107"/>
  <c r="AM22" i="107"/>
  <c r="AQ22" i="107"/>
  <c r="AU22" i="107"/>
  <c r="BB22" i="107"/>
  <c r="BF22" i="107"/>
  <c r="M73" i="107"/>
  <c r="W78" i="107"/>
  <c r="W171" i="107" s="1"/>
  <c r="V78" i="107"/>
  <c r="V157" i="107" s="1"/>
  <c r="W246" i="107"/>
  <c r="W247" i="107"/>
  <c r="AC246" i="107"/>
  <c r="AC244" i="107"/>
  <c r="AC247" i="107"/>
  <c r="AG246" i="107"/>
  <c r="AG244" i="107"/>
  <c r="AG247" i="107"/>
  <c r="AK71" i="107"/>
  <c r="AU78" i="107"/>
  <c r="AU171" i="107" s="1"/>
  <c r="AT78" i="107"/>
  <c r="AT157" i="107" s="1"/>
  <c r="AK73" i="107"/>
  <c r="AU218" i="107" s="1"/>
  <c r="AQ246" i="107"/>
  <c r="AQ244" i="107"/>
  <c r="AQ247" i="107"/>
  <c r="AQ56" i="107" a="1"/>
  <c r="AQ56" i="107" s="1"/>
  <c r="AU246" i="107"/>
  <c r="AU244" i="107"/>
  <c r="AU247" i="107"/>
  <c r="AU56" i="107" a="1"/>
  <c r="AU56" i="107" s="1"/>
  <c r="BA246" i="107"/>
  <c r="BA244" i="107"/>
  <c r="BA247" i="107"/>
  <c r="BE246" i="107"/>
  <c r="BE244" i="107"/>
  <c r="BE247" i="107"/>
  <c r="W31" i="107"/>
  <c r="AC31" i="107"/>
  <c r="AC270" i="107" s="1"/>
  <c r="AG31" i="107"/>
  <c r="AG278" i="107" s="1"/>
  <c r="AQ31" i="107"/>
  <c r="AQ265" i="107" s="1"/>
  <c r="AU31" i="107"/>
  <c r="BA31" i="107"/>
  <c r="BA270" i="107" s="1"/>
  <c r="BE31" i="107"/>
  <c r="BE271" i="107" s="1"/>
  <c r="T34" i="107"/>
  <c r="AE34" i="107"/>
  <c r="AI34" i="107"/>
  <c r="AP34" i="107"/>
  <c r="AT34" i="107"/>
  <c r="BA34" i="107"/>
  <c r="BE34" i="107"/>
  <c r="T35" i="107"/>
  <c r="AE35" i="107"/>
  <c r="AI35" i="107"/>
  <c r="AP35" i="107"/>
  <c r="AT35" i="107"/>
  <c r="BA35" i="107"/>
  <c r="BE35" i="107"/>
  <c r="O38" i="107"/>
  <c r="S38" i="107"/>
  <c r="W38" i="107"/>
  <c r="AC38" i="107"/>
  <c r="AM38" i="107"/>
  <c r="AQ38" i="107"/>
  <c r="AU38" i="107"/>
  <c r="BA38" i="107"/>
  <c r="P40" i="107"/>
  <c r="P64" i="107" s="1"/>
  <c r="T40" i="107"/>
  <c r="T64" i="107" s="1"/>
  <c r="AA40" i="107"/>
  <c r="AE40" i="107"/>
  <c r="AE64" i="107" s="1"/>
  <c r="AI40" i="107"/>
  <c r="AI64" i="107" s="1"/>
  <c r="AP40" i="107"/>
  <c r="AP64" i="107" s="1"/>
  <c r="AT40" i="107"/>
  <c r="AT64" i="107" s="1"/>
  <c r="BA40" i="107"/>
  <c r="BA64" i="107" s="1"/>
  <c r="BE40" i="107"/>
  <c r="BE64" i="107" s="1"/>
  <c r="U56" i="107" a="1"/>
  <c r="U56" i="107" s="1"/>
  <c r="W56" i="107" a="1"/>
  <c r="W56" i="107" s="1"/>
  <c r="AD56" i="107" a="1"/>
  <c r="AD56" i="107" s="1"/>
  <c r="AF56" i="107" a="1"/>
  <c r="AF56" i="107" s="1"/>
  <c r="AH56" i="107" a="1"/>
  <c r="AH56" i="107" s="1"/>
  <c r="AM56" i="107" a="1"/>
  <c r="AM56" i="107" s="1"/>
  <c r="AR56" i="107" a="1"/>
  <c r="AR56" i="107" s="1"/>
  <c r="BC56" i="107" a="1"/>
  <c r="BC56" i="107" s="1"/>
  <c r="R59" i="107"/>
  <c r="AD59" i="107"/>
  <c r="AQ59" i="107"/>
  <c r="AT67" i="107"/>
  <c r="BD67" i="107"/>
  <c r="V69" i="107"/>
  <c r="AF69" i="107"/>
  <c r="AP69" i="107"/>
  <c r="BF69" i="107"/>
  <c r="P202" i="107"/>
  <c r="P203" i="107" s="1"/>
  <c r="AC135" i="107"/>
  <c r="AC202" i="107" s="1"/>
  <c r="E306" i="107"/>
  <c r="E244" i="107"/>
  <c r="E310" i="107"/>
  <c r="E248" i="107"/>
  <c r="AA118" i="107"/>
  <c r="AN118" i="107"/>
  <c r="BA118" i="107"/>
  <c r="Q122" i="107"/>
  <c r="AM122" i="107"/>
  <c r="AZ122" i="107"/>
  <c r="O137" i="107"/>
  <c r="AO137" i="107"/>
  <c r="E307" i="107"/>
  <c r="E245" i="107"/>
  <c r="E311" i="107"/>
  <c r="E249" i="107"/>
  <c r="O118" i="107"/>
  <c r="AB118" i="107"/>
  <c r="AO118" i="107"/>
  <c r="AA122" i="107"/>
  <c r="AN122" i="107"/>
  <c r="BA122" i="107"/>
  <c r="AA134" i="107"/>
  <c r="AM134" i="107"/>
  <c r="AY134" i="107"/>
  <c r="AC137" i="107"/>
  <c r="E308" i="107"/>
  <c r="E246" i="107"/>
  <c r="E312" i="107"/>
  <c r="E250" i="107"/>
  <c r="P118" i="107"/>
  <c r="AC118" i="107"/>
  <c r="AY118" i="107"/>
  <c r="O122" i="107"/>
  <c r="AB122" i="107"/>
  <c r="AO122" i="107"/>
  <c r="Q137" i="107"/>
  <c r="E309" i="107"/>
  <c r="E247" i="107"/>
  <c r="E313" i="107"/>
  <c r="E251" i="107"/>
  <c r="Q118" i="107"/>
  <c r="AM118" i="107"/>
  <c r="AZ118" i="107"/>
  <c r="P122" i="107"/>
  <c r="AC122" i="107"/>
  <c r="AY122" i="107"/>
  <c r="BA134" i="107"/>
  <c r="R27" i="106"/>
  <c r="R26" i="106"/>
  <c r="AW178" i="106"/>
  <c r="BC161" i="106"/>
  <c r="AY161" i="106"/>
  <c r="AQ161" i="106"/>
  <c r="AM161" i="106"/>
  <c r="AE161" i="106"/>
  <c r="AA161" i="106"/>
  <c r="S161" i="106"/>
  <c r="O161" i="106"/>
  <c r="AK178" i="106"/>
  <c r="BF161" i="106"/>
  <c r="BB161" i="106"/>
  <c r="AT161" i="106"/>
  <c r="AP161" i="106"/>
  <c r="AH161" i="106"/>
  <c r="AD161" i="106"/>
  <c r="V161" i="106"/>
  <c r="R161" i="106"/>
  <c r="Y178" i="106"/>
  <c r="BE161" i="106"/>
  <c r="BA161" i="106"/>
  <c r="AS161" i="106"/>
  <c r="AO161" i="106"/>
  <c r="AG161" i="106"/>
  <c r="AC161" i="106"/>
  <c r="U161" i="106"/>
  <c r="Q161" i="106"/>
  <c r="M178" i="106"/>
  <c r="AZ161" i="106"/>
  <c r="AN161" i="106"/>
  <c r="AB161" i="106"/>
  <c r="P161" i="106"/>
  <c r="AB102" i="106"/>
  <c r="AB210" i="106"/>
  <c r="AB198" i="106"/>
  <c r="AB187" i="106"/>
  <c r="AB222" i="106"/>
  <c r="AB168" i="106"/>
  <c r="AB152" i="106"/>
  <c r="AB76" i="106"/>
  <c r="AF198" i="106"/>
  <c r="AF187" i="106"/>
  <c r="AF222" i="106"/>
  <c r="AF168" i="106"/>
  <c r="AF152" i="106"/>
  <c r="AF76" i="106"/>
  <c r="AM198" i="106"/>
  <c r="AM187" i="106"/>
  <c r="AM152" i="106"/>
  <c r="AM210" i="106"/>
  <c r="AM222" i="106"/>
  <c r="AM168" i="106"/>
  <c r="AM102" i="106"/>
  <c r="AM76" i="106"/>
  <c r="AQ198" i="106"/>
  <c r="AQ187" i="106"/>
  <c r="AQ152" i="106"/>
  <c r="AQ222" i="106"/>
  <c r="AQ168" i="106"/>
  <c r="AQ76" i="106"/>
  <c r="AU198" i="106"/>
  <c r="AU187" i="106"/>
  <c r="AU222" i="106"/>
  <c r="AU210" i="106"/>
  <c r="AU168" i="106"/>
  <c r="AU76" i="106"/>
  <c r="BB222" i="106"/>
  <c r="BB152" i="106"/>
  <c r="BB198" i="106"/>
  <c r="BB187" i="106"/>
  <c r="BB168" i="106"/>
  <c r="BB76" i="106"/>
  <c r="BF222" i="106"/>
  <c r="BF152" i="106"/>
  <c r="BF198" i="106"/>
  <c r="BF187" i="106"/>
  <c r="BF168" i="106"/>
  <c r="BF76" i="106"/>
  <c r="O304" i="106"/>
  <c r="O281" i="106"/>
  <c r="O263" i="106"/>
  <c r="O242" i="106"/>
  <c r="O235" i="106"/>
  <c r="O228" i="106"/>
  <c r="O59" i="106"/>
  <c r="O38" i="106"/>
  <c r="AC17" i="106"/>
  <c r="AG17" i="106"/>
  <c r="AM304" i="106"/>
  <c r="AM281" i="106"/>
  <c r="AM242" i="106"/>
  <c r="AM263" i="106"/>
  <c r="AM228" i="106"/>
  <c r="AM235" i="106"/>
  <c r="AM59" i="106"/>
  <c r="AM38" i="106"/>
  <c r="AU304" i="106"/>
  <c r="AU281" i="106"/>
  <c r="AU242" i="106"/>
  <c r="AU263" i="106"/>
  <c r="AU228" i="106"/>
  <c r="AU235" i="106"/>
  <c r="AU59" i="106"/>
  <c r="AU38" i="106"/>
  <c r="BE304" i="106"/>
  <c r="BE281" i="106"/>
  <c r="BE263" i="106"/>
  <c r="BE242" i="106"/>
  <c r="BE228" i="106"/>
  <c r="BE235" i="106"/>
  <c r="BE59" i="106"/>
  <c r="BE38" i="106"/>
  <c r="P40" i="106"/>
  <c r="P17" i="106"/>
  <c r="T232" i="106"/>
  <c r="T230" i="106"/>
  <c r="T69" i="106"/>
  <c r="T67" i="106"/>
  <c r="T31" i="106"/>
  <c r="T271" i="106" s="1"/>
  <c r="T40" i="106"/>
  <c r="T64" i="106" s="1"/>
  <c r="T35" i="106"/>
  <c r="T34" i="106"/>
  <c r="T17" i="106"/>
  <c r="AA40" i="106"/>
  <c r="AE232" i="106"/>
  <c r="AE230" i="106"/>
  <c r="AE69" i="106"/>
  <c r="AE67" i="106"/>
  <c r="AE31" i="106"/>
  <c r="AE278" i="106" s="1"/>
  <c r="AE40" i="106"/>
  <c r="AE64" i="106" s="1"/>
  <c r="AE35" i="106"/>
  <c r="AE34" i="106"/>
  <c r="AI232" i="106"/>
  <c r="AI230" i="106"/>
  <c r="AI69" i="106"/>
  <c r="AI67" i="106"/>
  <c r="AI31" i="106"/>
  <c r="AI276" i="106" s="1"/>
  <c r="AI40" i="106"/>
  <c r="AI64" i="106" s="1"/>
  <c r="AI35" i="106"/>
  <c r="AI34" i="106"/>
  <c r="AP232" i="106"/>
  <c r="AP230" i="106"/>
  <c r="AP69" i="106"/>
  <c r="AP67" i="106"/>
  <c r="AP17" i="106"/>
  <c r="AP40" i="106"/>
  <c r="AP64" i="106" s="1"/>
  <c r="AP35" i="106"/>
  <c r="AP34" i="106"/>
  <c r="AT232" i="106"/>
  <c r="AT230" i="106"/>
  <c r="AT69" i="106"/>
  <c r="AT67" i="106"/>
  <c r="AT17" i="106"/>
  <c r="AT40" i="106"/>
  <c r="AT64" i="106" s="1"/>
  <c r="AT35" i="106"/>
  <c r="AT34" i="106"/>
  <c r="BA232" i="106"/>
  <c r="BA230" i="106"/>
  <c r="BA69" i="106"/>
  <c r="BA67" i="106"/>
  <c r="BA40" i="106"/>
  <c r="BA64" i="106" s="1"/>
  <c r="BA35" i="106"/>
  <c r="BA34" i="106"/>
  <c r="BA31" i="106"/>
  <c r="BA276" i="106" s="1"/>
  <c r="BE232" i="106"/>
  <c r="BE230" i="106"/>
  <c r="BE69" i="106"/>
  <c r="BE67" i="106"/>
  <c r="BE40" i="106"/>
  <c r="BE64" i="106" s="1"/>
  <c r="BE35" i="106"/>
  <c r="BE34" i="106"/>
  <c r="BE31" i="106"/>
  <c r="BE276" i="106" s="1"/>
  <c r="AK182" i="106"/>
  <c r="BF164" i="106"/>
  <c r="BB164" i="106"/>
  <c r="AT164" i="106"/>
  <c r="AP164" i="106"/>
  <c r="AH164" i="106"/>
  <c r="AD164" i="106"/>
  <c r="V164" i="106"/>
  <c r="R164" i="106"/>
  <c r="Y182" i="106"/>
  <c r="BE164" i="106"/>
  <c r="BA164" i="106"/>
  <c r="AS164" i="106"/>
  <c r="AO164" i="106"/>
  <c r="AG164" i="106"/>
  <c r="AC164" i="106"/>
  <c r="U164" i="106"/>
  <c r="Q164" i="106"/>
  <c r="M182" i="106"/>
  <c r="BD164" i="106"/>
  <c r="AZ164" i="106"/>
  <c r="AR164" i="106"/>
  <c r="AN164" i="106"/>
  <c r="AF164" i="106"/>
  <c r="AB164" i="106"/>
  <c r="T164" i="106"/>
  <c r="P164" i="106"/>
  <c r="AW182" i="106"/>
  <c r="BC164" i="106"/>
  <c r="AY164" i="106"/>
  <c r="AQ164" i="106"/>
  <c r="AM164" i="106"/>
  <c r="AE164" i="106"/>
  <c r="AA164" i="106"/>
  <c r="S164" i="106"/>
  <c r="O164" i="106"/>
  <c r="AC210" i="106"/>
  <c r="AC198" i="106"/>
  <c r="AC187" i="106"/>
  <c r="AC222" i="106"/>
  <c r="AC168" i="106"/>
  <c r="AC152" i="106"/>
  <c r="AC102" i="106"/>
  <c r="AC76" i="106"/>
  <c r="AG198" i="106"/>
  <c r="AG187" i="106"/>
  <c r="AG222" i="106"/>
  <c r="AG168" i="106"/>
  <c r="AG152" i="106"/>
  <c r="AG76" i="106"/>
  <c r="AN210" i="106"/>
  <c r="AN102" i="106"/>
  <c r="AN222" i="106"/>
  <c r="AN168" i="106"/>
  <c r="AN198" i="106"/>
  <c r="AN187" i="106"/>
  <c r="AN152" i="106"/>
  <c r="AN76" i="106"/>
  <c r="AR222" i="106"/>
  <c r="AR168" i="106"/>
  <c r="AR198" i="106"/>
  <c r="AR187" i="106"/>
  <c r="AR152" i="106"/>
  <c r="AR76" i="106"/>
  <c r="AY222" i="106"/>
  <c r="AY210" i="106"/>
  <c r="AY152" i="106"/>
  <c r="AY198" i="106"/>
  <c r="AY187" i="106"/>
  <c r="AY168" i="106"/>
  <c r="AY102" i="106"/>
  <c r="AY76" i="106"/>
  <c r="BC222" i="106"/>
  <c r="BC152" i="106"/>
  <c r="BC198" i="106"/>
  <c r="BC187" i="106"/>
  <c r="BC168" i="106"/>
  <c r="BC76" i="106"/>
  <c r="BG222" i="106"/>
  <c r="BG210" i="106"/>
  <c r="BG198" i="106"/>
  <c r="BG187" i="106"/>
  <c r="BG168" i="106"/>
  <c r="BG76" i="106"/>
  <c r="Q304" i="106"/>
  <c r="Q281" i="106"/>
  <c r="Q263" i="106"/>
  <c r="Q242" i="106"/>
  <c r="Q235" i="106"/>
  <c r="Q228" i="106"/>
  <c r="Q38" i="106"/>
  <c r="Q59" i="106"/>
  <c r="P22" i="106"/>
  <c r="AA22" i="106"/>
  <c r="T246" i="106"/>
  <c r="T247" i="106"/>
  <c r="T56" i="106" a="1"/>
  <c r="T56" i="106" s="1"/>
  <c r="AD246" i="106"/>
  <c r="AD244" i="106"/>
  <c r="AD247" i="106"/>
  <c r="AD56" i="106" a="1"/>
  <c r="AD56" i="106" s="1"/>
  <c r="AH246" i="106"/>
  <c r="AH244" i="106"/>
  <c r="AH247" i="106"/>
  <c r="AH56" i="106" a="1"/>
  <c r="AH56" i="106" s="1"/>
  <c r="AR246" i="106"/>
  <c r="AR244" i="106"/>
  <c r="AR247" i="106"/>
  <c r="AR56" i="106" a="1"/>
  <c r="AR56" i="106" s="1"/>
  <c r="AW24" i="106"/>
  <c r="BB246" i="106"/>
  <c r="BB244" i="106"/>
  <c r="BB247" i="106"/>
  <c r="BB56" i="106" a="1"/>
  <c r="BB56" i="106" s="1"/>
  <c r="BF246" i="106"/>
  <c r="BF244" i="106"/>
  <c r="BF247" i="106"/>
  <c r="BF56" i="106" a="1"/>
  <c r="BF56" i="106" s="1"/>
  <c r="AP31" i="106"/>
  <c r="AP283" i="106" s="1"/>
  <c r="AD222" i="106"/>
  <c r="AD168" i="106"/>
  <c r="AD152" i="106"/>
  <c r="AD198" i="106"/>
  <c r="AD187" i="106"/>
  <c r="AD76" i="106"/>
  <c r="AH222" i="106"/>
  <c r="AH168" i="106"/>
  <c r="AH152" i="106"/>
  <c r="AH198" i="106"/>
  <c r="AH187" i="106"/>
  <c r="AH76" i="106"/>
  <c r="AO222" i="106"/>
  <c r="AO168" i="106"/>
  <c r="AO198" i="106"/>
  <c r="AO187" i="106"/>
  <c r="AO152" i="106"/>
  <c r="AO210" i="106"/>
  <c r="AO76" i="106"/>
  <c r="AO102" i="106"/>
  <c r="AS222" i="106"/>
  <c r="AS168" i="106"/>
  <c r="AS198" i="106"/>
  <c r="AS187" i="106"/>
  <c r="AS152" i="106"/>
  <c r="AS76" i="106"/>
  <c r="AZ102" i="106"/>
  <c r="AZ198" i="106"/>
  <c r="AZ187" i="106"/>
  <c r="AZ168" i="106"/>
  <c r="AZ222" i="106"/>
  <c r="AZ210" i="106"/>
  <c r="AZ152" i="106"/>
  <c r="AZ76" i="106"/>
  <c r="BD198" i="106"/>
  <c r="BD187" i="106"/>
  <c r="BD168" i="106"/>
  <c r="BD222" i="106"/>
  <c r="BD152" i="106"/>
  <c r="BD76" i="106"/>
  <c r="S304" i="106"/>
  <c r="AI304" i="106"/>
  <c r="AI281" i="106"/>
  <c r="AI263" i="106"/>
  <c r="AI242" i="106"/>
  <c r="AI228" i="106"/>
  <c r="AI235" i="106"/>
  <c r="AI38" i="106"/>
  <c r="AI59" i="106"/>
  <c r="AQ304" i="106"/>
  <c r="AQ281" i="106"/>
  <c r="AQ263" i="106"/>
  <c r="AQ242" i="106"/>
  <c r="AQ228" i="106"/>
  <c r="AQ235" i="106"/>
  <c r="AQ59" i="106"/>
  <c r="AQ38" i="106"/>
  <c r="AY304" i="106"/>
  <c r="AY281" i="106"/>
  <c r="AY228" i="106"/>
  <c r="AY263" i="106"/>
  <c r="AY242" i="106"/>
  <c r="AY235" i="106"/>
  <c r="AY38" i="106"/>
  <c r="AY59" i="106"/>
  <c r="BC304" i="106"/>
  <c r="BC281" i="106"/>
  <c r="BC228" i="106"/>
  <c r="BC242" i="106"/>
  <c r="BC263" i="106"/>
  <c r="BC235" i="106"/>
  <c r="BC38" i="106"/>
  <c r="BC59" i="106"/>
  <c r="R40" i="106"/>
  <c r="R17" i="106"/>
  <c r="V232" i="106"/>
  <c r="V230" i="106"/>
  <c r="V69" i="106"/>
  <c r="V67" i="106"/>
  <c r="V40" i="106"/>
  <c r="V64" i="106" s="1"/>
  <c r="V35" i="106"/>
  <c r="V34" i="106"/>
  <c r="V17" i="106"/>
  <c r="AC232" i="106"/>
  <c r="AC230" i="106"/>
  <c r="AC40" i="106"/>
  <c r="AC64" i="106" s="1"/>
  <c r="AC35" i="106"/>
  <c r="AC34" i="106"/>
  <c r="AC69" i="106"/>
  <c r="AC67" i="106"/>
  <c r="AC31" i="106"/>
  <c r="AG232" i="106"/>
  <c r="AG230" i="106"/>
  <c r="AG40" i="106"/>
  <c r="AG64" i="106" s="1"/>
  <c r="AG35" i="106"/>
  <c r="AG34" i="106"/>
  <c r="AG69" i="106"/>
  <c r="AG67" i="106"/>
  <c r="AG31" i="106"/>
  <c r="AG276" i="106" s="1"/>
  <c r="AN40" i="106"/>
  <c r="AN64" i="106" s="1"/>
  <c r="AN35" i="106"/>
  <c r="AN34" i="106"/>
  <c r="AN67" i="106"/>
  <c r="AN17" i="106"/>
  <c r="AR232" i="106"/>
  <c r="AR230" i="106"/>
  <c r="AR40" i="106"/>
  <c r="AR64" i="106" s="1"/>
  <c r="AR35" i="106"/>
  <c r="AR34" i="106"/>
  <c r="AR69" i="106"/>
  <c r="AR67" i="106"/>
  <c r="AR31" i="106"/>
  <c r="AR17" i="106"/>
  <c r="AY67" i="106"/>
  <c r="AY40" i="106"/>
  <c r="AY64" i="106" s="1"/>
  <c r="AY35" i="106"/>
  <c r="AY34" i="106"/>
  <c r="BC232" i="106"/>
  <c r="BC230" i="106"/>
  <c r="BC69" i="106"/>
  <c r="BC67" i="106"/>
  <c r="BC40" i="106"/>
  <c r="BC64" i="106" s="1"/>
  <c r="BC35" i="106"/>
  <c r="BC34" i="106"/>
  <c r="BC31" i="106"/>
  <c r="BG232" i="106"/>
  <c r="BG230" i="106"/>
  <c r="BG69" i="106"/>
  <c r="BG67" i="106"/>
  <c r="BG40" i="106"/>
  <c r="BG64" i="106" s="1"/>
  <c r="BG35" i="106"/>
  <c r="BG34" i="106"/>
  <c r="BG31" i="106"/>
  <c r="BG291" i="106" s="1"/>
  <c r="V21" i="106"/>
  <c r="V289" i="106" s="1"/>
  <c r="AG21" i="106"/>
  <c r="AR21" i="106"/>
  <c r="BC21" i="106"/>
  <c r="BC289" i="106" s="1"/>
  <c r="R22" i="106"/>
  <c r="AC22" i="106"/>
  <c r="AN22" i="106"/>
  <c r="AY22" i="106"/>
  <c r="BG22" i="106"/>
  <c r="P27" i="106"/>
  <c r="AA222" i="106"/>
  <c r="AA168" i="106"/>
  <c r="AA152" i="106"/>
  <c r="AA210" i="106"/>
  <c r="AA198" i="106"/>
  <c r="AA187" i="106"/>
  <c r="AA76" i="106"/>
  <c r="AA102" i="106"/>
  <c r="AE222" i="106"/>
  <c r="AE168" i="106"/>
  <c r="AE152" i="106"/>
  <c r="AE198" i="106"/>
  <c r="AE187" i="106"/>
  <c r="AE76" i="106"/>
  <c r="AI222" i="106"/>
  <c r="AI168" i="106"/>
  <c r="AI198" i="106"/>
  <c r="AI187" i="106"/>
  <c r="AI210" i="106"/>
  <c r="AI76" i="106"/>
  <c r="AP168" i="106"/>
  <c r="AP198" i="106"/>
  <c r="AP187" i="106"/>
  <c r="AP152" i="106"/>
  <c r="AP222" i="106"/>
  <c r="AP76" i="106"/>
  <c r="AT168" i="106"/>
  <c r="AT198" i="106"/>
  <c r="AT187" i="106"/>
  <c r="AT152" i="106"/>
  <c r="AT222" i="106"/>
  <c r="AT76" i="106"/>
  <c r="BA198" i="106"/>
  <c r="BA187" i="106"/>
  <c r="BA168" i="106"/>
  <c r="BA222" i="106"/>
  <c r="BA210" i="106"/>
  <c r="BA152" i="106"/>
  <c r="BA102" i="106"/>
  <c r="BA76" i="106"/>
  <c r="BE198" i="106"/>
  <c r="BE187" i="106"/>
  <c r="BE168" i="106"/>
  <c r="BE222" i="106"/>
  <c r="BE152" i="106"/>
  <c r="BE76" i="106"/>
  <c r="U304" i="106"/>
  <c r="U281" i="106"/>
  <c r="U263" i="106"/>
  <c r="U242" i="106"/>
  <c r="U235" i="106"/>
  <c r="U228" i="106"/>
  <c r="U38" i="106"/>
  <c r="U59" i="106"/>
  <c r="AS304" i="106"/>
  <c r="AS263" i="106"/>
  <c r="AS281" i="106"/>
  <c r="AS242" i="106"/>
  <c r="AS228" i="106"/>
  <c r="AS235" i="106"/>
  <c r="AS38" i="106"/>
  <c r="AS59" i="106"/>
  <c r="V247" i="106"/>
  <c r="V246" i="106"/>
  <c r="V56" i="106" a="1"/>
  <c r="V56" i="106" s="1"/>
  <c r="AF247" i="106"/>
  <c r="AF246" i="106"/>
  <c r="AF244" i="106"/>
  <c r="AF56" i="106" a="1"/>
  <c r="AF56" i="106" s="1"/>
  <c r="AP247" i="106"/>
  <c r="AP246" i="106"/>
  <c r="AP244" i="106"/>
  <c r="AP56" i="106" a="1"/>
  <c r="AP56" i="106" s="1"/>
  <c r="AT247" i="106"/>
  <c r="AT246" i="106"/>
  <c r="AT244" i="106"/>
  <c r="AT56" i="106" a="1"/>
  <c r="AT56" i="106" s="1"/>
  <c r="AZ247" i="106"/>
  <c r="AZ246" i="106"/>
  <c r="AZ244" i="106"/>
  <c r="AZ56" i="106" a="1"/>
  <c r="AZ56" i="106" s="1"/>
  <c r="BD247" i="106"/>
  <c r="BD246" i="106"/>
  <c r="BD244" i="106"/>
  <c r="BD56" i="106" a="1"/>
  <c r="BD56" i="106" s="1"/>
  <c r="V31" i="106"/>
  <c r="V291" i="106" s="1"/>
  <c r="AH228" i="106"/>
  <c r="BB304" i="106"/>
  <c r="BB281" i="106"/>
  <c r="BB263" i="106"/>
  <c r="BB235" i="106"/>
  <c r="BB242" i="106"/>
  <c r="BB228" i="106"/>
  <c r="BF304" i="106"/>
  <c r="BF281" i="106"/>
  <c r="BF235" i="106"/>
  <c r="BF263" i="106"/>
  <c r="BF242" i="106"/>
  <c r="BF228" i="106"/>
  <c r="U230" i="106"/>
  <c r="U232" i="106"/>
  <c r="AF230" i="106"/>
  <c r="AF232" i="106"/>
  <c r="AQ230" i="106"/>
  <c r="AQ232" i="106"/>
  <c r="AU232" i="106"/>
  <c r="AU230" i="106"/>
  <c r="BB230" i="106"/>
  <c r="BB232" i="106"/>
  <c r="BF232" i="106"/>
  <c r="BF230" i="106"/>
  <c r="Q21" i="106"/>
  <c r="Q289" i="106" s="1"/>
  <c r="U21" i="106"/>
  <c r="AB21" i="106"/>
  <c r="AB289" i="106" s="1"/>
  <c r="AF21" i="106"/>
  <c r="AM21" i="106"/>
  <c r="AQ21" i="106"/>
  <c r="AQ289" i="106" s="1"/>
  <c r="AU21" i="106"/>
  <c r="BB21" i="106"/>
  <c r="BF21" i="106"/>
  <c r="Q22" i="106"/>
  <c r="U22" i="106"/>
  <c r="AB22" i="106"/>
  <c r="AF22" i="106"/>
  <c r="AM22" i="106"/>
  <c r="AQ22" i="106"/>
  <c r="AU22" i="106"/>
  <c r="BB22" i="106"/>
  <c r="BF22" i="106"/>
  <c r="W247" i="106"/>
  <c r="W246" i="106"/>
  <c r="AC247" i="106"/>
  <c r="AC246" i="106"/>
  <c r="AC244" i="106"/>
  <c r="AG247" i="106"/>
  <c r="AG246" i="106"/>
  <c r="AG244" i="106"/>
  <c r="AQ247" i="106"/>
  <c r="AQ246" i="106"/>
  <c r="AQ244" i="106"/>
  <c r="AU247" i="106"/>
  <c r="AU246" i="106"/>
  <c r="AU244" i="106"/>
  <c r="BA247" i="106"/>
  <c r="BA246" i="106"/>
  <c r="BA244" i="106"/>
  <c r="BE247" i="106"/>
  <c r="BE246" i="106"/>
  <c r="BE244" i="106"/>
  <c r="W31" i="106"/>
  <c r="W32" i="106" s="1"/>
  <c r="AQ31" i="106"/>
  <c r="AQ32" i="106" s="1"/>
  <c r="AU31" i="106"/>
  <c r="AU32" i="106" s="1"/>
  <c r="W56" i="106" a="1"/>
  <c r="W56" i="106" s="1"/>
  <c r="AQ56" i="106" a="1"/>
  <c r="AQ56" i="106" s="1"/>
  <c r="AU56" i="106" a="1"/>
  <c r="AU56" i="106" s="1"/>
  <c r="W67" i="106"/>
  <c r="AM67" i="106"/>
  <c r="AQ67" i="106"/>
  <c r="AU67" i="106"/>
  <c r="W69" i="106"/>
  <c r="AQ69" i="106"/>
  <c r="AU69" i="106"/>
  <c r="AW71" i="106"/>
  <c r="AK73" i="106"/>
  <c r="AU218" i="106" s="1"/>
  <c r="E306" i="106"/>
  <c r="E244" i="106"/>
  <c r="E310" i="106"/>
  <c r="E248" i="106"/>
  <c r="V78" i="106"/>
  <c r="V157" i="106" s="1"/>
  <c r="AT78" i="106"/>
  <c r="AT157" i="106" s="1"/>
  <c r="AA118" i="106"/>
  <c r="AA200" i="106"/>
  <c r="AA122" i="106"/>
  <c r="AN118" i="106"/>
  <c r="AN200" i="106"/>
  <c r="AN122" i="106"/>
  <c r="BA118" i="106"/>
  <c r="BA200" i="106"/>
  <c r="BA122" i="106"/>
  <c r="U34" i="106"/>
  <c r="AF34" i="106"/>
  <c r="AM34" i="106"/>
  <c r="AQ34" i="106"/>
  <c r="AU34" i="106"/>
  <c r="BB34" i="106"/>
  <c r="BF34" i="106"/>
  <c r="U35" i="106"/>
  <c r="AF35" i="106"/>
  <c r="AM35" i="106"/>
  <c r="AQ35" i="106"/>
  <c r="AU35" i="106"/>
  <c r="BB35" i="106"/>
  <c r="BF35" i="106"/>
  <c r="BB38" i="106"/>
  <c r="BF38" i="106"/>
  <c r="Q40" i="106"/>
  <c r="Q64" i="106" s="1"/>
  <c r="U40" i="106"/>
  <c r="U64" i="106" s="1"/>
  <c r="AB40" i="106"/>
  <c r="AB64" i="106" s="1"/>
  <c r="AF40" i="106"/>
  <c r="AF64" i="106" s="1"/>
  <c r="AM40" i="106"/>
  <c r="AM64" i="106" s="1"/>
  <c r="AQ40" i="106"/>
  <c r="AQ64" i="106" s="1"/>
  <c r="AU40" i="106"/>
  <c r="AU64" i="106" s="1"/>
  <c r="BB40" i="106"/>
  <c r="BB64" i="106" s="1"/>
  <c r="BF40" i="106"/>
  <c r="BF64" i="106" s="1"/>
  <c r="AD67" i="106"/>
  <c r="AH67" i="106"/>
  <c r="BB67" i="106"/>
  <c r="BF67" i="106"/>
  <c r="BB69" i="106"/>
  <c r="BF69" i="106"/>
  <c r="M71" i="106"/>
  <c r="AW73" i="106"/>
  <c r="BG218" i="106" s="1"/>
  <c r="E307" i="106"/>
  <c r="E245" i="106"/>
  <c r="E311" i="106"/>
  <c r="E249" i="106"/>
  <c r="W78" i="106"/>
  <c r="W171" i="106" s="1"/>
  <c r="AU78" i="106"/>
  <c r="AU171" i="106" s="1"/>
  <c r="AF304" i="106"/>
  <c r="AF281" i="106"/>
  <c r="AF263" i="106"/>
  <c r="AF242" i="106"/>
  <c r="AF235" i="106"/>
  <c r="AF228" i="106"/>
  <c r="BD235" i="106"/>
  <c r="BD228" i="106"/>
  <c r="W232" i="106"/>
  <c r="W230" i="106"/>
  <c r="AD230" i="106"/>
  <c r="AD232" i="106"/>
  <c r="AH232" i="106"/>
  <c r="AH230" i="106"/>
  <c r="AO230" i="106"/>
  <c r="AO232" i="106"/>
  <c r="AS232" i="106"/>
  <c r="AS230" i="106"/>
  <c r="AZ230" i="106"/>
  <c r="AZ232" i="106"/>
  <c r="BD232" i="106"/>
  <c r="BD230" i="106"/>
  <c r="O21" i="106"/>
  <c r="O289" i="106" s="1"/>
  <c r="S21" i="106"/>
  <c r="S289" i="106" s="1"/>
  <c r="W21" i="106"/>
  <c r="AD21" i="106"/>
  <c r="AH21" i="106"/>
  <c r="AH289" i="106" s="1"/>
  <c r="AO21" i="106"/>
  <c r="AO289" i="106" s="1"/>
  <c r="AS21" i="106"/>
  <c r="AZ21" i="106"/>
  <c r="AZ289" i="106" s="1"/>
  <c r="BD21" i="106"/>
  <c r="BD289" i="106" s="1"/>
  <c r="O22" i="106"/>
  <c r="S22" i="106"/>
  <c r="W22" i="106"/>
  <c r="AD22" i="106"/>
  <c r="AH22" i="106"/>
  <c r="AO22" i="106"/>
  <c r="AS22" i="106"/>
  <c r="AZ22" i="106"/>
  <c r="BD22" i="106"/>
  <c r="U246" i="106"/>
  <c r="U247" i="106"/>
  <c r="AE246" i="106"/>
  <c r="AE244" i="106"/>
  <c r="AE247" i="106"/>
  <c r="AI246" i="106"/>
  <c r="AI244" i="106"/>
  <c r="AI247" i="106"/>
  <c r="AO246" i="106"/>
  <c r="AO244" i="106"/>
  <c r="AO247" i="106"/>
  <c r="AS246" i="106"/>
  <c r="AS244" i="106"/>
  <c r="AS247" i="106"/>
  <c r="BC246" i="106"/>
  <c r="BC244" i="106"/>
  <c r="BC247" i="106"/>
  <c r="BG246" i="106"/>
  <c r="BG244" i="106"/>
  <c r="BG247" i="106"/>
  <c r="U31" i="106"/>
  <c r="U65" i="106" s="1"/>
  <c r="AO31" i="106"/>
  <c r="AO270" i="106" s="1"/>
  <c r="AS31" i="106"/>
  <c r="AS32" i="106" s="1"/>
  <c r="AC56" i="106" a="1"/>
  <c r="AC56" i="106" s="1"/>
  <c r="AE56" i="106" a="1"/>
  <c r="AE56" i="106" s="1"/>
  <c r="AG56" i="106" a="1"/>
  <c r="AG56" i="106" s="1"/>
  <c r="AI56" i="106" a="1"/>
  <c r="AI56" i="106" s="1"/>
  <c r="BA56" i="106" a="1"/>
  <c r="BA56" i="106" s="1"/>
  <c r="BC56" i="106" a="1"/>
  <c r="BC56" i="106" s="1"/>
  <c r="BE56" i="106" a="1"/>
  <c r="BE56" i="106" s="1"/>
  <c r="BG56" i="106" a="1"/>
  <c r="BG56" i="106" s="1"/>
  <c r="U67" i="106"/>
  <c r="AO67" i="106"/>
  <c r="AS67" i="106"/>
  <c r="U69" i="106"/>
  <c r="AO69" i="106"/>
  <c r="AS69" i="106"/>
  <c r="Y71" i="106"/>
  <c r="M73" i="106"/>
  <c r="E308" i="106"/>
  <c r="E246" i="106"/>
  <c r="E312" i="106"/>
  <c r="E250" i="106"/>
  <c r="AH78" i="106"/>
  <c r="AH157" i="106" s="1"/>
  <c r="BF78" i="106"/>
  <c r="BF157" i="106" s="1"/>
  <c r="P200" i="106"/>
  <c r="P122" i="106"/>
  <c r="P118" i="106"/>
  <c r="AC200" i="106"/>
  <c r="AC122" i="106"/>
  <c r="AC118" i="106"/>
  <c r="AY200" i="106"/>
  <c r="AY122" i="106"/>
  <c r="AY118" i="106"/>
  <c r="AF38" i="106"/>
  <c r="BD38" i="106"/>
  <c r="O40" i="106"/>
  <c r="S40" i="106"/>
  <c r="S64" i="106" s="1"/>
  <c r="W40" i="106"/>
  <c r="W64" i="106" s="1"/>
  <c r="AD40" i="106"/>
  <c r="AD64" i="106" s="1"/>
  <c r="AH40" i="106"/>
  <c r="AH64" i="106" s="1"/>
  <c r="AO40" i="106"/>
  <c r="AO64" i="106" s="1"/>
  <c r="AS40" i="106"/>
  <c r="AS64" i="106" s="1"/>
  <c r="AZ40" i="106"/>
  <c r="AZ64" i="106" s="1"/>
  <c r="BD40" i="106"/>
  <c r="BD64" i="106" s="1"/>
  <c r="BB59" i="106"/>
  <c r="BF59" i="106"/>
  <c r="AF67" i="106"/>
  <c r="AZ67" i="106"/>
  <c r="BD67" i="106"/>
  <c r="AF69" i="106"/>
  <c r="AZ69" i="106"/>
  <c r="BD69" i="106"/>
  <c r="AK71" i="106"/>
  <c r="Y73" i="106"/>
  <c r="AI218" i="106" s="1"/>
  <c r="E309" i="106"/>
  <c r="E247" i="106"/>
  <c r="E313" i="106"/>
  <c r="E251" i="106"/>
  <c r="AI78" i="106"/>
  <c r="AI171" i="106" s="1"/>
  <c r="BG78" i="106"/>
  <c r="BG171" i="106" s="1"/>
  <c r="Q122" i="106"/>
  <c r="AM122" i="106"/>
  <c r="AC135" i="106"/>
  <c r="AC202" i="106" s="1"/>
  <c r="O118" i="106"/>
  <c r="AB118" i="106"/>
  <c r="AO118" i="106"/>
  <c r="O134" i="106"/>
  <c r="AA134" i="106"/>
  <c r="AM134" i="106"/>
  <c r="AY134" i="106"/>
  <c r="AC137" i="106"/>
  <c r="Q200" i="106"/>
  <c r="AM200" i="106"/>
  <c r="AZ200" i="106"/>
  <c r="O122" i="106"/>
  <c r="AB122" i="106"/>
  <c r="AO122" i="106"/>
  <c r="Q137" i="106"/>
  <c r="Q118" i="106"/>
  <c r="AM118" i="106"/>
  <c r="AZ118" i="106"/>
  <c r="AO134" i="106"/>
  <c r="BA134" i="106"/>
  <c r="AA222" i="105"/>
  <c r="AA210" i="105"/>
  <c r="AA198" i="105"/>
  <c r="AA187" i="105"/>
  <c r="AA76" i="105"/>
  <c r="AA168" i="105"/>
  <c r="AA152" i="105"/>
  <c r="AA102" i="105"/>
  <c r="AE198" i="105"/>
  <c r="AE187" i="105"/>
  <c r="AE222" i="105"/>
  <c r="AE76" i="105"/>
  <c r="AE168" i="105"/>
  <c r="AE152" i="105"/>
  <c r="AI198" i="105"/>
  <c r="AI187" i="105"/>
  <c r="AI210" i="105"/>
  <c r="AI222" i="105"/>
  <c r="AI76" i="105"/>
  <c r="AI168" i="105"/>
  <c r="AP198" i="105"/>
  <c r="AP187" i="105"/>
  <c r="AP222" i="105"/>
  <c r="AP168" i="105"/>
  <c r="AP152" i="105"/>
  <c r="AP76" i="105"/>
  <c r="AT222" i="105"/>
  <c r="AT198" i="105"/>
  <c r="AT187" i="105"/>
  <c r="AT168" i="105"/>
  <c r="AT152" i="105"/>
  <c r="AT76" i="105"/>
  <c r="BA222" i="105"/>
  <c r="BA210" i="105"/>
  <c r="BA198" i="105"/>
  <c r="BA187" i="105"/>
  <c r="BA168" i="105"/>
  <c r="BA152" i="105"/>
  <c r="BA102" i="105"/>
  <c r="BA76" i="105"/>
  <c r="BE222" i="105"/>
  <c r="BE198" i="105"/>
  <c r="BE187" i="105"/>
  <c r="BE168" i="105"/>
  <c r="BE152" i="105"/>
  <c r="BE76" i="105"/>
  <c r="S304" i="105"/>
  <c r="S281" i="105"/>
  <c r="S263" i="105"/>
  <c r="S242" i="105"/>
  <c r="S228" i="105"/>
  <c r="S235" i="105"/>
  <c r="S59" i="105"/>
  <c r="S38" i="105"/>
  <c r="AC17" i="105"/>
  <c r="AG17" i="105"/>
  <c r="AQ304" i="105"/>
  <c r="AQ281" i="105"/>
  <c r="AQ263" i="105"/>
  <c r="AQ242" i="105"/>
  <c r="AQ235" i="105"/>
  <c r="AQ228" i="105"/>
  <c r="AQ59" i="105"/>
  <c r="AQ38" i="105"/>
  <c r="BA304" i="105"/>
  <c r="BA281" i="105"/>
  <c r="BA263" i="105"/>
  <c r="BA242" i="105"/>
  <c r="BA228" i="105"/>
  <c r="BA235" i="105"/>
  <c r="BA59" i="105"/>
  <c r="BA38" i="105"/>
  <c r="BE263" i="105"/>
  <c r="P40" i="105"/>
  <c r="P64" i="105" s="1"/>
  <c r="T232" i="105"/>
  <c r="T230" i="105"/>
  <c r="T40" i="105"/>
  <c r="T64" i="105" s="1"/>
  <c r="T35" i="105"/>
  <c r="AA40" i="105"/>
  <c r="AE232" i="105"/>
  <c r="AE230" i="105"/>
  <c r="AE69" i="105"/>
  <c r="AE67" i="105"/>
  <c r="AE40" i="105"/>
  <c r="AE64" i="105" s="1"/>
  <c r="AE35" i="105"/>
  <c r="AI232" i="105"/>
  <c r="AI230" i="105"/>
  <c r="AI69" i="105"/>
  <c r="AI67" i="105"/>
  <c r="AI40" i="105"/>
  <c r="AI64" i="105" s="1"/>
  <c r="AI35" i="105"/>
  <c r="AP232" i="105"/>
  <c r="AP230" i="105"/>
  <c r="AP40" i="105"/>
  <c r="AP64" i="105" s="1"/>
  <c r="AP35" i="105"/>
  <c r="AP69" i="105"/>
  <c r="AP67" i="105"/>
  <c r="AT232" i="105"/>
  <c r="AT230" i="105"/>
  <c r="AT40" i="105"/>
  <c r="AT64" i="105" s="1"/>
  <c r="AT35" i="105"/>
  <c r="AT69" i="105"/>
  <c r="AT67" i="105"/>
  <c r="BA232" i="105"/>
  <c r="BA230" i="105"/>
  <c r="BA69" i="105"/>
  <c r="BA67" i="105"/>
  <c r="BA40" i="105"/>
  <c r="BA64" i="105" s="1"/>
  <c r="BA35" i="105"/>
  <c r="BE232" i="105"/>
  <c r="BE230" i="105"/>
  <c r="BE69" i="105"/>
  <c r="BE67" i="105"/>
  <c r="BE40" i="105"/>
  <c r="BE64" i="105" s="1"/>
  <c r="BE35" i="105"/>
  <c r="P21" i="105"/>
  <c r="P289" i="105" s="1"/>
  <c r="T21" i="105"/>
  <c r="AA21" i="105"/>
  <c r="AA289" i="105" s="1"/>
  <c r="AE21" i="105"/>
  <c r="AE289" i="105" s="1"/>
  <c r="AI21" i="105"/>
  <c r="AI289" i="105" s="1"/>
  <c r="AP21" i="105"/>
  <c r="AT21" i="105"/>
  <c r="BA21" i="105"/>
  <c r="BE21" i="105"/>
  <c r="BE289" i="105" s="1"/>
  <c r="P22" i="105"/>
  <c r="T22" i="105"/>
  <c r="AA22" i="105"/>
  <c r="AE22" i="105"/>
  <c r="AI22" i="105"/>
  <c r="AP22" i="105"/>
  <c r="AT22" i="105"/>
  <c r="BA22" i="105"/>
  <c r="BE22" i="105"/>
  <c r="M24" i="105"/>
  <c r="V247" i="105"/>
  <c r="V246" i="105"/>
  <c r="V56" i="105" a="1"/>
  <c r="V56" i="105" s="1"/>
  <c r="AF247" i="105"/>
  <c r="AF246" i="105"/>
  <c r="AF244" i="105"/>
  <c r="AF56" i="105" a="1"/>
  <c r="AF56" i="105" s="1"/>
  <c r="AK24" i="105"/>
  <c r="AP247" i="105"/>
  <c r="AP246" i="105"/>
  <c r="AP244" i="105"/>
  <c r="AP56" i="105" a="1"/>
  <c r="AP56" i="105" s="1"/>
  <c r="AT247" i="105"/>
  <c r="AT246" i="105"/>
  <c r="AT244" i="105"/>
  <c r="AT56" i="105" a="1"/>
  <c r="AT56" i="105" s="1"/>
  <c r="AZ247" i="105"/>
  <c r="AZ246" i="105"/>
  <c r="AZ244" i="105"/>
  <c r="AZ56" i="105" a="1"/>
  <c r="AZ56" i="105" s="1"/>
  <c r="BD247" i="105"/>
  <c r="BD246" i="105"/>
  <c r="BD244" i="105"/>
  <c r="BD56" i="105" a="1"/>
  <c r="BD56" i="105" s="1"/>
  <c r="V31" i="105"/>
  <c r="V274" i="105" s="1"/>
  <c r="AF31" i="105"/>
  <c r="AF276" i="105" s="1"/>
  <c r="AP31" i="105"/>
  <c r="AP276" i="105" s="1"/>
  <c r="AT31" i="105"/>
  <c r="AZ31" i="105"/>
  <c r="AZ283" i="105" s="1"/>
  <c r="BD31" i="105"/>
  <c r="BD32" i="105" s="1"/>
  <c r="S34" i="105"/>
  <c r="W34" i="105"/>
  <c r="AD34" i="105"/>
  <c r="AH34" i="105"/>
  <c r="AO34" i="105"/>
  <c r="AS34" i="105"/>
  <c r="AZ34" i="105"/>
  <c r="BD34" i="105"/>
  <c r="AC35" i="105"/>
  <c r="AH35" i="105"/>
  <c r="AY35" i="105"/>
  <c r="BD35" i="105"/>
  <c r="S40" i="105"/>
  <c r="S64" i="105" s="1"/>
  <c r="AB40" i="105"/>
  <c r="AB64" i="105" s="1"/>
  <c r="AH40" i="105"/>
  <c r="AH64" i="105" s="1"/>
  <c r="AS40" i="105"/>
  <c r="AS64" i="105" s="1"/>
  <c r="BD40" i="105"/>
  <c r="BD64" i="105" s="1"/>
  <c r="AP59" i="105"/>
  <c r="AD67" i="105"/>
  <c r="T69" i="105"/>
  <c r="AK178" i="105"/>
  <c r="Y178" i="105"/>
  <c r="M178" i="105"/>
  <c r="AW178" i="105"/>
  <c r="BE161" i="105"/>
  <c r="BA161" i="105"/>
  <c r="AS161" i="105"/>
  <c r="AO161" i="105"/>
  <c r="AG161" i="105"/>
  <c r="AC161" i="105"/>
  <c r="U161" i="105"/>
  <c r="Q161" i="105"/>
  <c r="AZ161" i="105"/>
  <c r="AN161" i="105"/>
  <c r="AB161" i="105"/>
  <c r="P161" i="105"/>
  <c r="BC161" i="105"/>
  <c r="AY161" i="105"/>
  <c r="AQ161" i="105"/>
  <c r="AM161" i="105"/>
  <c r="AE161" i="105"/>
  <c r="AA161" i="105"/>
  <c r="S161" i="105"/>
  <c r="O161" i="105"/>
  <c r="BF161" i="105"/>
  <c r="BB161" i="105"/>
  <c r="AT161" i="105"/>
  <c r="AP161" i="105"/>
  <c r="AH161" i="105"/>
  <c r="AD161" i="105"/>
  <c r="V161" i="105"/>
  <c r="R161" i="105"/>
  <c r="AB222" i="105"/>
  <c r="AB210" i="105"/>
  <c r="AB198" i="105"/>
  <c r="AB187" i="105"/>
  <c r="AB168" i="105"/>
  <c r="AB152" i="105"/>
  <c r="AB102" i="105"/>
  <c r="AB76" i="105"/>
  <c r="AF198" i="105"/>
  <c r="AF187" i="105"/>
  <c r="AF222" i="105"/>
  <c r="AF168" i="105"/>
  <c r="AF152" i="105"/>
  <c r="AF76" i="105"/>
  <c r="AM222" i="105"/>
  <c r="AM210" i="105"/>
  <c r="AM198" i="105"/>
  <c r="AM187" i="105"/>
  <c r="AM168" i="105"/>
  <c r="AM152" i="105"/>
  <c r="AM76" i="105"/>
  <c r="AM102" i="105"/>
  <c r="AQ222" i="105"/>
  <c r="AQ198" i="105"/>
  <c r="AQ187" i="105"/>
  <c r="AQ168" i="105"/>
  <c r="AQ152" i="105"/>
  <c r="AQ76" i="105"/>
  <c r="AU222" i="105"/>
  <c r="AU210" i="105"/>
  <c r="AU198" i="105"/>
  <c r="AU187" i="105"/>
  <c r="AU168" i="105"/>
  <c r="AU76" i="105"/>
  <c r="BB222" i="105"/>
  <c r="BB198" i="105"/>
  <c r="BB187" i="105"/>
  <c r="BB168" i="105"/>
  <c r="BB76" i="105"/>
  <c r="BB152" i="105"/>
  <c r="BF222" i="105"/>
  <c r="BF198" i="105"/>
  <c r="BF187" i="105"/>
  <c r="BF168" i="105"/>
  <c r="BF76" i="105"/>
  <c r="BF152" i="105"/>
  <c r="P304" i="105"/>
  <c r="P281" i="105"/>
  <c r="P263" i="105"/>
  <c r="P235" i="105"/>
  <c r="P228" i="105"/>
  <c r="P242" i="105"/>
  <c r="T304" i="105"/>
  <c r="T281" i="105"/>
  <c r="T263" i="105"/>
  <c r="T235" i="105"/>
  <c r="T228" i="105"/>
  <c r="T242" i="105"/>
  <c r="AD304" i="105"/>
  <c r="AN17" i="105"/>
  <c r="AR17" i="105"/>
  <c r="BB304" i="105"/>
  <c r="BB281" i="105"/>
  <c r="BB263" i="105"/>
  <c r="BB235" i="105"/>
  <c r="BB242" i="105"/>
  <c r="BB228" i="105"/>
  <c r="BF304" i="105"/>
  <c r="BF281" i="105"/>
  <c r="BF263" i="105"/>
  <c r="BF235" i="105"/>
  <c r="BF242" i="105"/>
  <c r="BF228" i="105"/>
  <c r="U232" i="105"/>
  <c r="U230" i="105"/>
  <c r="U69" i="105"/>
  <c r="U67" i="105"/>
  <c r="AF232" i="105"/>
  <c r="AF230" i="105"/>
  <c r="AF69" i="105"/>
  <c r="AF67" i="105"/>
  <c r="AQ232" i="105"/>
  <c r="AQ230" i="105"/>
  <c r="AQ69" i="105"/>
  <c r="AQ67" i="105"/>
  <c r="AU232" i="105"/>
  <c r="AU230" i="105"/>
  <c r="AU69" i="105"/>
  <c r="AU67" i="105"/>
  <c r="BB232" i="105"/>
  <c r="BB230" i="105"/>
  <c r="BB69" i="105"/>
  <c r="BF230" i="105"/>
  <c r="BF232" i="105"/>
  <c r="BF69" i="105"/>
  <c r="Q21" i="105"/>
  <c r="Q289" i="105" s="1"/>
  <c r="U21" i="105"/>
  <c r="U289" i="105" s="1"/>
  <c r="AB21" i="105"/>
  <c r="AB289" i="105" s="1"/>
  <c r="AF21" i="105"/>
  <c r="AM21" i="105"/>
  <c r="AQ21" i="105"/>
  <c r="AQ289" i="105" s="1"/>
  <c r="AU21" i="105"/>
  <c r="BB21" i="105"/>
  <c r="BF21" i="105"/>
  <c r="Q22" i="105"/>
  <c r="U22" i="105"/>
  <c r="AB22" i="105"/>
  <c r="AF22" i="105"/>
  <c r="AM22" i="105"/>
  <c r="AQ22" i="105"/>
  <c r="AU22" i="105"/>
  <c r="BB22" i="105"/>
  <c r="BF22" i="105"/>
  <c r="M73" i="105"/>
  <c r="W78" i="105"/>
  <c r="W171" i="105" s="1"/>
  <c r="M71" i="105"/>
  <c r="V78" i="105"/>
  <c r="V157" i="105" s="1"/>
  <c r="W247" i="105"/>
  <c r="W246" i="105"/>
  <c r="W56" i="105" a="1"/>
  <c r="W56" i="105" s="1"/>
  <c r="AC247" i="105"/>
  <c r="AC246" i="105"/>
  <c r="AC244" i="105"/>
  <c r="AC56" i="105" a="1"/>
  <c r="AC56" i="105" s="1"/>
  <c r="AG247" i="105"/>
  <c r="AG246" i="105"/>
  <c r="AG244" i="105"/>
  <c r="AG56" i="105" a="1"/>
  <c r="AG56" i="105" s="1"/>
  <c r="AU78" i="105"/>
  <c r="AU171" i="105" s="1"/>
  <c r="AT78" i="105"/>
  <c r="AT157" i="105" s="1"/>
  <c r="AK73" i="105"/>
  <c r="AU218" i="105" s="1"/>
  <c r="AK71" i="105"/>
  <c r="AQ247" i="105"/>
  <c r="AQ246" i="105"/>
  <c r="AQ244" i="105"/>
  <c r="AQ56" i="105" a="1"/>
  <c r="AQ56" i="105" s="1"/>
  <c r="AU247" i="105"/>
  <c r="AU246" i="105"/>
  <c r="AU244" i="105"/>
  <c r="AU56" i="105" a="1"/>
  <c r="AU56" i="105" s="1"/>
  <c r="BA247" i="105"/>
  <c r="BA246" i="105"/>
  <c r="BA244" i="105"/>
  <c r="BA56" i="105" a="1"/>
  <c r="BA56" i="105" s="1"/>
  <c r="BE247" i="105"/>
  <c r="BE246" i="105"/>
  <c r="BE244" i="105"/>
  <c r="BE56" i="105" a="1"/>
  <c r="BE56" i="105" s="1"/>
  <c r="W31" i="105"/>
  <c r="W291" i="105" s="1"/>
  <c r="AC31" i="105"/>
  <c r="AC274" i="105" s="1"/>
  <c r="AQ31" i="105"/>
  <c r="AQ291" i="105" s="1"/>
  <c r="AU31" i="105"/>
  <c r="AU278" i="105" s="1"/>
  <c r="BA31" i="105"/>
  <c r="BA276" i="105" s="1"/>
  <c r="BE31" i="105"/>
  <c r="T34" i="105"/>
  <c r="AE34" i="105"/>
  <c r="AI34" i="105"/>
  <c r="AP34" i="105"/>
  <c r="AT34" i="105"/>
  <c r="BA34" i="105"/>
  <c r="BE34" i="105"/>
  <c r="V35" i="105"/>
  <c r="AD35" i="105"/>
  <c r="AM35" i="105"/>
  <c r="AR35" i="105"/>
  <c r="AZ35" i="105"/>
  <c r="BF35" i="105"/>
  <c r="U40" i="105"/>
  <c r="U64" i="105" s="1"/>
  <c r="AC40" i="105"/>
  <c r="AC64" i="105" s="1"/>
  <c r="AM40" i="105"/>
  <c r="AM64" i="105" s="1"/>
  <c r="AU40" i="105"/>
  <c r="AU64" i="105" s="1"/>
  <c r="BF40" i="105"/>
  <c r="BF64" i="105" s="1"/>
  <c r="P59" i="105"/>
  <c r="BB59" i="105"/>
  <c r="AH67" i="105"/>
  <c r="BB67" i="105"/>
  <c r="Y182" i="105"/>
  <c r="M182" i="105"/>
  <c r="AW182" i="105"/>
  <c r="AK182" i="105"/>
  <c r="BD164" i="105"/>
  <c r="AZ164" i="105"/>
  <c r="AR164" i="105"/>
  <c r="AN164" i="105"/>
  <c r="AF164" i="105"/>
  <c r="AB164" i="105"/>
  <c r="T164" i="105"/>
  <c r="P164" i="105"/>
  <c r="BC164" i="105"/>
  <c r="AY164" i="105"/>
  <c r="AQ164" i="105"/>
  <c r="AM164" i="105"/>
  <c r="AE164" i="105"/>
  <c r="AA164" i="105"/>
  <c r="S164" i="105"/>
  <c r="O164" i="105"/>
  <c r="BF164" i="105"/>
  <c r="BB164" i="105"/>
  <c r="AT164" i="105"/>
  <c r="AP164" i="105"/>
  <c r="AH164" i="105"/>
  <c r="AD164" i="105"/>
  <c r="V164" i="105"/>
  <c r="R164" i="105"/>
  <c r="BE164" i="105"/>
  <c r="BA164" i="105"/>
  <c r="AS164" i="105"/>
  <c r="AO164" i="105"/>
  <c r="AG164" i="105"/>
  <c r="AC164" i="105"/>
  <c r="U164" i="105"/>
  <c r="Q164" i="105"/>
  <c r="AC222" i="105"/>
  <c r="AC210" i="105"/>
  <c r="AC198" i="105"/>
  <c r="AC187" i="105"/>
  <c r="AC168" i="105"/>
  <c r="AC152" i="105"/>
  <c r="AC102" i="105"/>
  <c r="AC76" i="105"/>
  <c r="AG222" i="105"/>
  <c r="AG198" i="105"/>
  <c r="AG187" i="105"/>
  <c r="AG168" i="105"/>
  <c r="AG152" i="105"/>
  <c r="AG76" i="105"/>
  <c r="AN222" i="105"/>
  <c r="AN198" i="105"/>
  <c r="AN187" i="105"/>
  <c r="AN210" i="105"/>
  <c r="AN168" i="105"/>
  <c r="AN152" i="105"/>
  <c r="AN76" i="105"/>
  <c r="AN102" i="105"/>
  <c r="AR222" i="105"/>
  <c r="AR198" i="105"/>
  <c r="AR187" i="105"/>
  <c r="AR168" i="105"/>
  <c r="AR152" i="105"/>
  <c r="AR76" i="105"/>
  <c r="AY198" i="105"/>
  <c r="AY187" i="105"/>
  <c r="AY222" i="105"/>
  <c r="AY210" i="105"/>
  <c r="AY76" i="105"/>
  <c r="AY168" i="105"/>
  <c r="AY152" i="105"/>
  <c r="AY102" i="105"/>
  <c r="BC198" i="105"/>
  <c r="BC187" i="105"/>
  <c r="BC222" i="105"/>
  <c r="BC76" i="105"/>
  <c r="BC152" i="105"/>
  <c r="BC168" i="105"/>
  <c r="BG222" i="105"/>
  <c r="BG210" i="105"/>
  <c r="BG198" i="105"/>
  <c r="BG187" i="105"/>
  <c r="BG76" i="105"/>
  <c r="BG168" i="105"/>
  <c r="Q281" i="105"/>
  <c r="Q304" i="105"/>
  <c r="Q263" i="105"/>
  <c r="Q242" i="105"/>
  <c r="Q235" i="105"/>
  <c r="Q228" i="105"/>
  <c r="Q59" i="105"/>
  <c r="U304" i="105"/>
  <c r="U281" i="105"/>
  <c r="U263" i="105"/>
  <c r="U242" i="105"/>
  <c r="U235" i="105"/>
  <c r="U228" i="105"/>
  <c r="U59" i="105"/>
  <c r="AE304" i="105"/>
  <c r="AE281" i="105"/>
  <c r="AE263" i="105"/>
  <c r="AE242" i="105"/>
  <c r="AE228" i="105"/>
  <c r="AE235" i="105"/>
  <c r="AE59" i="105"/>
  <c r="AO242" i="105"/>
  <c r="AS304" i="105"/>
  <c r="AS281" i="105"/>
  <c r="AS263" i="105"/>
  <c r="AS235" i="105"/>
  <c r="AS228" i="105"/>
  <c r="AY304" i="105"/>
  <c r="AY281" i="105"/>
  <c r="AY263" i="105"/>
  <c r="AY228" i="105"/>
  <c r="AY242" i="105"/>
  <c r="AY235" i="105"/>
  <c r="AY59" i="105"/>
  <c r="BC281" i="105"/>
  <c r="BG304" i="105"/>
  <c r="BG263" i="105"/>
  <c r="BG281" i="105"/>
  <c r="BG228" i="105"/>
  <c r="BG242" i="105"/>
  <c r="BG235" i="105"/>
  <c r="BG59" i="105"/>
  <c r="V232" i="105"/>
  <c r="V230" i="105"/>
  <c r="V69" i="105"/>
  <c r="V67" i="105"/>
  <c r="AC232" i="105"/>
  <c r="AC230" i="105"/>
  <c r="AC69" i="105"/>
  <c r="AC67" i="105"/>
  <c r="AG232" i="105"/>
  <c r="AG230" i="105"/>
  <c r="AG40" i="105"/>
  <c r="AG64" i="105" s="1"/>
  <c r="AG69" i="105"/>
  <c r="AG67" i="105"/>
  <c r="AN40" i="105"/>
  <c r="AN64" i="105" s="1"/>
  <c r="AR232" i="105"/>
  <c r="AR230" i="105"/>
  <c r="AR40" i="105"/>
  <c r="AR64" i="105" s="1"/>
  <c r="AY40" i="105"/>
  <c r="AY64" i="105" s="1"/>
  <c r="BC232" i="105"/>
  <c r="BC230" i="105"/>
  <c r="BC69" i="105"/>
  <c r="BC67" i="105"/>
  <c r="BC40" i="105"/>
  <c r="BC64" i="105" s="1"/>
  <c r="BG232" i="105"/>
  <c r="BG230" i="105"/>
  <c r="BG69" i="105"/>
  <c r="BG67" i="105"/>
  <c r="BG40" i="105"/>
  <c r="BG64" i="105" s="1"/>
  <c r="R21" i="105"/>
  <c r="R289" i="105" s="1"/>
  <c r="V21" i="105"/>
  <c r="V289" i="105" s="1"/>
  <c r="AC21" i="105"/>
  <c r="AC289" i="105" s="1"/>
  <c r="AG21" i="105"/>
  <c r="AN21" i="105"/>
  <c r="AR21" i="105"/>
  <c r="AR289" i="105" s="1"/>
  <c r="AY21" i="105"/>
  <c r="BC21" i="105"/>
  <c r="BG21" i="105"/>
  <c r="R22" i="105"/>
  <c r="V22" i="105"/>
  <c r="AC22" i="105"/>
  <c r="AG22" i="105"/>
  <c r="AN22" i="105"/>
  <c r="AR22" i="105"/>
  <c r="AY22" i="105"/>
  <c r="BC22" i="105"/>
  <c r="BG22" i="105"/>
  <c r="T246" i="105"/>
  <c r="T247" i="105"/>
  <c r="T56" i="105" a="1"/>
  <c r="T56" i="105" s="1"/>
  <c r="AD246" i="105"/>
  <c r="AD247" i="105"/>
  <c r="AD244" i="105"/>
  <c r="AD56" i="105" a="1"/>
  <c r="AD56" i="105" s="1"/>
  <c r="AH246" i="105"/>
  <c r="AH247" i="105"/>
  <c r="AH244" i="105"/>
  <c r="AH56" i="105" a="1"/>
  <c r="AH56" i="105" s="1"/>
  <c r="AR246" i="105"/>
  <c r="AR247" i="105"/>
  <c r="AR244" i="105"/>
  <c r="AR56" i="105" a="1"/>
  <c r="AR56" i="105" s="1"/>
  <c r="BB246" i="105"/>
  <c r="BB244" i="105"/>
  <c r="BB247" i="105"/>
  <c r="BB56" i="105" a="1"/>
  <c r="BB56" i="105" s="1"/>
  <c r="BF246" i="105"/>
  <c r="BF244" i="105"/>
  <c r="BF247" i="105"/>
  <c r="BF56" i="105" a="1"/>
  <c r="BF56" i="105" s="1"/>
  <c r="T31" i="105"/>
  <c r="AD31" i="105"/>
  <c r="AD32" i="105" s="1"/>
  <c r="AH31" i="105"/>
  <c r="AH32" i="105" s="1"/>
  <c r="AR31" i="105"/>
  <c r="AR267" i="105" s="1"/>
  <c r="BB31" i="105"/>
  <c r="BB65" i="105" s="1"/>
  <c r="BF31" i="105"/>
  <c r="BF283" i="105" s="1"/>
  <c r="U34" i="105"/>
  <c r="AF34" i="105"/>
  <c r="AM34" i="105"/>
  <c r="AQ34" i="105"/>
  <c r="AU34" i="105"/>
  <c r="BB34" i="105"/>
  <c r="BF34" i="105"/>
  <c r="AF35" i="105"/>
  <c r="AN35" i="105"/>
  <c r="BB35" i="105"/>
  <c r="BG35" i="105"/>
  <c r="AE38" i="105"/>
  <c r="AY38" i="105"/>
  <c r="BD38" i="105"/>
  <c r="Q40" i="105"/>
  <c r="Q64" i="105" s="1"/>
  <c r="V40" i="105"/>
  <c r="V64" i="105" s="1"/>
  <c r="AD40" i="105"/>
  <c r="AD64" i="105" s="1"/>
  <c r="AO40" i="105"/>
  <c r="AO64" i="105" s="1"/>
  <c r="AZ40" i="105"/>
  <c r="AZ64" i="105" s="1"/>
  <c r="T67" i="105"/>
  <c r="BF67" i="105"/>
  <c r="AD198" i="105"/>
  <c r="AD187" i="105"/>
  <c r="AD222" i="105"/>
  <c r="AD76" i="105"/>
  <c r="AD168" i="105"/>
  <c r="AD152" i="105"/>
  <c r="AH222" i="105"/>
  <c r="AH198" i="105"/>
  <c r="AH187" i="105"/>
  <c r="AH76" i="105"/>
  <c r="AH168" i="105"/>
  <c r="AH152" i="105"/>
  <c r="AO222" i="105"/>
  <c r="AO198" i="105"/>
  <c r="AO187" i="105"/>
  <c r="AO210" i="105"/>
  <c r="AO152" i="105"/>
  <c r="AO76" i="105"/>
  <c r="AO102" i="105"/>
  <c r="AO168" i="105"/>
  <c r="AS222" i="105"/>
  <c r="AS198" i="105"/>
  <c r="AS187" i="105"/>
  <c r="AS152" i="105"/>
  <c r="AS76" i="105"/>
  <c r="AS168" i="105"/>
  <c r="AZ198" i="105"/>
  <c r="AZ187" i="105"/>
  <c r="AZ222" i="105"/>
  <c r="AZ210" i="105"/>
  <c r="AZ168" i="105"/>
  <c r="AZ152" i="105"/>
  <c r="AZ102" i="105"/>
  <c r="AZ76" i="105"/>
  <c r="BD198" i="105"/>
  <c r="BD187" i="105"/>
  <c r="BD222" i="105"/>
  <c r="BD152" i="105"/>
  <c r="BD168" i="105"/>
  <c r="BD76" i="105"/>
  <c r="R17" i="105"/>
  <c r="V17" i="105"/>
  <c r="AP304" i="105"/>
  <c r="AP281" i="105"/>
  <c r="AP263" i="105"/>
  <c r="AP235" i="105"/>
  <c r="AP228" i="105"/>
  <c r="AP242" i="105"/>
  <c r="AT281" i="105"/>
  <c r="AT263" i="105"/>
  <c r="AZ304" i="105"/>
  <c r="AZ281" i="105"/>
  <c r="AZ263" i="105"/>
  <c r="AZ235" i="105"/>
  <c r="AZ228" i="105"/>
  <c r="AZ242" i="105"/>
  <c r="BD304" i="105"/>
  <c r="BD281" i="105"/>
  <c r="BD263" i="105"/>
  <c r="BD235" i="105"/>
  <c r="BD242" i="105"/>
  <c r="BD228" i="105"/>
  <c r="W232" i="105"/>
  <c r="W230" i="105"/>
  <c r="W69" i="105"/>
  <c r="W67" i="105"/>
  <c r="AD232" i="105"/>
  <c r="AD230" i="105"/>
  <c r="AH232" i="105"/>
  <c r="AH230" i="105"/>
  <c r="AO232" i="105"/>
  <c r="AO230" i="105"/>
  <c r="AO69" i="105"/>
  <c r="AO67" i="105"/>
  <c r="AS232" i="105"/>
  <c r="AS230" i="105"/>
  <c r="AS69" i="105"/>
  <c r="AS67" i="105"/>
  <c r="AZ232" i="105"/>
  <c r="AZ230" i="105"/>
  <c r="AZ69" i="105"/>
  <c r="AZ67" i="105"/>
  <c r="BD232" i="105"/>
  <c r="BD230" i="105"/>
  <c r="BD69" i="105"/>
  <c r="BD67" i="105"/>
  <c r="O21" i="105"/>
  <c r="S21" i="105"/>
  <c r="W21" i="105"/>
  <c r="W289" i="105" s="1"/>
  <c r="AD21" i="105"/>
  <c r="AH21" i="105"/>
  <c r="AH289" i="105" s="1"/>
  <c r="AO21" i="105"/>
  <c r="AS21" i="105"/>
  <c r="AS289" i="105" s="1"/>
  <c r="AZ21" i="105"/>
  <c r="AZ289" i="105" s="1"/>
  <c r="BD21" i="105"/>
  <c r="O22" i="105"/>
  <c r="S22" i="105"/>
  <c r="W22" i="105"/>
  <c r="AD22" i="105"/>
  <c r="AH22" i="105"/>
  <c r="AO22" i="105"/>
  <c r="AS22" i="105"/>
  <c r="AZ22" i="105"/>
  <c r="BD22" i="105"/>
  <c r="U246" i="105"/>
  <c r="U247" i="105"/>
  <c r="U56" i="105" a="1"/>
  <c r="U56" i="105" s="1"/>
  <c r="AH78" i="105"/>
  <c r="AH157" i="105" s="1"/>
  <c r="Y71" i="105"/>
  <c r="AI78" i="105"/>
  <c r="AI171" i="105" s="1"/>
  <c r="Y73" i="105"/>
  <c r="AI218" i="105" s="1"/>
  <c r="AE246" i="105"/>
  <c r="AE244" i="105"/>
  <c r="AE247" i="105"/>
  <c r="AE56" i="105" a="1"/>
  <c r="AE56" i="105" s="1"/>
  <c r="AI246" i="105"/>
  <c r="AI244" i="105"/>
  <c r="AI247" i="105"/>
  <c r="AI56" i="105" a="1"/>
  <c r="AI56" i="105" s="1"/>
  <c r="AO246" i="105"/>
  <c r="AO244" i="105"/>
  <c r="AO247" i="105"/>
  <c r="AO56" i="105" a="1"/>
  <c r="AO56" i="105" s="1"/>
  <c r="AS246" i="105"/>
  <c r="AS244" i="105"/>
  <c r="AS247" i="105"/>
  <c r="AS56" i="105" a="1"/>
  <c r="AS56" i="105" s="1"/>
  <c r="BF78" i="105"/>
  <c r="BF157" i="105" s="1"/>
  <c r="AW73" i="105"/>
  <c r="BG218" i="105" s="1"/>
  <c r="AW71" i="105"/>
  <c r="BG78" i="105"/>
  <c r="BG171" i="105" s="1"/>
  <c r="BC246" i="105"/>
  <c r="BC244" i="105"/>
  <c r="BC247" i="105"/>
  <c r="BC56" i="105" a="1"/>
  <c r="BC56" i="105" s="1"/>
  <c r="BG246" i="105"/>
  <c r="BG244" i="105"/>
  <c r="BG247" i="105"/>
  <c r="BG56" i="105" a="1"/>
  <c r="BG56" i="105" s="1"/>
  <c r="U31" i="105"/>
  <c r="U283" i="105" s="1"/>
  <c r="AE31" i="105"/>
  <c r="AI31" i="105"/>
  <c r="AO31" i="105"/>
  <c r="AO276" i="105" s="1"/>
  <c r="AS31" i="105"/>
  <c r="AS278" i="105" s="1"/>
  <c r="BC31" i="105"/>
  <c r="BG31" i="105"/>
  <c r="BG291" i="105" s="1"/>
  <c r="V34" i="105"/>
  <c r="AC34" i="105"/>
  <c r="AG34" i="105"/>
  <c r="AN34" i="105"/>
  <c r="AR34" i="105"/>
  <c r="AY34" i="105"/>
  <c r="BC34" i="105"/>
  <c r="BG34" i="105"/>
  <c r="S35" i="105"/>
  <c r="AG35" i="105"/>
  <c r="AO35" i="105"/>
  <c r="AU35" i="105"/>
  <c r="BC35" i="105"/>
  <c r="T38" i="105"/>
  <c r="AS38" i="105"/>
  <c r="AZ38" i="105"/>
  <c r="BF38" i="105"/>
  <c r="R40" i="105"/>
  <c r="R64" i="105" s="1"/>
  <c r="W40" i="105"/>
  <c r="W64" i="105" s="1"/>
  <c r="AF40" i="105"/>
  <c r="AF64" i="105" s="1"/>
  <c r="AQ40" i="105"/>
  <c r="AQ64" i="105" s="1"/>
  <c r="BB40" i="105"/>
  <c r="BB64" i="105" s="1"/>
  <c r="T59" i="105"/>
  <c r="BF59" i="105"/>
  <c r="AR67" i="105"/>
  <c r="AH69" i="105"/>
  <c r="E309" i="105"/>
  <c r="E247" i="105"/>
  <c r="E313" i="105"/>
  <c r="E251" i="105"/>
  <c r="Q118" i="105"/>
  <c r="AM118" i="105"/>
  <c r="AZ118" i="105"/>
  <c r="P122" i="105"/>
  <c r="AC122" i="105"/>
  <c r="AY122" i="105"/>
  <c r="Q134" i="105"/>
  <c r="AC134" i="105"/>
  <c r="AO134" i="105"/>
  <c r="BA134" i="105"/>
  <c r="AA137" i="105"/>
  <c r="AN137" i="105"/>
  <c r="E306" i="105"/>
  <c r="E244" i="105"/>
  <c r="E310" i="105"/>
  <c r="E248" i="105"/>
  <c r="AA118" i="105"/>
  <c r="AN118" i="105"/>
  <c r="BA118" i="105"/>
  <c r="Q122" i="105"/>
  <c r="AM122" i="105"/>
  <c r="AZ122" i="105"/>
  <c r="O137" i="105"/>
  <c r="E307" i="105"/>
  <c r="E245" i="105"/>
  <c r="E311" i="105"/>
  <c r="E249" i="105"/>
  <c r="O118" i="105"/>
  <c r="AB118" i="105"/>
  <c r="AO118" i="105"/>
  <c r="AA122" i="105"/>
  <c r="AN122" i="105"/>
  <c r="BA122" i="105"/>
  <c r="AM134" i="105"/>
  <c r="AY134" i="105"/>
  <c r="E308" i="105"/>
  <c r="E246" i="105"/>
  <c r="E312" i="105"/>
  <c r="E250" i="105"/>
  <c r="P118" i="105"/>
  <c r="AC118" i="105"/>
  <c r="AY118" i="105"/>
  <c r="O122" i="105"/>
  <c r="AB122" i="105"/>
  <c r="AO122" i="105"/>
  <c r="AP235" i="104"/>
  <c r="AM3" i="104"/>
  <c r="AD168" i="104"/>
  <c r="AD152" i="104"/>
  <c r="AD222" i="104"/>
  <c r="AD198" i="104"/>
  <c r="AD187" i="104"/>
  <c r="AH168" i="104"/>
  <c r="AH152" i="104"/>
  <c r="AH198" i="104"/>
  <c r="AH187" i="104"/>
  <c r="AH222" i="104"/>
  <c r="AO222" i="104"/>
  <c r="AO168" i="104"/>
  <c r="AO198" i="104"/>
  <c r="AO187" i="104"/>
  <c r="AO152" i="104"/>
  <c r="AO76" i="104"/>
  <c r="AO210" i="104"/>
  <c r="AO102" i="104"/>
  <c r="AS222" i="104"/>
  <c r="AS168" i="104"/>
  <c r="AS198" i="104"/>
  <c r="AS187" i="104"/>
  <c r="AS152" i="104"/>
  <c r="AS76" i="104"/>
  <c r="AZ222" i="104"/>
  <c r="AZ198" i="104"/>
  <c r="AZ187" i="104"/>
  <c r="AZ168" i="104"/>
  <c r="AZ210" i="104"/>
  <c r="AZ152" i="104"/>
  <c r="AZ102" i="104"/>
  <c r="BD222" i="104"/>
  <c r="BD198" i="104"/>
  <c r="BD187" i="104"/>
  <c r="BD168" i="104"/>
  <c r="BD152" i="104"/>
  <c r="R17" i="104"/>
  <c r="V17" i="104"/>
  <c r="AB304" i="104"/>
  <c r="AB281" i="104"/>
  <c r="AB263" i="104"/>
  <c r="AB242" i="104"/>
  <c r="AB235" i="104"/>
  <c r="AB228" i="104"/>
  <c r="AT17" i="104"/>
  <c r="AZ304" i="104"/>
  <c r="AZ281" i="104"/>
  <c r="AZ263" i="104"/>
  <c r="AZ242" i="104"/>
  <c r="AZ235" i="104"/>
  <c r="AZ228" i="104"/>
  <c r="BD263" i="104"/>
  <c r="W232" i="104"/>
  <c r="W230" i="104"/>
  <c r="W69" i="104"/>
  <c r="AD232" i="104"/>
  <c r="AD230" i="104"/>
  <c r="AH232" i="104"/>
  <c r="AH230" i="104"/>
  <c r="AO232" i="104"/>
  <c r="AO230" i="104"/>
  <c r="AS232" i="104"/>
  <c r="AS230" i="104"/>
  <c r="AZ232" i="104"/>
  <c r="AZ230" i="104"/>
  <c r="BD232" i="104"/>
  <c r="BD230" i="104"/>
  <c r="O21" i="104"/>
  <c r="O289" i="104" s="1"/>
  <c r="S21" i="104"/>
  <c r="W21" i="104"/>
  <c r="AD21" i="104"/>
  <c r="AH21" i="104"/>
  <c r="AO21" i="104"/>
  <c r="AS21" i="104"/>
  <c r="AZ21" i="104"/>
  <c r="AZ289" i="104" s="1"/>
  <c r="BD21" i="104"/>
  <c r="O22" i="104"/>
  <c r="S22" i="104"/>
  <c r="W22" i="104"/>
  <c r="AD22" i="104"/>
  <c r="AH22" i="104"/>
  <c r="AO22" i="104"/>
  <c r="AS22" i="104"/>
  <c r="AZ22" i="104"/>
  <c r="BD22" i="104"/>
  <c r="U246" i="104"/>
  <c r="U247" i="104"/>
  <c r="AI78" i="104"/>
  <c r="AI171" i="104" s="1"/>
  <c r="AH78" i="104"/>
  <c r="AH157" i="104" s="1"/>
  <c r="AE246" i="104"/>
  <c r="AE244" i="104"/>
  <c r="AE247" i="104"/>
  <c r="AI246" i="104"/>
  <c r="AI244" i="104"/>
  <c r="AI247" i="104"/>
  <c r="AO246" i="104"/>
  <c r="AO244" i="104"/>
  <c r="AO247" i="104"/>
  <c r="AS246" i="104"/>
  <c r="AS244" i="104"/>
  <c r="AS247" i="104"/>
  <c r="BG78" i="104"/>
  <c r="BG171" i="104" s="1"/>
  <c r="BF78" i="104"/>
  <c r="BF157" i="104" s="1"/>
  <c r="AW71" i="104"/>
  <c r="BC246" i="104"/>
  <c r="BC244" i="104"/>
  <c r="BC247" i="104"/>
  <c r="BG246" i="104"/>
  <c r="BG244" i="104"/>
  <c r="BG247" i="104"/>
  <c r="U31" i="104"/>
  <c r="U32" i="104" s="1"/>
  <c r="AE31" i="104"/>
  <c r="AE278" i="104" s="1"/>
  <c r="AI31" i="104"/>
  <c r="AI283" i="104" s="1"/>
  <c r="AO31" i="104"/>
  <c r="AO32" i="104" s="1"/>
  <c r="AS31" i="104"/>
  <c r="AS32" i="104" s="1"/>
  <c r="BC31" i="104"/>
  <c r="BC65" i="104" s="1"/>
  <c r="BG31" i="104"/>
  <c r="V34" i="104"/>
  <c r="AC34" i="104"/>
  <c r="AG34" i="104"/>
  <c r="AN34" i="104"/>
  <c r="AR34" i="104"/>
  <c r="AY34" i="104"/>
  <c r="BC34" i="104"/>
  <c r="BG34" i="104"/>
  <c r="V35" i="104"/>
  <c r="AC35" i="104"/>
  <c r="AG35" i="104"/>
  <c r="AN35" i="104"/>
  <c r="AR35" i="104"/>
  <c r="AY35" i="104"/>
  <c r="BC35" i="104"/>
  <c r="BG35" i="104"/>
  <c r="Q38" i="104"/>
  <c r="U38" i="104"/>
  <c r="AO38" i="104"/>
  <c r="AS38" i="104"/>
  <c r="AY38" i="104"/>
  <c r="R40" i="104"/>
  <c r="R64" i="104" s="1"/>
  <c r="V40" i="104"/>
  <c r="V64" i="104" s="1"/>
  <c r="AC40" i="104"/>
  <c r="AC64" i="104" s="1"/>
  <c r="AG40" i="104"/>
  <c r="AG64" i="104" s="1"/>
  <c r="AN40" i="104"/>
  <c r="AN64" i="104" s="1"/>
  <c r="AR40" i="104"/>
  <c r="AR64" i="104" s="1"/>
  <c r="AY40" i="104"/>
  <c r="AY64" i="104" s="1"/>
  <c r="BC40" i="104"/>
  <c r="BC64" i="104" s="1"/>
  <c r="BG40" i="104"/>
  <c r="BG64" i="104" s="1"/>
  <c r="T56" i="104" a="1"/>
  <c r="T56" i="104" s="1"/>
  <c r="AE56" i="104" a="1"/>
  <c r="AE56" i="104" s="1"/>
  <c r="AI56" i="104" a="1"/>
  <c r="AI56" i="104" s="1"/>
  <c r="AR56" i="104" a="1"/>
  <c r="AR56" i="104" s="1"/>
  <c r="BC56" i="104" a="1"/>
  <c r="BC56" i="104" s="1"/>
  <c r="BG56" i="104" a="1"/>
  <c r="BG56" i="104" s="1"/>
  <c r="U67" i="104"/>
  <c r="AO67" i="104"/>
  <c r="AS67" i="104"/>
  <c r="BC67" i="104"/>
  <c r="BG67" i="104"/>
  <c r="U69" i="104"/>
  <c r="AH69" i="104"/>
  <c r="AO69" i="104"/>
  <c r="BB69" i="104"/>
  <c r="BG69" i="104"/>
  <c r="AK71" i="104"/>
  <c r="AW73" i="104"/>
  <c r="BG218" i="104" s="1"/>
  <c r="E307" i="104"/>
  <c r="E245" i="104"/>
  <c r="E311" i="104"/>
  <c r="E249" i="104"/>
  <c r="AH76" i="104"/>
  <c r="W78" i="104"/>
  <c r="W171" i="104" s="1"/>
  <c r="Q118" i="104"/>
  <c r="AM118" i="104"/>
  <c r="AZ118" i="104"/>
  <c r="AA222" i="104"/>
  <c r="AA102" i="104"/>
  <c r="AA210" i="104"/>
  <c r="AA198" i="104"/>
  <c r="AA187" i="104"/>
  <c r="AA76" i="104"/>
  <c r="AA168" i="104"/>
  <c r="AA152" i="104"/>
  <c r="AE222" i="104"/>
  <c r="AE198" i="104"/>
  <c r="AE187" i="104"/>
  <c r="AE76" i="104"/>
  <c r="AE168" i="104"/>
  <c r="AE152" i="104"/>
  <c r="AI222" i="104"/>
  <c r="AI198" i="104"/>
  <c r="AI187" i="104"/>
  <c r="AI76" i="104"/>
  <c r="AI210" i="104"/>
  <c r="AI168" i="104"/>
  <c r="AP222" i="104"/>
  <c r="AP198" i="104"/>
  <c r="AP187" i="104"/>
  <c r="AP152" i="104"/>
  <c r="AP168" i="104"/>
  <c r="AT222" i="104"/>
  <c r="AT198" i="104"/>
  <c r="AT187" i="104"/>
  <c r="AT152" i="104"/>
  <c r="AT168" i="104"/>
  <c r="BA222" i="104"/>
  <c r="BA210" i="104"/>
  <c r="BA152" i="104"/>
  <c r="BA102" i="104"/>
  <c r="BA198" i="104"/>
  <c r="BA187" i="104"/>
  <c r="BA168" i="104"/>
  <c r="BA76" i="104"/>
  <c r="BE222" i="104"/>
  <c r="BE152" i="104"/>
  <c r="BE198" i="104"/>
  <c r="BE187" i="104"/>
  <c r="BE168" i="104"/>
  <c r="BE76" i="104"/>
  <c r="O304" i="104"/>
  <c r="O281" i="104"/>
  <c r="O263" i="104"/>
  <c r="O242" i="104"/>
  <c r="O235" i="104"/>
  <c r="O228" i="104"/>
  <c r="S304" i="104"/>
  <c r="S281" i="104"/>
  <c r="S263" i="104"/>
  <c r="S242" i="104"/>
  <c r="S235" i="104"/>
  <c r="S228" i="104"/>
  <c r="W304" i="104"/>
  <c r="W281" i="104"/>
  <c r="W263" i="104"/>
  <c r="W242" i="104"/>
  <c r="W235" i="104"/>
  <c r="W228" i="104"/>
  <c r="AC304" i="104"/>
  <c r="AC281" i="104"/>
  <c r="AC263" i="104"/>
  <c r="AC242" i="104"/>
  <c r="AC228" i="104"/>
  <c r="AC235" i="104"/>
  <c r="AG304" i="104"/>
  <c r="AG281" i="104"/>
  <c r="AG263" i="104"/>
  <c r="AG242" i="104"/>
  <c r="AG228" i="104"/>
  <c r="AG235" i="104"/>
  <c r="AM304" i="104"/>
  <c r="AM281" i="104"/>
  <c r="AM263" i="104"/>
  <c r="AM242" i="104"/>
  <c r="AM235" i="104"/>
  <c r="AM228" i="104"/>
  <c r="AQ304" i="104"/>
  <c r="AQ281" i="104"/>
  <c r="AQ263" i="104"/>
  <c r="AQ242" i="104"/>
  <c r="AQ235" i="104"/>
  <c r="AQ228" i="104"/>
  <c r="BA304" i="104"/>
  <c r="BA281" i="104"/>
  <c r="BA263" i="104"/>
  <c r="BA242" i="104"/>
  <c r="BA235" i="104"/>
  <c r="BA228" i="104"/>
  <c r="BE281" i="104"/>
  <c r="T232" i="104"/>
  <c r="T230" i="104"/>
  <c r="AE232" i="104"/>
  <c r="AE230" i="104"/>
  <c r="AI232" i="104"/>
  <c r="AI230" i="104"/>
  <c r="AP232" i="104"/>
  <c r="AP230" i="104"/>
  <c r="AT232" i="104"/>
  <c r="AT230" i="104"/>
  <c r="BA232" i="104"/>
  <c r="BA230" i="104"/>
  <c r="BA69" i="104"/>
  <c r="BE232" i="104"/>
  <c r="BE230" i="104"/>
  <c r="BE69" i="104"/>
  <c r="P21" i="104"/>
  <c r="P289" i="104" s="1"/>
  <c r="T21" i="104"/>
  <c r="AA21" i="104"/>
  <c r="AA289" i="104" s="1"/>
  <c r="AE21" i="104"/>
  <c r="AI21" i="104"/>
  <c r="AI289" i="104" s="1"/>
  <c r="AP21" i="104"/>
  <c r="AT21" i="104"/>
  <c r="BA21" i="104"/>
  <c r="BA289" i="104" s="1"/>
  <c r="BE21" i="104"/>
  <c r="P22" i="104"/>
  <c r="T22" i="104"/>
  <c r="AA22" i="104"/>
  <c r="AE22" i="104"/>
  <c r="AI22" i="104"/>
  <c r="AP22" i="104"/>
  <c r="AT22" i="104"/>
  <c r="BA22" i="104"/>
  <c r="BE22" i="104"/>
  <c r="V247" i="104"/>
  <c r="V246" i="104"/>
  <c r="AF247" i="104"/>
  <c r="AF246" i="104"/>
  <c r="AF244" i="104"/>
  <c r="AP247" i="104"/>
  <c r="AP246" i="104"/>
  <c r="AP244" i="104"/>
  <c r="AT247" i="104"/>
  <c r="AT246" i="104"/>
  <c r="AT244" i="104"/>
  <c r="AZ247" i="104"/>
  <c r="AZ246" i="104"/>
  <c r="AZ244" i="104"/>
  <c r="BD247" i="104"/>
  <c r="BD246" i="104"/>
  <c r="BD244" i="104"/>
  <c r="AU29" i="104"/>
  <c r="V31" i="104"/>
  <c r="V32" i="104" s="1"/>
  <c r="AP31" i="104"/>
  <c r="AP278" i="104" s="1"/>
  <c r="AT31" i="104"/>
  <c r="AT276" i="104" s="1"/>
  <c r="S34" i="104"/>
  <c r="W34" i="104"/>
  <c r="AD34" i="104"/>
  <c r="AH34" i="104"/>
  <c r="AO34" i="104"/>
  <c r="AS34" i="104"/>
  <c r="AZ34" i="104"/>
  <c r="BD34" i="104"/>
  <c r="S35" i="104"/>
  <c r="W35" i="104"/>
  <c r="AD35" i="104"/>
  <c r="AH35" i="104"/>
  <c r="AO35" i="104"/>
  <c r="AS35" i="104"/>
  <c r="AZ35" i="104"/>
  <c r="BD35" i="104"/>
  <c r="AB38" i="104"/>
  <c r="AZ38" i="104"/>
  <c r="O40" i="104"/>
  <c r="S40" i="104"/>
  <c r="S64" i="104" s="1"/>
  <c r="W40" i="104"/>
  <c r="W64" i="104" s="1"/>
  <c r="AD40" i="104"/>
  <c r="AD64" i="104" s="1"/>
  <c r="AH40" i="104"/>
  <c r="AH64" i="104" s="1"/>
  <c r="AO40" i="104"/>
  <c r="AO64" i="104" s="1"/>
  <c r="AS40" i="104"/>
  <c r="AS64" i="104" s="1"/>
  <c r="AZ40" i="104"/>
  <c r="AZ64" i="104" s="1"/>
  <c r="BD40" i="104"/>
  <c r="BD64" i="104" s="1"/>
  <c r="V67" i="104"/>
  <c r="AP67" i="104"/>
  <c r="AT67" i="104"/>
  <c r="AZ67" i="104"/>
  <c r="BD67" i="104"/>
  <c r="V69" i="104"/>
  <c r="AD69" i="104"/>
  <c r="AI69" i="104"/>
  <c r="AP69" i="104"/>
  <c r="BC69" i="104"/>
  <c r="AT76" i="104"/>
  <c r="BD76" i="104"/>
  <c r="AK178" i="104"/>
  <c r="BF161" i="104"/>
  <c r="BB161" i="104"/>
  <c r="AT161" i="104"/>
  <c r="AP161" i="104"/>
  <c r="AH161" i="104"/>
  <c r="AD161" i="104"/>
  <c r="V161" i="104"/>
  <c r="R161" i="104"/>
  <c r="Y178" i="104"/>
  <c r="BE161" i="104"/>
  <c r="BA161" i="104"/>
  <c r="AS161" i="104"/>
  <c r="AO161" i="104"/>
  <c r="AG161" i="104"/>
  <c r="AC161" i="104"/>
  <c r="U161" i="104"/>
  <c r="Q161" i="104"/>
  <c r="M178" i="104"/>
  <c r="AZ161" i="104"/>
  <c r="AN161" i="104"/>
  <c r="AB161" i="104"/>
  <c r="P161" i="104"/>
  <c r="AW178" i="104"/>
  <c r="BC161" i="104"/>
  <c r="AY161" i="104"/>
  <c r="AQ161" i="104"/>
  <c r="AM161" i="104"/>
  <c r="AE161" i="104"/>
  <c r="AA161" i="104"/>
  <c r="S161" i="104"/>
  <c r="O161" i="104"/>
  <c r="AM5" i="104"/>
  <c r="AB210" i="104"/>
  <c r="AB198" i="104"/>
  <c r="AB187" i="104"/>
  <c r="AB222" i="104"/>
  <c r="AB168" i="104"/>
  <c r="AB152" i="104"/>
  <c r="AB102" i="104"/>
  <c r="AF222" i="104"/>
  <c r="AF198" i="104"/>
  <c r="AF187" i="104"/>
  <c r="AF168" i="104"/>
  <c r="AF152" i="104"/>
  <c r="AM222" i="104"/>
  <c r="AM210" i="104"/>
  <c r="AM102" i="104"/>
  <c r="AM168" i="104"/>
  <c r="AM198" i="104"/>
  <c r="AM187" i="104"/>
  <c r="AM152" i="104"/>
  <c r="AM76" i="104"/>
  <c r="AQ222" i="104"/>
  <c r="AQ168" i="104"/>
  <c r="AQ198" i="104"/>
  <c r="AQ187" i="104"/>
  <c r="AQ152" i="104"/>
  <c r="AQ76" i="104"/>
  <c r="AU222" i="104"/>
  <c r="AU210" i="104"/>
  <c r="AU168" i="104"/>
  <c r="AU198" i="104"/>
  <c r="AU187" i="104"/>
  <c r="AU76" i="104"/>
  <c r="BB152" i="104"/>
  <c r="BB222" i="104"/>
  <c r="BB198" i="104"/>
  <c r="BB187" i="104"/>
  <c r="BB168" i="104"/>
  <c r="BF152" i="104"/>
  <c r="BF222" i="104"/>
  <c r="BF198" i="104"/>
  <c r="BF187" i="104"/>
  <c r="BF168" i="104"/>
  <c r="P17" i="104"/>
  <c r="T17" i="104"/>
  <c r="AD304" i="104"/>
  <c r="AD281" i="104"/>
  <c r="AD263" i="104"/>
  <c r="AD235" i="104"/>
  <c r="AD242" i="104"/>
  <c r="AD228" i="104"/>
  <c r="AH304" i="104"/>
  <c r="AH281" i="104"/>
  <c r="AH263" i="104"/>
  <c r="AH235" i="104"/>
  <c r="AH242" i="104"/>
  <c r="AH228" i="104"/>
  <c r="AR17" i="104"/>
  <c r="BF304" i="104"/>
  <c r="BF281" i="104"/>
  <c r="BF263" i="104"/>
  <c r="BF235" i="104"/>
  <c r="BF228" i="104"/>
  <c r="BF242" i="104"/>
  <c r="U232" i="104"/>
  <c r="U230" i="104"/>
  <c r="AF232" i="104"/>
  <c r="AF230" i="104"/>
  <c r="AQ232" i="104"/>
  <c r="AQ230" i="104"/>
  <c r="AQ69" i="104"/>
  <c r="AU232" i="104"/>
  <c r="AU230" i="104"/>
  <c r="AU69" i="104"/>
  <c r="BB232" i="104"/>
  <c r="BB230" i="104"/>
  <c r="BF232" i="104"/>
  <c r="BF230" i="104"/>
  <c r="Q21" i="104"/>
  <c r="Q289" i="104" s="1"/>
  <c r="U21" i="104"/>
  <c r="AB21" i="104"/>
  <c r="AB289" i="104" s="1"/>
  <c r="AF21" i="104"/>
  <c r="AF289" i="104" s="1"/>
  <c r="AM21" i="104"/>
  <c r="AM289" i="104" s="1"/>
  <c r="AQ21" i="104"/>
  <c r="AQ289" i="104" s="1"/>
  <c r="AU21" i="104"/>
  <c r="AU289" i="104" s="1"/>
  <c r="BB21" i="104"/>
  <c r="BB289" i="104" s="1"/>
  <c r="BF21" i="104"/>
  <c r="BF289" i="104" s="1"/>
  <c r="Q22" i="104"/>
  <c r="U22" i="104"/>
  <c r="AB22" i="104"/>
  <c r="AF22" i="104"/>
  <c r="AM22" i="104"/>
  <c r="AQ22" i="104"/>
  <c r="AU22" i="104"/>
  <c r="BB22" i="104"/>
  <c r="BF22" i="104"/>
  <c r="V78" i="104"/>
  <c r="V157" i="104" s="1"/>
  <c r="W247" i="104"/>
  <c r="W246" i="104"/>
  <c r="AC247" i="104"/>
  <c r="AC246" i="104"/>
  <c r="AC244" i="104"/>
  <c r="AG247" i="104"/>
  <c r="AG246" i="104"/>
  <c r="AG244" i="104"/>
  <c r="AU78" i="104"/>
  <c r="AU171" i="104" s="1"/>
  <c r="AT78" i="104"/>
  <c r="AT157" i="104" s="1"/>
  <c r="AK73" i="104"/>
  <c r="AU218" i="104" s="1"/>
  <c r="AQ247" i="104"/>
  <c r="AQ246" i="104"/>
  <c r="AQ244" i="104"/>
  <c r="AU247" i="104"/>
  <c r="AU246" i="104"/>
  <c r="AU244" i="104"/>
  <c r="BA247" i="104"/>
  <c r="BA246" i="104"/>
  <c r="BA244" i="104"/>
  <c r="BE247" i="104"/>
  <c r="BE246" i="104"/>
  <c r="BE244" i="104"/>
  <c r="AR29" i="104"/>
  <c r="W31" i="104"/>
  <c r="W32" i="104" s="1"/>
  <c r="AC31" i="104"/>
  <c r="AC32" i="104" s="1"/>
  <c r="AG31" i="104"/>
  <c r="AG278" i="104" s="1"/>
  <c r="AQ31" i="104"/>
  <c r="AQ32" i="104" s="1"/>
  <c r="AU31" i="104"/>
  <c r="AU32" i="104" s="1"/>
  <c r="BA31" i="104"/>
  <c r="BA278" i="104" s="1"/>
  <c r="BE31" i="104"/>
  <c r="BE276" i="104" s="1"/>
  <c r="T34" i="104"/>
  <c r="AE34" i="104"/>
  <c r="AI34" i="104"/>
  <c r="AP34" i="104"/>
  <c r="AT34" i="104"/>
  <c r="BA34" i="104"/>
  <c r="BE34" i="104"/>
  <c r="T35" i="104"/>
  <c r="AE35" i="104"/>
  <c r="AI35" i="104"/>
  <c r="AP35" i="104"/>
  <c r="AT35" i="104"/>
  <c r="BA35" i="104"/>
  <c r="BE35" i="104"/>
  <c r="O38" i="104"/>
  <c r="S38" i="104"/>
  <c r="W38" i="104"/>
  <c r="AC38" i="104"/>
  <c r="AG38" i="104"/>
  <c r="AM38" i="104"/>
  <c r="AQ38" i="104"/>
  <c r="BA38" i="104"/>
  <c r="P40" i="104"/>
  <c r="P64" i="104" s="1"/>
  <c r="T40" i="104"/>
  <c r="T64" i="104" s="1"/>
  <c r="AA40" i="104"/>
  <c r="AE40" i="104"/>
  <c r="AE64" i="104" s="1"/>
  <c r="AI40" i="104"/>
  <c r="AI64" i="104" s="1"/>
  <c r="AP40" i="104"/>
  <c r="AP64" i="104" s="1"/>
  <c r="AT40" i="104"/>
  <c r="AT64" i="104" s="1"/>
  <c r="BA40" i="104"/>
  <c r="BA64" i="104" s="1"/>
  <c r="BE40" i="104"/>
  <c r="BE64" i="104" s="1"/>
  <c r="U56" i="104" a="1"/>
  <c r="U56" i="104" s="1"/>
  <c r="W56" i="104" a="1"/>
  <c r="W56" i="104" s="1"/>
  <c r="AF56" i="104" a="1"/>
  <c r="AF56" i="104" s="1"/>
  <c r="AO56" i="104" a="1"/>
  <c r="AO56" i="104" s="1"/>
  <c r="AQ56" i="104" a="1"/>
  <c r="AQ56" i="104" s="1"/>
  <c r="AS56" i="104" a="1"/>
  <c r="AS56" i="104" s="1"/>
  <c r="AU56" i="104" a="1"/>
  <c r="AU56" i="104" s="1"/>
  <c r="AZ56" i="104" a="1"/>
  <c r="AZ56" i="104" s="1"/>
  <c r="BD56" i="104" a="1"/>
  <c r="BD56" i="104" s="1"/>
  <c r="W67" i="104"/>
  <c r="AM67" i="104"/>
  <c r="AQ67" i="104"/>
  <c r="AU67" i="104"/>
  <c r="BA67" i="104"/>
  <c r="BE67" i="104"/>
  <c r="AE69" i="104"/>
  <c r="BD69" i="104"/>
  <c r="M71" i="104"/>
  <c r="M73" i="104"/>
  <c r="E309" i="104"/>
  <c r="E247" i="104"/>
  <c r="E313" i="104"/>
  <c r="E251" i="104"/>
  <c r="AD76" i="104"/>
  <c r="BF76" i="104"/>
  <c r="AO135" i="104"/>
  <c r="AO202" i="104" s="1"/>
  <c r="Y182" i="104"/>
  <c r="BE164" i="104"/>
  <c r="BA164" i="104"/>
  <c r="AS164" i="104"/>
  <c r="AO164" i="104"/>
  <c r="AG164" i="104"/>
  <c r="AC164" i="104"/>
  <c r="U164" i="104"/>
  <c r="Q164" i="104"/>
  <c r="M182" i="104"/>
  <c r="BD164" i="104"/>
  <c r="AZ164" i="104"/>
  <c r="AR164" i="104"/>
  <c r="AN164" i="104"/>
  <c r="AF164" i="104"/>
  <c r="AB164" i="104"/>
  <c r="T164" i="104"/>
  <c r="P164" i="104"/>
  <c r="AW182" i="104"/>
  <c r="BC164" i="104"/>
  <c r="AY164" i="104"/>
  <c r="AQ164" i="104"/>
  <c r="AM164" i="104"/>
  <c r="AE164" i="104"/>
  <c r="AA164" i="104"/>
  <c r="S164" i="104"/>
  <c r="O164" i="104"/>
  <c r="AK182" i="104"/>
  <c r="BF164" i="104"/>
  <c r="BB164" i="104"/>
  <c r="AT164" i="104"/>
  <c r="AP164" i="104"/>
  <c r="AH164" i="104"/>
  <c r="AH165" i="104" s="1"/>
  <c r="AH13" i="104" s="1"/>
  <c r="AD164" i="104"/>
  <c r="V164" i="104"/>
  <c r="R164" i="104"/>
  <c r="AC222" i="104"/>
  <c r="AC168" i="104"/>
  <c r="AC152" i="104"/>
  <c r="AC102" i="104"/>
  <c r="AC210" i="104"/>
  <c r="AC198" i="104"/>
  <c r="AC187" i="104"/>
  <c r="AC76" i="104"/>
  <c r="AG222" i="104"/>
  <c r="AG168" i="104"/>
  <c r="AG152" i="104"/>
  <c r="AG198" i="104"/>
  <c r="AG187" i="104"/>
  <c r="AG76" i="104"/>
  <c r="AN222" i="104"/>
  <c r="AN168" i="104"/>
  <c r="AN198" i="104"/>
  <c r="AN187" i="104"/>
  <c r="AN152" i="104"/>
  <c r="AN210" i="104"/>
  <c r="AN102" i="104"/>
  <c r="AR222" i="104"/>
  <c r="AR168" i="104"/>
  <c r="AR198" i="104"/>
  <c r="AR187" i="104"/>
  <c r="AR152" i="104"/>
  <c r="AY222" i="104"/>
  <c r="AY102" i="104"/>
  <c r="AY198" i="104"/>
  <c r="AY187" i="104"/>
  <c r="AY168" i="104"/>
  <c r="AY76" i="104"/>
  <c r="AY210" i="104"/>
  <c r="AY152" i="104"/>
  <c r="BC222" i="104"/>
  <c r="BC198" i="104"/>
  <c r="BC187" i="104"/>
  <c r="BC168" i="104"/>
  <c r="BC76" i="104"/>
  <c r="BC152" i="104"/>
  <c r="BG222" i="104"/>
  <c r="BG210" i="104"/>
  <c r="BG198" i="104"/>
  <c r="BG187" i="104"/>
  <c r="BG168" i="104"/>
  <c r="BG76" i="104"/>
  <c r="Q304" i="104"/>
  <c r="Q281" i="104"/>
  <c r="Q263" i="104"/>
  <c r="Q242" i="104"/>
  <c r="Q235" i="104"/>
  <c r="Q228" i="104"/>
  <c r="U263" i="104"/>
  <c r="U242" i="104"/>
  <c r="U235" i="104"/>
  <c r="U228" i="104"/>
  <c r="AA17" i="104"/>
  <c r="AE17" i="104"/>
  <c r="AI17" i="104"/>
  <c r="AO304" i="104"/>
  <c r="AO281" i="104"/>
  <c r="AO263" i="104"/>
  <c r="AO242" i="104"/>
  <c r="AO235" i="104"/>
  <c r="AO228" i="104"/>
  <c r="AS304" i="104"/>
  <c r="AS281" i="104"/>
  <c r="AS263" i="104"/>
  <c r="AS242" i="104"/>
  <c r="AS235" i="104"/>
  <c r="AS228" i="104"/>
  <c r="AY304" i="104"/>
  <c r="AY281" i="104"/>
  <c r="AY263" i="104"/>
  <c r="AY228" i="104"/>
  <c r="AY242" i="104"/>
  <c r="AY235" i="104"/>
  <c r="BC304" i="104"/>
  <c r="BC242" i="104"/>
  <c r="V232" i="104"/>
  <c r="V230" i="104"/>
  <c r="AC232" i="104"/>
  <c r="AC230" i="104"/>
  <c r="AC69" i="104"/>
  <c r="AG232" i="104"/>
  <c r="AG230" i="104"/>
  <c r="AG69" i="104"/>
  <c r="AR232" i="104"/>
  <c r="AR230" i="104"/>
  <c r="BC232" i="104"/>
  <c r="BC230" i="104"/>
  <c r="BG232" i="104"/>
  <c r="BG230" i="104"/>
  <c r="R21" i="104"/>
  <c r="R289" i="104" s="1"/>
  <c r="V21" i="104"/>
  <c r="AC21" i="104"/>
  <c r="AC289" i="104" s="1"/>
  <c r="AG21" i="104"/>
  <c r="AG289" i="104" s="1"/>
  <c r="AN21" i="104"/>
  <c r="AN289" i="104" s="1"/>
  <c r="AR21" i="104"/>
  <c r="AR289" i="104" s="1"/>
  <c r="AY21" i="104"/>
  <c r="AY289" i="104" s="1"/>
  <c r="BC21" i="104"/>
  <c r="BG21" i="104"/>
  <c r="BG289" i="104" s="1"/>
  <c r="R22" i="104"/>
  <c r="V22" i="104"/>
  <c r="AC22" i="104"/>
  <c r="AG22" i="104"/>
  <c r="AN22" i="104"/>
  <c r="AR22" i="104"/>
  <c r="AY22" i="104"/>
  <c r="BC22" i="104"/>
  <c r="BG22" i="104"/>
  <c r="T246" i="104"/>
  <c r="T247" i="104"/>
  <c r="Y24" i="104"/>
  <c r="AD246" i="104"/>
  <c r="AD244" i="104"/>
  <c r="AD247" i="104"/>
  <c r="AH246" i="104"/>
  <c r="AH244" i="104"/>
  <c r="AH247" i="104"/>
  <c r="AR246" i="104"/>
  <c r="AR244" i="104"/>
  <c r="AR247" i="104"/>
  <c r="AW24" i="104"/>
  <c r="BB246" i="104"/>
  <c r="BB244" i="104"/>
  <c r="BB247" i="104"/>
  <c r="BF246" i="104"/>
  <c r="BF244" i="104"/>
  <c r="BF247" i="104"/>
  <c r="AO29" i="104"/>
  <c r="AS29" i="104"/>
  <c r="T31" i="104"/>
  <c r="T276" i="104" s="1"/>
  <c r="AD31" i="104"/>
  <c r="AD32" i="104" s="1"/>
  <c r="AH31" i="104"/>
  <c r="AH32" i="104" s="1"/>
  <c r="AR31" i="104"/>
  <c r="AR32" i="104" s="1"/>
  <c r="BB31" i="104"/>
  <c r="BB274" i="104" s="1"/>
  <c r="BF31" i="104"/>
  <c r="U34" i="104"/>
  <c r="AF34" i="104"/>
  <c r="AM34" i="104"/>
  <c r="AQ34" i="104"/>
  <c r="AU34" i="104"/>
  <c r="BB34" i="104"/>
  <c r="BF34" i="104"/>
  <c r="U35" i="104"/>
  <c r="AF35" i="104"/>
  <c r="AM35" i="104"/>
  <c r="AQ35" i="104"/>
  <c r="AU35" i="104"/>
  <c r="BB35" i="104"/>
  <c r="BF35" i="104"/>
  <c r="AD38" i="104"/>
  <c r="AH38" i="104"/>
  <c r="BF38" i="104"/>
  <c r="Q40" i="104"/>
  <c r="Q64" i="104" s="1"/>
  <c r="U40" i="104"/>
  <c r="U64" i="104" s="1"/>
  <c r="AB40" i="104"/>
  <c r="AB64" i="104" s="1"/>
  <c r="AF40" i="104"/>
  <c r="AF64" i="104" s="1"/>
  <c r="AM40" i="104"/>
  <c r="AM64" i="104" s="1"/>
  <c r="AQ40" i="104"/>
  <c r="AQ64" i="104" s="1"/>
  <c r="AU40" i="104"/>
  <c r="AU64" i="104" s="1"/>
  <c r="BB40" i="104"/>
  <c r="BB64" i="104" s="1"/>
  <c r="BF40" i="104"/>
  <c r="BF64" i="104" s="1"/>
  <c r="AB59" i="104"/>
  <c r="AZ59" i="104"/>
  <c r="BD59" i="104"/>
  <c r="T67" i="104"/>
  <c r="AD67" i="104"/>
  <c r="AH67" i="104"/>
  <c r="AN67" i="104"/>
  <c r="AR67" i="104"/>
  <c r="BB67" i="104"/>
  <c r="BF67" i="104"/>
  <c r="T69" i="104"/>
  <c r="AF69" i="104"/>
  <c r="AS69" i="104"/>
  <c r="AZ69" i="104"/>
  <c r="BF69" i="104"/>
  <c r="Y71" i="104"/>
  <c r="Y73" i="104"/>
  <c r="AI218" i="104" s="1"/>
  <c r="AF76" i="104"/>
  <c r="AP76" i="104"/>
  <c r="AZ76" i="104"/>
  <c r="AC122" i="104"/>
  <c r="AY122" i="104"/>
  <c r="AC135" i="104"/>
  <c r="AC202" i="104" s="1"/>
  <c r="E306" i="104"/>
  <c r="E244" i="104"/>
  <c r="E310" i="104"/>
  <c r="E248" i="104"/>
  <c r="AA118" i="104"/>
  <c r="AN118" i="104"/>
  <c r="BA118" i="104"/>
  <c r="Q122" i="104"/>
  <c r="AM122" i="104"/>
  <c r="AZ122" i="104"/>
  <c r="O137" i="104"/>
  <c r="AO137" i="104"/>
  <c r="P200" i="104"/>
  <c r="AC200" i="104"/>
  <c r="AY200" i="104"/>
  <c r="O118" i="104"/>
  <c r="AB118" i="104"/>
  <c r="AO118" i="104"/>
  <c r="AA122" i="104"/>
  <c r="AN122" i="104"/>
  <c r="BA122" i="104"/>
  <c r="AA134" i="104"/>
  <c r="AM134" i="104"/>
  <c r="AY134" i="104"/>
  <c r="AC137" i="104"/>
  <c r="Q200" i="104"/>
  <c r="AM200" i="104"/>
  <c r="AZ200" i="104"/>
  <c r="E308" i="104"/>
  <c r="E246" i="104"/>
  <c r="E312" i="104"/>
  <c r="E250" i="104"/>
  <c r="P118" i="104"/>
  <c r="AC118" i="104"/>
  <c r="AY118" i="104"/>
  <c r="O122" i="104"/>
  <c r="AB122" i="104"/>
  <c r="AO122" i="104"/>
  <c r="Q137" i="104"/>
  <c r="BA134" i="104"/>
  <c r="AC222" i="103"/>
  <c r="AC210" i="103"/>
  <c r="AC198" i="103"/>
  <c r="AC187" i="103"/>
  <c r="AC102" i="103"/>
  <c r="AC76" i="103"/>
  <c r="AC168" i="103"/>
  <c r="AC152" i="103"/>
  <c r="AG222" i="103"/>
  <c r="AG198" i="103"/>
  <c r="AG187" i="103"/>
  <c r="AG76" i="103"/>
  <c r="AG168" i="103"/>
  <c r="AG152" i="103"/>
  <c r="AN198" i="103"/>
  <c r="AN187" i="103"/>
  <c r="AN210" i="103"/>
  <c r="AN222" i="103"/>
  <c r="AN152" i="103"/>
  <c r="AN76" i="103"/>
  <c r="AN102" i="103"/>
  <c r="AN168" i="103"/>
  <c r="AR198" i="103"/>
  <c r="AR187" i="103"/>
  <c r="AR222" i="103"/>
  <c r="AR152" i="103"/>
  <c r="AR76" i="103"/>
  <c r="AR168" i="103"/>
  <c r="AY198" i="103"/>
  <c r="AY187" i="103"/>
  <c r="AY222" i="103"/>
  <c r="AY210" i="103"/>
  <c r="AY152" i="103"/>
  <c r="AY102" i="103"/>
  <c r="AY168" i="103"/>
  <c r="AY76" i="103"/>
  <c r="BC198" i="103"/>
  <c r="BC187" i="103"/>
  <c r="BC222" i="103"/>
  <c r="BC152" i="103"/>
  <c r="BC168" i="103"/>
  <c r="BC76" i="103"/>
  <c r="BG198" i="103"/>
  <c r="BG187" i="103"/>
  <c r="BG222" i="103"/>
  <c r="BG210" i="103"/>
  <c r="BG168" i="103"/>
  <c r="BG76" i="103"/>
  <c r="Q304" i="103"/>
  <c r="Q263" i="103"/>
  <c r="Q281" i="103"/>
  <c r="Q242" i="103"/>
  <c r="Q228" i="103"/>
  <c r="Q235" i="103"/>
  <c r="Q59" i="103"/>
  <c r="AA304" i="103"/>
  <c r="AA281" i="103"/>
  <c r="AA263" i="103"/>
  <c r="AA242" i="103"/>
  <c r="AA228" i="103"/>
  <c r="AA235" i="103"/>
  <c r="AA59" i="103"/>
  <c r="AE304" i="103"/>
  <c r="AE281" i="103"/>
  <c r="AE263" i="103"/>
  <c r="AE242" i="103"/>
  <c r="AE228" i="103"/>
  <c r="AE235" i="103"/>
  <c r="AE59" i="103"/>
  <c r="AI304" i="103"/>
  <c r="AI281" i="103"/>
  <c r="AI263" i="103"/>
  <c r="AI242" i="103"/>
  <c r="AI228" i="103"/>
  <c r="AI235" i="103"/>
  <c r="AI59" i="103"/>
  <c r="AO304" i="103"/>
  <c r="AO281" i="103"/>
  <c r="AO263" i="103"/>
  <c r="AO242" i="103"/>
  <c r="AO228" i="103"/>
  <c r="AO235" i="103"/>
  <c r="AO59" i="103"/>
  <c r="AS304" i="103"/>
  <c r="AS281" i="103"/>
  <c r="AS263" i="103"/>
  <c r="AS242" i="103"/>
  <c r="AS228" i="103"/>
  <c r="AS235" i="103"/>
  <c r="AS59" i="103"/>
  <c r="AY304" i="103"/>
  <c r="AY281" i="103"/>
  <c r="AY263" i="103"/>
  <c r="AY228" i="103"/>
  <c r="AY242" i="103"/>
  <c r="AY235" i="103"/>
  <c r="AY59" i="103"/>
  <c r="BC304" i="103"/>
  <c r="BC281" i="103"/>
  <c r="BC263" i="103"/>
  <c r="BC228" i="103"/>
  <c r="BC242" i="103"/>
  <c r="BC235" i="103"/>
  <c r="BC59" i="103"/>
  <c r="BG304" i="103"/>
  <c r="BG281" i="103"/>
  <c r="BG263" i="103"/>
  <c r="BG228" i="103"/>
  <c r="BG242" i="103"/>
  <c r="BG235" i="103"/>
  <c r="BG59" i="103"/>
  <c r="V232" i="103"/>
  <c r="V230" i="103"/>
  <c r="V69" i="103"/>
  <c r="AC232" i="103"/>
  <c r="AC230" i="103"/>
  <c r="AC69" i="103"/>
  <c r="AC67" i="103"/>
  <c r="AG232" i="103"/>
  <c r="AG230" i="103"/>
  <c r="AG69" i="103"/>
  <c r="AG67" i="103"/>
  <c r="AR232" i="103"/>
  <c r="AR230" i="103"/>
  <c r="AR69" i="103"/>
  <c r="BC232" i="103"/>
  <c r="BC230" i="103"/>
  <c r="BC69" i="103"/>
  <c r="BC67" i="103"/>
  <c r="BG232" i="103"/>
  <c r="BG230" i="103"/>
  <c r="BG69" i="103"/>
  <c r="BG67" i="103"/>
  <c r="R21" i="103"/>
  <c r="R289" i="103" s="1"/>
  <c r="V21" i="103"/>
  <c r="AC21" i="103"/>
  <c r="AC289" i="103" s="1"/>
  <c r="AG21" i="103"/>
  <c r="AN21" i="103"/>
  <c r="AR21" i="103"/>
  <c r="AR289" i="103" s="1"/>
  <c r="AY21" i="103"/>
  <c r="AY289" i="103" s="1"/>
  <c r="BC21" i="103"/>
  <c r="BG21" i="103"/>
  <c r="R22" i="103"/>
  <c r="V22" i="103"/>
  <c r="AC22" i="103"/>
  <c r="AG22" i="103"/>
  <c r="AN22" i="103"/>
  <c r="AR22" i="103"/>
  <c r="AY22" i="103"/>
  <c r="BC22" i="103"/>
  <c r="BG22" i="103"/>
  <c r="T246" i="103"/>
  <c r="T247" i="103"/>
  <c r="T56" i="103" a="1"/>
  <c r="T56" i="103" s="1"/>
  <c r="AD246" i="103"/>
  <c r="AD247" i="103"/>
  <c r="AD244" i="103"/>
  <c r="AD56" i="103" a="1"/>
  <c r="AD56" i="103" s="1"/>
  <c r="AH246" i="103"/>
  <c r="AH247" i="103"/>
  <c r="AH244" i="103"/>
  <c r="AH56" i="103" a="1"/>
  <c r="AH56" i="103" s="1"/>
  <c r="AR246" i="103"/>
  <c r="AR247" i="103"/>
  <c r="AR244" i="103"/>
  <c r="AR56" i="103" a="1"/>
  <c r="AR56" i="103" s="1"/>
  <c r="BB246" i="103"/>
  <c r="BB247" i="103"/>
  <c r="BB244" i="103"/>
  <c r="BB56" i="103" a="1"/>
  <c r="BB56" i="103" s="1"/>
  <c r="BF246" i="103"/>
  <c r="BF247" i="103"/>
  <c r="BF244" i="103"/>
  <c r="BF56" i="103" a="1"/>
  <c r="BF56" i="103" s="1"/>
  <c r="T31" i="103"/>
  <c r="T65" i="103" s="1"/>
  <c r="AD31" i="103"/>
  <c r="AD65" i="103" s="1"/>
  <c r="AH31" i="103"/>
  <c r="AH274" i="103" s="1"/>
  <c r="AR31" i="103"/>
  <c r="AR274" i="103" s="1"/>
  <c r="BB31" i="103"/>
  <c r="BB283" i="103" s="1"/>
  <c r="BF31" i="103"/>
  <c r="BF32" i="103" s="1"/>
  <c r="U34" i="103"/>
  <c r="AF34" i="103"/>
  <c r="AM34" i="103"/>
  <c r="AQ34" i="103"/>
  <c r="AU34" i="103"/>
  <c r="BB34" i="103"/>
  <c r="BF34" i="103"/>
  <c r="U35" i="103"/>
  <c r="AF35" i="103"/>
  <c r="AM35" i="103"/>
  <c r="AQ35" i="103"/>
  <c r="AU35" i="103"/>
  <c r="BB35" i="103"/>
  <c r="BF35" i="103"/>
  <c r="T38" i="103"/>
  <c r="AD38" i="103"/>
  <c r="BF38" i="103"/>
  <c r="Q40" i="103"/>
  <c r="Q64" i="103" s="1"/>
  <c r="U40" i="103"/>
  <c r="U64" i="103" s="1"/>
  <c r="AB40" i="103"/>
  <c r="AB64" i="103" s="1"/>
  <c r="AF40" i="103"/>
  <c r="AF64" i="103" s="1"/>
  <c r="AM40" i="103"/>
  <c r="AM64" i="103" s="1"/>
  <c r="AQ40" i="103"/>
  <c r="AQ64" i="103" s="1"/>
  <c r="AU40" i="103"/>
  <c r="AU64" i="103" s="1"/>
  <c r="BC40" i="103"/>
  <c r="BC64" i="103" s="1"/>
  <c r="AR67" i="103"/>
  <c r="BB67" i="103"/>
  <c r="AD198" i="103"/>
  <c r="AD187" i="103"/>
  <c r="AD222" i="103"/>
  <c r="AD76" i="103"/>
  <c r="AD168" i="103"/>
  <c r="AD152" i="103"/>
  <c r="AH198" i="103"/>
  <c r="AH187" i="103"/>
  <c r="AH222" i="103"/>
  <c r="AH76" i="103"/>
  <c r="AH168" i="103"/>
  <c r="AH152" i="103"/>
  <c r="AO198" i="103"/>
  <c r="AO187" i="103"/>
  <c r="AO210" i="103"/>
  <c r="AO222" i="103"/>
  <c r="AO102" i="103"/>
  <c r="AO168" i="103"/>
  <c r="AO152" i="103"/>
  <c r="AO76" i="103"/>
  <c r="AS198" i="103"/>
  <c r="AS187" i="103"/>
  <c r="AS222" i="103"/>
  <c r="AS168" i="103"/>
  <c r="AS152" i="103"/>
  <c r="AS76" i="103"/>
  <c r="AZ222" i="103"/>
  <c r="AZ210" i="103"/>
  <c r="AZ198" i="103"/>
  <c r="AZ187" i="103"/>
  <c r="AZ152" i="103"/>
  <c r="AZ102" i="103"/>
  <c r="AZ168" i="103"/>
  <c r="AZ76" i="103"/>
  <c r="BD222" i="103"/>
  <c r="BD198" i="103"/>
  <c r="BD187" i="103"/>
  <c r="BD152" i="103"/>
  <c r="BD168" i="103"/>
  <c r="BD76" i="103"/>
  <c r="R304" i="103"/>
  <c r="R281" i="103"/>
  <c r="R263" i="103"/>
  <c r="R235" i="103"/>
  <c r="R242" i="103"/>
  <c r="R228" i="103"/>
  <c r="V304" i="103"/>
  <c r="AB304" i="103"/>
  <c r="AB263" i="103"/>
  <c r="AB281" i="103"/>
  <c r="AB235" i="103"/>
  <c r="AB242" i="103"/>
  <c r="AB228" i="103"/>
  <c r="AF304" i="103"/>
  <c r="AF263" i="103"/>
  <c r="AF281" i="103"/>
  <c r="AF235" i="103"/>
  <c r="AF242" i="103"/>
  <c r="AF228" i="103"/>
  <c r="AP304" i="103"/>
  <c r="AP281" i="103"/>
  <c r="AP263" i="103"/>
  <c r="AP235" i="103"/>
  <c r="AP228" i="103"/>
  <c r="AP242" i="103"/>
  <c r="AT304" i="103"/>
  <c r="AT281" i="103"/>
  <c r="AT263" i="103"/>
  <c r="AT235" i="103"/>
  <c r="AT228" i="103"/>
  <c r="AT242" i="103"/>
  <c r="AZ304" i="103"/>
  <c r="AZ281" i="103"/>
  <c r="AZ263" i="103"/>
  <c r="AZ235" i="103"/>
  <c r="AZ242" i="103"/>
  <c r="AZ228" i="103"/>
  <c r="W232" i="103"/>
  <c r="W230" i="103"/>
  <c r="W69" i="103"/>
  <c r="W67" i="103"/>
  <c r="AD230" i="103"/>
  <c r="AD232" i="103"/>
  <c r="AD69" i="103"/>
  <c r="AH232" i="103"/>
  <c r="AH230" i="103"/>
  <c r="AH69" i="103"/>
  <c r="AO230" i="103"/>
  <c r="AO232" i="103"/>
  <c r="AO69" i="103"/>
  <c r="AO67" i="103"/>
  <c r="AS232" i="103"/>
  <c r="AS230" i="103"/>
  <c r="AS69" i="103"/>
  <c r="AS67" i="103"/>
  <c r="AZ230" i="103"/>
  <c r="AZ232" i="103"/>
  <c r="AZ69" i="103"/>
  <c r="BD232" i="103"/>
  <c r="BD230" i="103"/>
  <c r="BD69" i="103"/>
  <c r="O21" i="103"/>
  <c r="O289" i="103" s="1"/>
  <c r="S21" i="103"/>
  <c r="S289" i="103" s="1"/>
  <c r="W21" i="103"/>
  <c r="W289" i="103" s="1"/>
  <c r="AD21" i="103"/>
  <c r="AH21" i="103"/>
  <c r="AH289" i="103" s="1"/>
  <c r="AO21" i="103"/>
  <c r="AS21" i="103"/>
  <c r="AS289" i="103" s="1"/>
  <c r="AZ21" i="103"/>
  <c r="BD21" i="103"/>
  <c r="O22" i="103"/>
  <c r="S22" i="103"/>
  <c r="W22" i="103"/>
  <c r="AD22" i="103"/>
  <c r="AH22" i="103"/>
  <c r="AO22" i="103"/>
  <c r="AS22" i="103"/>
  <c r="AZ22" i="103"/>
  <c r="BD22" i="103"/>
  <c r="U246" i="103"/>
  <c r="U247" i="103"/>
  <c r="U56" i="103" a="1"/>
  <c r="U56" i="103" s="1"/>
  <c r="AI78" i="103"/>
  <c r="AI171" i="103" s="1"/>
  <c r="Y73" i="103"/>
  <c r="AI218" i="103" s="1"/>
  <c r="AH78" i="103"/>
  <c r="AH157" i="103" s="1"/>
  <c r="Y71" i="103"/>
  <c r="AE246" i="103"/>
  <c r="AE244" i="103"/>
  <c r="AE247" i="103"/>
  <c r="AE56" i="103" a="1"/>
  <c r="AE56" i="103" s="1"/>
  <c r="AI246" i="103"/>
  <c r="AI244" i="103"/>
  <c r="AI247" i="103"/>
  <c r="AI56" i="103" a="1"/>
  <c r="AI56" i="103" s="1"/>
  <c r="AO246" i="103"/>
  <c r="AO244" i="103"/>
  <c r="AO247" i="103"/>
  <c r="AO56" i="103" a="1"/>
  <c r="AO56" i="103" s="1"/>
  <c r="AS246" i="103"/>
  <c r="AS244" i="103"/>
  <c r="AS247" i="103"/>
  <c r="AS56" i="103" a="1"/>
  <c r="AS56" i="103" s="1"/>
  <c r="AW73" i="103"/>
  <c r="BG218" i="103" s="1"/>
  <c r="AW71" i="103"/>
  <c r="BG78" i="103"/>
  <c r="BG171" i="103" s="1"/>
  <c r="BF78" i="103"/>
  <c r="BF157" i="103" s="1"/>
  <c r="BC246" i="103"/>
  <c r="BC244" i="103"/>
  <c r="BC247" i="103"/>
  <c r="BC56" i="103" a="1"/>
  <c r="BC56" i="103" s="1"/>
  <c r="BG246" i="103"/>
  <c r="BG244" i="103"/>
  <c r="BG247" i="103"/>
  <c r="BG56" i="103" a="1"/>
  <c r="BG56" i="103" s="1"/>
  <c r="U31" i="103"/>
  <c r="U268" i="103" s="1"/>
  <c r="AE31" i="103"/>
  <c r="AE283" i="103" s="1"/>
  <c r="AI31" i="103"/>
  <c r="AI291" i="103" s="1"/>
  <c r="AO31" i="103"/>
  <c r="AO283" i="103" s="1"/>
  <c r="AS31" i="103"/>
  <c r="BC31" i="103"/>
  <c r="BG31" i="103"/>
  <c r="V34" i="103"/>
  <c r="AC34" i="103"/>
  <c r="AG34" i="103"/>
  <c r="AN34" i="103"/>
  <c r="AR34" i="103"/>
  <c r="AY34" i="103"/>
  <c r="BC34" i="103"/>
  <c r="BG34" i="103"/>
  <c r="V35" i="103"/>
  <c r="AC35" i="103"/>
  <c r="AG35" i="103"/>
  <c r="AN35" i="103"/>
  <c r="AR35" i="103"/>
  <c r="AY35" i="103"/>
  <c r="BC35" i="103"/>
  <c r="BG35" i="103"/>
  <c r="Q38" i="103"/>
  <c r="AA38" i="103"/>
  <c r="AE38" i="103"/>
  <c r="AI38" i="103"/>
  <c r="AO38" i="103"/>
  <c r="AS38" i="103"/>
  <c r="AY38" i="103"/>
  <c r="BC38" i="103"/>
  <c r="BG38" i="103"/>
  <c r="R40" i="103"/>
  <c r="R64" i="103" s="1"/>
  <c r="V40" i="103"/>
  <c r="V64" i="103" s="1"/>
  <c r="AC40" i="103"/>
  <c r="AC64" i="103" s="1"/>
  <c r="AG40" i="103"/>
  <c r="AG64" i="103" s="1"/>
  <c r="AN40" i="103"/>
  <c r="AN64" i="103" s="1"/>
  <c r="AR40" i="103"/>
  <c r="AR64" i="103" s="1"/>
  <c r="AY40" i="103"/>
  <c r="AY64" i="103" s="1"/>
  <c r="BD40" i="103"/>
  <c r="BD64" i="103" s="1"/>
  <c r="BD67" i="103"/>
  <c r="AA210" i="103"/>
  <c r="AA198" i="103"/>
  <c r="AA187" i="103"/>
  <c r="AA222" i="103"/>
  <c r="AA168" i="103"/>
  <c r="AA152" i="103"/>
  <c r="AA102" i="103"/>
  <c r="AA76" i="103"/>
  <c r="AE198" i="103"/>
  <c r="AE187" i="103"/>
  <c r="AE222" i="103"/>
  <c r="AE168" i="103"/>
  <c r="AE152" i="103"/>
  <c r="AE76" i="103"/>
  <c r="AI198" i="103"/>
  <c r="AI187" i="103"/>
  <c r="AI210" i="103"/>
  <c r="AI222" i="103"/>
  <c r="AI168" i="103"/>
  <c r="AI76" i="103"/>
  <c r="AP222" i="103"/>
  <c r="AP198" i="103"/>
  <c r="AP187" i="103"/>
  <c r="AP168" i="103"/>
  <c r="AP152" i="103"/>
  <c r="AP76" i="103"/>
  <c r="AT222" i="103"/>
  <c r="AT198" i="103"/>
  <c r="AT187" i="103"/>
  <c r="AT168" i="103"/>
  <c r="AT152" i="103"/>
  <c r="AT76" i="103"/>
  <c r="BA222" i="103"/>
  <c r="BA210" i="103"/>
  <c r="BA198" i="103"/>
  <c r="BA187" i="103"/>
  <c r="BA102" i="103"/>
  <c r="BA168" i="103"/>
  <c r="BA76" i="103"/>
  <c r="BA152" i="103"/>
  <c r="BE222" i="103"/>
  <c r="BE198" i="103"/>
  <c r="BE187" i="103"/>
  <c r="BE168" i="103"/>
  <c r="BE76" i="103"/>
  <c r="BE152" i="103"/>
  <c r="O304" i="103"/>
  <c r="O281" i="103"/>
  <c r="O263" i="103"/>
  <c r="O242" i="103"/>
  <c r="O235" i="103"/>
  <c r="O228" i="103"/>
  <c r="O59" i="103"/>
  <c r="S304" i="103"/>
  <c r="S281" i="103"/>
  <c r="S263" i="103"/>
  <c r="S242" i="103"/>
  <c r="S235" i="103"/>
  <c r="S228" i="103"/>
  <c r="S59" i="103"/>
  <c r="W304" i="103"/>
  <c r="W281" i="103"/>
  <c r="W263" i="103"/>
  <c r="W242" i="103"/>
  <c r="W235" i="103"/>
  <c r="W228" i="103"/>
  <c r="W59" i="103"/>
  <c r="AG59" i="103"/>
  <c r="AM304" i="103"/>
  <c r="AQ304" i="103"/>
  <c r="AQ263" i="103"/>
  <c r="AQ281" i="103"/>
  <c r="AQ242" i="103"/>
  <c r="AQ228" i="103"/>
  <c r="AQ235" i="103"/>
  <c r="AQ59" i="103"/>
  <c r="AU304" i="103"/>
  <c r="AU263" i="103"/>
  <c r="BA304" i="103"/>
  <c r="BA281" i="103"/>
  <c r="BA263" i="103"/>
  <c r="BA242" i="103"/>
  <c r="BA228" i="103"/>
  <c r="BA235" i="103"/>
  <c r="BA59" i="103"/>
  <c r="BE304" i="103"/>
  <c r="BE281" i="103"/>
  <c r="BE263" i="103"/>
  <c r="BE242" i="103"/>
  <c r="BE228" i="103"/>
  <c r="BE235" i="103"/>
  <c r="BE59" i="103"/>
  <c r="T232" i="103"/>
  <c r="T230" i="103"/>
  <c r="T69" i="103"/>
  <c r="AE232" i="103"/>
  <c r="AE230" i="103"/>
  <c r="AE69" i="103"/>
  <c r="AE67" i="103"/>
  <c r="AI232" i="103"/>
  <c r="AI230" i="103"/>
  <c r="AI69" i="103"/>
  <c r="AI67" i="103"/>
  <c r="AP232" i="103"/>
  <c r="AP230" i="103"/>
  <c r="AP69" i="103"/>
  <c r="AT232" i="103"/>
  <c r="AT230" i="103"/>
  <c r="AT69" i="103"/>
  <c r="BA232" i="103"/>
  <c r="BA230" i="103"/>
  <c r="BA69" i="103"/>
  <c r="BA67" i="103"/>
  <c r="BA40" i="103"/>
  <c r="BA64" i="103" s="1"/>
  <c r="BE232" i="103"/>
  <c r="BE230" i="103"/>
  <c r="BE69" i="103"/>
  <c r="BE67" i="103"/>
  <c r="BE40" i="103"/>
  <c r="BE64" i="103" s="1"/>
  <c r="P21" i="103"/>
  <c r="P289" i="103" s="1"/>
  <c r="T21" i="103"/>
  <c r="T289" i="103" s="1"/>
  <c r="AA21" i="103"/>
  <c r="AA289" i="103" s="1"/>
  <c r="AE21" i="103"/>
  <c r="AE289" i="103" s="1"/>
  <c r="AI21" i="103"/>
  <c r="AI289" i="103" s="1"/>
  <c r="AP21" i="103"/>
  <c r="AT21" i="103"/>
  <c r="AT289" i="103" s="1"/>
  <c r="BA21" i="103"/>
  <c r="BA289" i="103" s="1"/>
  <c r="BE21" i="103"/>
  <c r="P22" i="103"/>
  <c r="T22" i="103"/>
  <c r="AA22" i="103"/>
  <c r="AE22" i="103"/>
  <c r="AI22" i="103"/>
  <c r="AP22" i="103"/>
  <c r="AT22" i="103"/>
  <c r="BA22" i="103"/>
  <c r="BE22" i="103"/>
  <c r="M24" i="103"/>
  <c r="V247" i="103"/>
  <c r="V246" i="103"/>
  <c r="V56" i="103" a="1"/>
  <c r="V56" i="103" s="1"/>
  <c r="AF247" i="103"/>
  <c r="AF246" i="103"/>
  <c r="AF244" i="103"/>
  <c r="AF56" i="103" a="1"/>
  <c r="AF56" i="103" s="1"/>
  <c r="AK24" i="103"/>
  <c r="AP247" i="103"/>
  <c r="AP246" i="103"/>
  <c r="AP244" i="103"/>
  <c r="AP56" i="103" a="1"/>
  <c r="AP56" i="103" s="1"/>
  <c r="AT247" i="103"/>
  <c r="AT246" i="103"/>
  <c r="AT244" i="103"/>
  <c r="AT56" i="103" a="1"/>
  <c r="AT56" i="103" s="1"/>
  <c r="AZ247" i="103"/>
  <c r="AZ246" i="103"/>
  <c r="AZ244" i="103"/>
  <c r="AZ56" i="103" a="1"/>
  <c r="AZ56" i="103" s="1"/>
  <c r="BD247" i="103"/>
  <c r="BD246" i="103"/>
  <c r="BD244" i="103"/>
  <c r="BD56" i="103" a="1"/>
  <c r="BD56" i="103" s="1"/>
  <c r="V31" i="103"/>
  <c r="V32" i="103" s="1"/>
  <c r="AF31" i="103"/>
  <c r="AF32" i="103" s="1"/>
  <c r="AP31" i="103"/>
  <c r="AP65" i="103" s="1"/>
  <c r="AT31" i="103"/>
  <c r="AT283" i="103" s="1"/>
  <c r="AZ31" i="103"/>
  <c r="AZ283" i="103" s="1"/>
  <c r="BD31" i="103"/>
  <c r="BD267" i="103" s="1"/>
  <c r="S34" i="103"/>
  <c r="W34" i="103"/>
  <c r="AD34" i="103"/>
  <c r="AH34" i="103"/>
  <c r="AO34" i="103"/>
  <c r="AS34" i="103"/>
  <c r="AZ34" i="103"/>
  <c r="BD34" i="103"/>
  <c r="S35" i="103"/>
  <c r="W35" i="103"/>
  <c r="AD35" i="103"/>
  <c r="AH35" i="103"/>
  <c r="AO35" i="103"/>
  <c r="AS35" i="103"/>
  <c r="AZ35" i="103"/>
  <c r="BD35" i="103"/>
  <c r="R38" i="103"/>
  <c r="V38" i="103"/>
  <c r="AB38" i="103"/>
  <c r="AF38" i="103"/>
  <c r="AP38" i="103"/>
  <c r="AT38" i="103"/>
  <c r="AZ38" i="103"/>
  <c r="O40" i="103"/>
  <c r="S40" i="103"/>
  <c r="S64" i="103" s="1"/>
  <c r="W40" i="103"/>
  <c r="W64" i="103" s="1"/>
  <c r="AD40" i="103"/>
  <c r="AD64" i="103" s="1"/>
  <c r="AH40" i="103"/>
  <c r="AH64" i="103" s="1"/>
  <c r="AO40" i="103"/>
  <c r="AO64" i="103" s="1"/>
  <c r="AS40" i="103"/>
  <c r="AS64" i="103" s="1"/>
  <c r="AZ40" i="103"/>
  <c r="AZ64" i="103" s="1"/>
  <c r="BF40" i="103"/>
  <c r="BF64" i="103" s="1"/>
  <c r="AF59" i="103"/>
  <c r="AP59" i="103"/>
  <c r="AZ59" i="103"/>
  <c r="T67" i="103"/>
  <c r="AD67" i="103"/>
  <c r="AN67" i="103"/>
  <c r="M178" i="103"/>
  <c r="AZ161" i="103"/>
  <c r="AN161" i="103"/>
  <c r="AB161" i="103"/>
  <c r="P161" i="103"/>
  <c r="AW178" i="103"/>
  <c r="BC161" i="103"/>
  <c r="AY161" i="103"/>
  <c r="AQ161" i="103"/>
  <c r="AM161" i="103"/>
  <c r="AE161" i="103"/>
  <c r="AA161" i="103"/>
  <c r="S161" i="103"/>
  <c r="O161" i="103"/>
  <c r="AK178" i="103"/>
  <c r="BF161" i="103"/>
  <c r="BB161" i="103"/>
  <c r="AT161" i="103"/>
  <c r="AP161" i="103"/>
  <c r="AH161" i="103"/>
  <c r="AD161" i="103"/>
  <c r="V161" i="103"/>
  <c r="R161" i="103"/>
  <c r="Y178" i="103"/>
  <c r="BE161" i="103"/>
  <c r="BA161" i="103"/>
  <c r="AS161" i="103"/>
  <c r="AO161" i="103"/>
  <c r="AG161" i="103"/>
  <c r="AC161" i="103"/>
  <c r="U161" i="103"/>
  <c r="Q161" i="103"/>
  <c r="AB222" i="103"/>
  <c r="AB210" i="103"/>
  <c r="AB198" i="103"/>
  <c r="AB187" i="103"/>
  <c r="AB168" i="103"/>
  <c r="AB152" i="103"/>
  <c r="AB102" i="103"/>
  <c r="AB76" i="103"/>
  <c r="AF222" i="103"/>
  <c r="AF198" i="103"/>
  <c r="AF187" i="103"/>
  <c r="AF168" i="103"/>
  <c r="AF152" i="103"/>
  <c r="AF76" i="103"/>
  <c r="AM222" i="103"/>
  <c r="AM198" i="103"/>
  <c r="AM187" i="103"/>
  <c r="AM210" i="103"/>
  <c r="AM168" i="103"/>
  <c r="AM152" i="103"/>
  <c r="AM76" i="103"/>
  <c r="AM102" i="103"/>
  <c r="AQ222" i="103"/>
  <c r="AQ198" i="103"/>
  <c r="AQ187" i="103"/>
  <c r="AQ168" i="103"/>
  <c r="AQ152" i="103"/>
  <c r="AQ76" i="103"/>
  <c r="AU222" i="103"/>
  <c r="AU210" i="103"/>
  <c r="AU198" i="103"/>
  <c r="AU187" i="103"/>
  <c r="AU168" i="103"/>
  <c r="AU76" i="103"/>
  <c r="BB198" i="103"/>
  <c r="BB187" i="103"/>
  <c r="BB222" i="103"/>
  <c r="BB168" i="103"/>
  <c r="BB76" i="103"/>
  <c r="BB152" i="103"/>
  <c r="BF198" i="103"/>
  <c r="BF187" i="103"/>
  <c r="BF222" i="103"/>
  <c r="BF168" i="103"/>
  <c r="BF76" i="103"/>
  <c r="BF152" i="103"/>
  <c r="P304" i="103"/>
  <c r="P281" i="103"/>
  <c r="P263" i="103"/>
  <c r="P235" i="103"/>
  <c r="P228" i="103"/>
  <c r="P242" i="103"/>
  <c r="T304" i="103"/>
  <c r="T281" i="103"/>
  <c r="T263" i="103"/>
  <c r="T235" i="103"/>
  <c r="T228" i="103"/>
  <c r="T242" i="103"/>
  <c r="AD304" i="103"/>
  <c r="AD281" i="103"/>
  <c r="AD263" i="103"/>
  <c r="AD235" i="103"/>
  <c r="AD242" i="103"/>
  <c r="AD228" i="103"/>
  <c r="AH304" i="103"/>
  <c r="AH281" i="103"/>
  <c r="AH263" i="103"/>
  <c r="AH235" i="103"/>
  <c r="AH228" i="103"/>
  <c r="AH242" i="103"/>
  <c r="AR304" i="103"/>
  <c r="BF304" i="103"/>
  <c r="BF263" i="103"/>
  <c r="BF281" i="103"/>
  <c r="BF235" i="103"/>
  <c r="BF242" i="103"/>
  <c r="BF228" i="103"/>
  <c r="U232" i="103"/>
  <c r="U230" i="103"/>
  <c r="U69" i="103"/>
  <c r="U67" i="103"/>
  <c r="AF232" i="103"/>
  <c r="AF230" i="103"/>
  <c r="AF69" i="103"/>
  <c r="AQ232" i="103"/>
  <c r="AQ230" i="103"/>
  <c r="AQ69" i="103"/>
  <c r="AQ67" i="103"/>
  <c r="AU230" i="103"/>
  <c r="AU232" i="103"/>
  <c r="AU69" i="103"/>
  <c r="AU67" i="103"/>
  <c r="BB232" i="103"/>
  <c r="BB230" i="103"/>
  <c r="BB69" i="103"/>
  <c r="BF230" i="103"/>
  <c r="BF232" i="103"/>
  <c r="BF69" i="103"/>
  <c r="Q21" i="103"/>
  <c r="Q289" i="103" s="1"/>
  <c r="U21" i="103"/>
  <c r="AB21" i="103"/>
  <c r="AB289" i="103" s="1"/>
  <c r="AF21" i="103"/>
  <c r="AF289" i="103" s="1"/>
  <c r="AM21" i="103"/>
  <c r="AQ21" i="103"/>
  <c r="AQ289" i="103" s="1"/>
  <c r="AU21" i="103"/>
  <c r="AU289" i="103" s="1"/>
  <c r="BB21" i="103"/>
  <c r="BB289" i="103" s="1"/>
  <c r="BF21" i="103"/>
  <c r="BF289" i="103" s="1"/>
  <c r="Q22" i="103"/>
  <c r="U22" i="103"/>
  <c r="AB22" i="103"/>
  <c r="AF22" i="103"/>
  <c r="AM22" i="103"/>
  <c r="AQ22" i="103"/>
  <c r="AU22" i="103"/>
  <c r="BB22" i="103"/>
  <c r="BF22" i="103"/>
  <c r="W78" i="103"/>
  <c r="W171" i="103" s="1"/>
  <c r="M71" i="103"/>
  <c r="V78" i="103"/>
  <c r="V157" i="103" s="1"/>
  <c r="M73" i="103"/>
  <c r="W247" i="103"/>
  <c r="W246" i="103"/>
  <c r="W56" i="103" a="1"/>
  <c r="W56" i="103" s="1"/>
  <c r="AC247" i="103"/>
  <c r="AC246" i="103"/>
  <c r="AC244" i="103"/>
  <c r="AC56" i="103" a="1"/>
  <c r="AC56" i="103" s="1"/>
  <c r="AG247" i="103"/>
  <c r="AG246" i="103"/>
  <c r="AG244" i="103"/>
  <c r="AG56" i="103" a="1"/>
  <c r="AG56" i="103" s="1"/>
  <c r="AU78" i="103"/>
  <c r="AU171" i="103" s="1"/>
  <c r="AT78" i="103"/>
  <c r="AT157" i="103" s="1"/>
  <c r="AK73" i="103"/>
  <c r="AU218" i="103" s="1"/>
  <c r="AK71" i="103"/>
  <c r="AQ247" i="103"/>
  <c r="AQ246" i="103"/>
  <c r="AQ244" i="103"/>
  <c r="AQ56" i="103" a="1"/>
  <c r="AQ56" i="103" s="1"/>
  <c r="AU247" i="103"/>
  <c r="AU246" i="103"/>
  <c r="AU244" i="103"/>
  <c r="AU56" i="103" a="1"/>
  <c r="AU56" i="103" s="1"/>
  <c r="BA247" i="103"/>
  <c r="BA246" i="103"/>
  <c r="BA244" i="103"/>
  <c r="BA56" i="103" a="1"/>
  <c r="BA56" i="103" s="1"/>
  <c r="BE247" i="103"/>
  <c r="BE246" i="103"/>
  <c r="BE244" i="103"/>
  <c r="BE56" i="103" a="1"/>
  <c r="BE56" i="103" s="1"/>
  <c r="BB29" i="103"/>
  <c r="W31" i="103"/>
  <c r="AC31" i="103"/>
  <c r="AG31" i="103"/>
  <c r="AQ31" i="103"/>
  <c r="AU31" i="103"/>
  <c r="BA31" i="103"/>
  <c r="BA32" i="103" s="1"/>
  <c r="BE31" i="103"/>
  <c r="BE32" i="103" s="1"/>
  <c r="T34" i="103"/>
  <c r="AE34" i="103"/>
  <c r="AI34" i="103"/>
  <c r="AP34" i="103"/>
  <c r="AT34" i="103"/>
  <c r="BA34" i="103"/>
  <c r="BE34" i="103"/>
  <c r="T35" i="103"/>
  <c r="AE35" i="103"/>
  <c r="AI35" i="103"/>
  <c r="AP35" i="103"/>
  <c r="AT35" i="103"/>
  <c r="BA35" i="103"/>
  <c r="BE35" i="103"/>
  <c r="O38" i="103"/>
  <c r="S38" i="103"/>
  <c r="W38" i="103"/>
  <c r="AQ38" i="103"/>
  <c r="AU38" i="103"/>
  <c r="BA38" i="103"/>
  <c r="BE38" i="103"/>
  <c r="P40" i="103"/>
  <c r="P64" i="103" s="1"/>
  <c r="T40" i="103"/>
  <c r="T64" i="103" s="1"/>
  <c r="AA40" i="103"/>
  <c r="AE40" i="103"/>
  <c r="AE64" i="103" s="1"/>
  <c r="AI40" i="103"/>
  <c r="AI64" i="103" s="1"/>
  <c r="AP40" i="103"/>
  <c r="AP64" i="103" s="1"/>
  <c r="AT40" i="103"/>
  <c r="AT64" i="103" s="1"/>
  <c r="BB40" i="103"/>
  <c r="BB64" i="103" s="1"/>
  <c r="BG40" i="103"/>
  <c r="BG64" i="103" s="1"/>
  <c r="P59" i="103"/>
  <c r="AH59" i="103"/>
  <c r="V67" i="103"/>
  <c r="AF67" i="103"/>
  <c r="AP67" i="103"/>
  <c r="AZ67" i="103"/>
  <c r="E308" i="103"/>
  <c r="E246" i="103"/>
  <c r="E312" i="103"/>
  <c r="E250" i="103"/>
  <c r="P118" i="103"/>
  <c r="AC118" i="103"/>
  <c r="AY118" i="103"/>
  <c r="Q137" i="103"/>
  <c r="AM137" i="103"/>
  <c r="E309" i="103"/>
  <c r="E247" i="103"/>
  <c r="E313" i="103"/>
  <c r="E251" i="103"/>
  <c r="Q118" i="103"/>
  <c r="AM118" i="103"/>
  <c r="AZ118" i="103"/>
  <c r="AC134" i="103"/>
  <c r="AO134" i="103"/>
  <c r="BA134" i="103"/>
  <c r="AA137" i="103"/>
  <c r="E306" i="103"/>
  <c r="E244" i="103"/>
  <c r="E310" i="103"/>
  <c r="E248" i="103"/>
  <c r="AA118" i="103"/>
  <c r="AN118" i="103"/>
  <c r="BA118" i="103"/>
  <c r="O137" i="103"/>
  <c r="E307" i="103"/>
  <c r="E245" i="103"/>
  <c r="E311" i="103"/>
  <c r="E249" i="103"/>
  <c r="O118" i="103"/>
  <c r="AB118" i="103"/>
  <c r="AO118" i="103"/>
  <c r="AY134" i="103"/>
  <c r="L39" i="24"/>
  <c r="L40" i="24" s="1"/>
  <c r="M39" i="24"/>
  <c r="M40" i="24" s="1"/>
  <c r="N39" i="24"/>
  <c r="N40" i="24" s="1"/>
  <c r="O39" i="24"/>
  <c r="O40" i="24" s="1"/>
  <c r="P39" i="24"/>
  <c r="P40" i="24" s="1"/>
  <c r="Q39" i="24"/>
  <c r="Q40" i="24" s="1"/>
  <c r="L41" i="24"/>
  <c r="M41" i="24"/>
  <c r="N41" i="24"/>
  <c r="O41" i="24"/>
  <c r="P41" i="24"/>
  <c r="Q41" i="24"/>
  <c r="L42" i="24"/>
  <c r="M42" i="24"/>
  <c r="N42" i="24"/>
  <c r="O42" i="24"/>
  <c r="P42" i="24"/>
  <c r="Q42" i="24"/>
  <c r="L43" i="24"/>
  <c r="M43" i="24"/>
  <c r="N43" i="24"/>
  <c r="O43" i="24"/>
  <c r="P43" i="24"/>
  <c r="Q43" i="24"/>
  <c r="AG269" i="105" l="1"/>
  <c r="AG272" i="105"/>
  <c r="AG274" i="105"/>
  <c r="AP38" i="107"/>
  <c r="AH228" i="107"/>
  <c r="AF242" i="107"/>
  <c r="AH38" i="107"/>
  <c r="AF235" i="107"/>
  <c r="AH242" i="107"/>
  <c r="AH281" i="107"/>
  <c r="AF38" i="107"/>
  <c r="AF281" i="107"/>
  <c r="AH242" i="106"/>
  <c r="BD242" i="106"/>
  <c r="AD304" i="106"/>
  <c r="BD263" i="106"/>
  <c r="AD281" i="106"/>
  <c r="BD281" i="106"/>
  <c r="BD304" i="106"/>
  <c r="AH263" i="106"/>
  <c r="AH235" i="106"/>
  <c r="AH59" i="106"/>
  <c r="AH38" i="106"/>
  <c r="AH281" i="106"/>
  <c r="AD59" i="106"/>
  <c r="AD38" i="106"/>
  <c r="AD242" i="106"/>
  <c r="W242" i="106"/>
  <c r="AD235" i="106"/>
  <c r="BG38" i="106"/>
  <c r="W281" i="106"/>
  <c r="AD263" i="106"/>
  <c r="AO263" i="105"/>
  <c r="AU235" i="105"/>
  <c r="AB263" i="105"/>
  <c r="AB281" i="105"/>
  <c r="AD59" i="105"/>
  <c r="AM263" i="105"/>
  <c r="AH242" i="105"/>
  <c r="AH263" i="105"/>
  <c r="AN228" i="104"/>
  <c r="AR242" i="103"/>
  <c r="AG235" i="103"/>
  <c r="AR228" i="103"/>
  <c r="AG304" i="103"/>
  <c r="AR59" i="103"/>
  <c r="AR235" i="103"/>
  <c r="AC263" i="103"/>
  <c r="AR263" i="103"/>
  <c r="AR281" i="103"/>
  <c r="AU59" i="103"/>
  <c r="BF265" i="106"/>
  <c r="P202" i="104"/>
  <c r="P203" i="104" s="1"/>
  <c r="AC281" i="103"/>
  <c r="BG235" i="104"/>
  <c r="AF38" i="104"/>
  <c r="AN235" i="104"/>
  <c r="AH235" i="105"/>
  <c r="BG59" i="106"/>
  <c r="AT235" i="107"/>
  <c r="AF59" i="104"/>
  <c r="AF228" i="104"/>
  <c r="AU228" i="103"/>
  <c r="AG228" i="103"/>
  <c r="BD263" i="103"/>
  <c r="U281" i="103"/>
  <c r="BG228" i="104"/>
  <c r="BG38" i="104"/>
  <c r="AF235" i="104"/>
  <c r="AN281" i="104"/>
  <c r="AD38" i="105"/>
  <c r="AH281" i="105"/>
  <c r="BF268" i="106"/>
  <c r="BG235" i="106"/>
  <c r="AP281" i="107"/>
  <c r="AG38" i="103"/>
  <c r="AU235" i="103"/>
  <c r="AG242" i="103"/>
  <c r="BD281" i="103"/>
  <c r="BG263" i="104"/>
  <c r="AF242" i="104"/>
  <c r="AN304" i="104"/>
  <c r="AH59" i="105"/>
  <c r="AD228" i="105"/>
  <c r="BF276" i="106"/>
  <c r="BG228" i="106"/>
  <c r="AO263" i="106"/>
  <c r="AP59" i="107"/>
  <c r="AP304" i="107"/>
  <c r="BG242" i="104"/>
  <c r="AN263" i="104"/>
  <c r="AU242" i="103"/>
  <c r="AG263" i="103"/>
  <c r="BG281" i="104"/>
  <c r="AF263" i="104"/>
  <c r="AN59" i="104"/>
  <c r="AD242" i="105"/>
  <c r="BG281" i="106"/>
  <c r="AO281" i="106"/>
  <c r="U242" i="103"/>
  <c r="BG304" i="104"/>
  <c r="AF281" i="104"/>
  <c r="AN38" i="104"/>
  <c r="AD263" i="105"/>
  <c r="S263" i="106"/>
  <c r="AG242" i="107"/>
  <c r="AI263" i="105"/>
  <c r="AD281" i="105"/>
  <c r="S281" i="106"/>
  <c r="BF272" i="106"/>
  <c r="BF283" i="106"/>
  <c r="BF301" i="106" s="1"/>
  <c r="BF65" i="106"/>
  <c r="AZ135" i="105"/>
  <c r="AN135" i="107"/>
  <c r="AI274" i="107"/>
  <c r="AI271" i="107"/>
  <c r="AI278" i="107"/>
  <c r="AI32" i="107"/>
  <c r="U281" i="104"/>
  <c r="U304" i="104"/>
  <c r="O54" i="105"/>
  <c r="AA235" i="105"/>
  <c r="AA242" i="105"/>
  <c r="AA228" i="105"/>
  <c r="AA38" i="105"/>
  <c r="AA263" i="105"/>
  <c r="AA281" i="105"/>
  <c r="AA304" i="105"/>
  <c r="BD65" i="106"/>
  <c r="AT276" i="106"/>
  <c r="AN135" i="105"/>
  <c r="P51" i="106"/>
  <c r="P64" i="106"/>
  <c r="R51" i="106"/>
  <c r="R64" i="106"/>
  <c r="AT268" i="106"/>
  <c r="AT68" i="106"/>
  <c r="BD272" i="106"/>
  <c r="AE26" i="106"/>
  <c r="BF267" i="106"/>
  <c r="BE27" i="106"/>
  <c r="BF274" i="106"/>
  <c r="BF271" i="106"/>
  <c r="BF278" i="106"/>
  <c r="AP66" i="106"/>
  <c r="AN27" i="106"/>
  <c r="AN26" i="106"/>
  <c r="AP26" i="106"/>
  <c r="AP27" i="106"/>
  <c r="AG265" i="105"/>
  <c r="AI268" i="107"/>
  <c r="AT66" i="106"/>
  <c r="AI269" i="107"/>
  <c r="AI291" i="107"/>
  <c r="AI270" i="107"/>
  <c r="AB135" i="103"/>
  <c r="AT26" i="106"/>
  <c r="AI65" i="107"/>
  <c r="AI283" i="107"/>
  <c r="AI292" i="107" s="1"/>
  <c r="AT27" i="106"/>
  <c r="AI267" i="107"/>
  <c r="U38" i="107"/>
  <c r="O235" i="105"/>
  <c r="U235" i="107"/>
  <c r="W29" i="106"/>
  <c r="W190" i="106" s="1"/>
  <c r="BB276" i="106"/>
  <c r="BB268" i="106"/>
  <c r="AY66" i="106"/>
  <c r="AY26" i="106"/>
  <c r="BB269" i="106"/>
  <c r="AY27" i="106"/>
  <c r="BB271" i="106"/>
  <c r="BB265" i="106"/>
  <c r="BB278" i="106"/>
  <c r="BB270" i="106"/>
  <c r="BB291" i="106"/>
  <c r="BB32" i="106"/>
  <c r="BB267" i="106"/>
  <c r="BB272" i="106"/>
  <c r="BB65" i="106"/>
  <c r="BB274" i="106"/>
  <c r="BE304" i="104"/>
  <c r="BE228" i="104"/>
  <c r="BD272" i="104"/>
  <c r="BE235" i="104"/>
  <c r="BD278" i="104"/>
  <c r="BE38" i="104"/>
  <c r="BE242" i="104"/>
  <c r="BE263" i="104"/>
  <c r="V59" i="103"/>
  <c r="AM38" i="103"/>
  <c r="AM59" i="103"/>
  <c r="AM228" i="103"/>
  <c r="V242" i="103"/>
  <c r="AM235" i="103"/>
  <c r="V235" i="103"/>
  <c r="AM242" i="103"/>
  <c r="V228" i="103"/>
  <c r="AM281" i="103"/>
  <c r="V263" i="103"/>
  <c r="AI265" i="107"/>
  <c r="AI272" i="107"/>
  <c r="BE235" i="107"/>
  <c r="AQ281" i="107"/>
  <c r="AF228" i="107"/>
  <c r="AG281" i="107"/>
  <c r="AB59" i="107"/>
  <c r="AP242" i="107"/>
  <c r="AF304" i="107"/>
  <c r="AP235" i="107"/>
  <c r="AF263" i="107"/>
  <c r="AB304" i="107"/>
  <c r="BF269" i="106"/>
  <c r="BF291" i="106"/>
  <c r="S29" i="106"/>
  <c r="S14" i="106" s="1"/>
  <c r="P29" i="106"/>
  <c r="AN66" i="106"/>
  <c r="BG304" i="106"/>
  <c r="W228" i="106"/>
  <c r="BF270" i="106"/>
  <c r="BE26" i="106"/>
  <c r="S38" i="106"/>
  <c r="W235" i="106"/>
  <c r="AB304" i="106"/>
  <c r="AO304" i="106"/>
  <c r="AO59" i="106"/>
  <c r="S59" i="106"/>
  <c r="AO38" i="106"/>
  <c r="W263" i="106"/>
  <c r="S228" i="106"/>
  <c r="AO228" i="106"/>
  <c r="W304" i="106"/>
  <c r="AC66" i="106"/>
  <c r="BG242" i="106"/>
  <c r="S235" i="106"/>
  <c r="AO235" i="106"/>
  <c r="BE66" i="106"/>
  <c r="W38" i="106"/>
  <c r="AC26" i="106"/>
  <c r="AC27" i="106"/>
  <c r="BC263" i="105"/>
  <c r="AF228" i="105"/>
  <c r="BC59" i="105"/>
  <c r="BC242" i="105"/>
  <c r="BC304" i="105"/>
  <c r="AS59" i="105"/>
  <c r="AH304" i="105"/>
  <c r="BC235" i="105"/>
  <c r="AH228" i="105"/>
  <c r="AT38" i="105"/>
  <c r="BC228" i="105"/>
  <c r="AU59" i="105"/>
  <c r="AG29" i="105"/>
  <c r="BF162" i="104"/>
  <c r="BF12" i="104" s="1"/>
  <c r="AC304" i="103"/>
  <c r="BD304" i="103"/>
  <c r="U263" i="103"/>
  <c r="AC38" i="103"/>
  <c r="U304" i="103"/>
  <c r="AN228" i="103"/>
  <c r="AC59" i="103"/>
  <c r="BB304" i="103"/>
  <c r="AN235" i="103"/>
  <c r="AC235" i="103"/>
  <c r="BD242" i="103"/>
  <c r="U59" i="103"/>
  <c r="BD38" i="103"/>
  <c r="AC228" i="103"/>
  <c r="BD228" i="103"/>
  <c r="U228" i="103"/>
  <c r="U38" i="103"/>
  <c r="BD235" i="103"/>
  <c r="AF38" i="105"/>
  <c r="AF242" i="105"/>
  <c r="AB235" i="105"/>
  <c r="AO235" i="105"/>
  <c r="AI242" i="105"/>
  <c r="AU38" i="105"/>
  <c r="AI281" i="105"/>
  <c r="AF263" i="105"/>
  <c r="AB304" i="105"/>
  <c r="AO281" i="105"/>
  <c r="AI304" i="105"/>
  <c r="AU228" i="105"/>
  <c r="AF281" i="105"/>
  <c r="AO304" i="105"/>
  <c r="AU242" i="105"/>
  <c r="AF304" i="105"/>
  <c r="AI59" i="105"/>
  <c r="AU263" i="105"/>
  <c r="AB228" i="105"/>
  <c r="AO59" i="105"/>
  <c r="AI235" i="105"/>
  <c r="AB38" i="105"/>
  <c r="AU281" i="105"/>
  <c r="AF235" i="105"/>
  <c r="AB242" i="105"/>
  <c r="AO228" i="105"/>
  <c r="AI228" i="105"/>
  <c r="AE228" i="107"/>
  <c r="AB38" i="106"/>
  <c r="AB281" i="106"/>
  <c r="AI29" i="103"/>
  <c r="AI190" i="103" s="1"/>
  <c r="AB228" i="106"/>
  <c r="AB235" i="106"/>
  <c r="AB263" i="106"/>
  <c r="AB242" i="106"/>
  <c r="AB202" i="106"/>
  <c r="AB203" i="106" s="1"/>
  <c r="AE269" i="107"/>
  <c r="AD267" i="106"/>
  <c r="AD272" i="106"/>
  <c r="AY54" i="105"/>
  <c r="AY290" i="105"/>
  <c r="AU54" i="105"/>
  <c r="AU290" i="105"/>
  <c r="BA53" i="105"/>
  <c r="BA290" i="105"/>
  <c r="AT290" i="105"/>
  <c r="AE54" i="105"/>
  <c r="AE290" i="105"/>
  <c r="AR62" i="105"/>
  <c r="AR290" i="105"/>
  <c r="AM54" i="105"/>
  <c r="AM290" i="105"/>
  <c r="AC54" i="105"/>
  <c r="AC290" i="105"/>
  <c r="BE290" i="105"/>
  <c r="AI54" i="105"/>
  <c r="AI290" i="105"/>
  <c r="BC54" i="105"/>
  <c r="BC290" i="105"/>
  <c r="U54" i="105"/>
  <c r="U290" i="105"/>
  <c r="BB53" i="105"/>
  <c r="BB290" i="105"/>
  <c r="AZ290" i="105"/>
  <c r="AN53" i="105"/>
  <c r="AN56" i="105" s="1" a="1"/>
  <c r="AN56" i="105" s="1"/>
  <c r="AN290" i="105"/>
  <c r="BD290" i="105"/>
  <c r="AQ54" i="105"/>
  <c r="AQ290" i="105"/>
  <c r="AO54" i="105"/>
  <c r="AO290" i="105"/>
  <c r="AS54" i="105"/>
  <c r="AS290" i="105"/>
  <c r="AF62" i="105"/>
  <c r="AF290" i="105"/>
  <c r="AD62" i="105"/>
  <c r="AD290" i="105"/>
  <c r="BG62" i="105"/>
  <c r="BG290" i="105"/>
  <c r="AH62" i="105"/>
  <c r="AH290" i="105"/>
  <c r="AP53" i="105"/>
  <c r="AP290" i="105"/>
  <c r="W54" i="105"/>
  <c r="W290" i="105"/>
  <c r="V62" i="105"/>
  <c r="V290" i="105"/>
  <c r="AG53" i="105"/>
  <c r="AG290" i="105"/>
  <c r="BF290" i="105"/>
  <c r="T62" i="105"/>
  <c r="T290" i="105"/>
  <c r="AZ53" i="104"/>
  <c r="AZ290" i="104"/>
  <c r="BF53" i="104"/>
  <c r="BF290" i="104"/>
  <c r="AS53" i="104"/>
  <c r="AS290" i="104"/>
  <c r="AY54" i="104"/>
  <c r="AY290" i="104"/>
  <c r="AE53" i="104"/>
  <c r="AE290" i="104"/>
  <c r="BC62" i="104"/>
  <c r="BC290" i="104"/>
  <c r="BB290" i="104"/>
  <c r="T53" i="104"/>
  <c r="T290" i="104"/>
  <c r="AO54" i="104"/>
  <c r="AO290" i="104"/>
  <c r="AR62" i="104"/>
  <c r="AR290" i="104"/>
  <c r="AH62" i="104"/>
  <c r="AH290" i="104"/>
  <c r="AN54" i="104"/>
  <c r="AN290" i="104"/>
  <c r="AQ62" i="104"/>
  <c r="AQ290" i="104"/>
  <c r="BA53" i="104"/>
  <c r="BA290" i="104"/>
  <c r="AD290" i="104"/>
  <c r="AG290" i="104"/>
  <c r="U62" i="104"/>
  <c r="U290" i="104"/>
  <c r="AU290" i="104"/>
  <c r="BE290" i="104"/>
  <c r="AM53" i="104"/>
  <c r="AM56" i="104" s="1" a="1"/>
  <c r="AM56" i="104" s="1"/>
  <c r="AM290" i="104"/>
  <c r="AT54" i="104"/>
  <c r="AT290" i="104"/>
  <c r="W53" i="104"/>
  <c r="W290" i="104"/>
  <c r="AC290" i="104"/>
  <c r="AF62" i="104"/>
  <c r="AF290" i="104"/>
  <c r="AP62" i="104"/>
  <c r="AP290" i="104"/>
  <c r="V54" i="104"/>
  <c r="V290" i="104"/>
  <c r="AI53" i="104"/>
  <c r="AI290" i="104"/>
  <c r="BD62" i="104"/>
  <c r="BD290" i="104"/>
  <c r="BG62" i="104"/>
  <c r="BG290" i="104"/>
  <c r="BG62" i="103"/>
  <c r="BG290" i="103"/>
  <c r="AN263" i="103"/>
  <c r="W62" i="103"/>
  <c r="W290" i="103"/>
  <c r="AG53" i="103"/>
  <c r="AG290" i="103"/>
  <c r="AF53" i="103"/>
  <c r="AF290" i="103"/>
  <c r="AD62" i="103"/>
  <c r="AD290" i="103"/>
  <c r="BB242" i="103"/>
  <c r="AN281" i="103"/>
  <c r="BA54" i="103"/>
  <c r="BA290" i="103"/>
  <c r="AC53" i="103"/>
  <c r="AC290" i="103"/>
  <c r="AN53" i="103"/>
  <c r="AN290" i="103"/>
  <c r="BB62" i="103"/>
  <c r="BB290" i="103"/>
  <c r="AT62" i="103"/>
  <c r="AT290" i="103"/>
  <c r="V53" i="103"/>
  <c r="V290" i="103"/>
  <c r="U54" i="103"/>
  <c r="U290" i="103"/>
  <c r="BB235" i="103"/>
  <c r="T54" i="103"/>
  <c r="T290" i="103"/>
  <c r="AM53" i="103"/>
  <c r="AM290" i="103"/>
  <c r="BB228" i="103"/>
  <c r="AN304" i="103"/>
  <c r="BF62" i="103"/>
  <c r="BF290" i="103"/>
  <c r="AP53" i="103"/>
  <c r="AP290" i="103"/>
  <c r="AZ62" i="103"/>
  <c r="AZ290" i="103"/>
  <c r="BB59" i="103"/>
  <c r="AI62" i="103"/>
  <c r="AI290" i="103"/>
  <c r="BB281" i="103"/>
  <c r="AS290" i="103"/>
  <c r="BE53" i="103"/>
  <c r="BE290" i="103"/>
  <c r="BD62" i="103"/>
  <c r="BD290" i="103"/>
  <c r="BC290" i="103"/>
  <c r="AE62" i="103"/>
  <c r="AE290" i="103"/>
  <c r="BB263" i="103"/>
  <c r="AN242" i="103"/>
  <c r="AO62" i="103"/>
  <c r="AO290" i="103"/>
  <c r="AY62" i="103"/>
  <c r="AY290" i="103"/>
  <c r="AU62" i="103"/>
  <c r="AU290" i="103"/>
  <c r="AN38" i="103"/>
  <c r="AH62" i="103"/>
  <c r="AH290" i="103"/>
  <c r="AR53" i="103"/>
  <c r="AR290" i="103"/>
  <c r="AQ62" i="103"/>
  <c r="AQ290" i="103"/>
  <c r="BC59" i="107"/>
  <c r="BC228" i="107"/>
  <c r="AE32" i="107"/>
  <c r="AE274" i="107"/>
  <c r="BC263" i="107"/>
  <c r="AE278" i="107"/>
  <c r="AE268" i="107"/>
  <c r="AS38" i="107"/>
  <c r="BC304" i="107"/>
  <c r="AS59" i="107"/>
  <c r="AS235" i="107"/>
  <c r="AD268" i="106"/>
  <c r="AD291" i="106"/>
  <c r="AD65" i="106"/>
  <c r="AO29" i="106"/>
  <c r="AD270" i="106"/>
  <c r="AZ235" i="106"/>
  <c r="AD283" i="106"/>
  <c r="AD292" i="106" s="1"/>
  <c r="AF269" i="106"/>
  <c r="AD269" i="106"/>
  <c r="AF278" i="106"/>
  <c r="AD274" i="106"/>
  <c r="AD265" i="106"/>
  <c r="AD271" i="106"/>
  <c r="BA281" i="106"/>
  <c r="AD276" i="106"/>
  <c r="AD278" i="106"/>
  <c r="BD62" i="106"/>
  <c r="BD290" i="106"/>
  <c r="AZ242" i="106"/>
  <c r="AF53" i="106"/>
  <c r="AF290" i="106"/>
  <c r="AF265" i="106"/>
  <c r="AS29" i="106"/>
  <c r="AS14" i="106" s="1"/>
  <c r="V53" i="106"/>
  <c r="V290" i="106"/>
  <c r="BE290" i="106"/>
  <c r="AT62" i="106"/>
  <c r="AT290" i="106"/>
  <c r="BA304" i="106"/>
  <c r="AM5" i="106"/>
  <c r="AZ62" i="106"/>
  <c r="AZ290" i="106"/>
  <c r="AZ263" i="106"/>
  <c r="AF271" i="106"/>
  <c r="AP29" i="106"/>
  <c r="AG53" i="106"/>
  <c r="AG290" i="106"/>
  <c r="AC53" i="106"/>
  <c r="AC290" i="106"/>
  <c r="BA54" i="106"/>
  <c r="BA290" i="106"/>
  <c r="T290" i="106"/>
  <c r="BA38" i="106"/>
  <c r="AM4" i="106"/>
  <c r="AM8" i="106"/>
  <c r="AM3" i="106"/>
  <c r="AS54" i="106"/>
  <c r="AS290" i="106"/>
  <c r="AZ38" i="106"/>
  <c r="AZ281" i="106"/>
  <c r="U62" i="106"/>
  <c r="U290" i="106"/>
  <c r="AF274" i="106"/>
  <c r="AT29" i="106"/>
  <c r="AT14" i="106" s="1"/>
  <c r="AN54" i="106"/>
  <c r="AN290" i="106"/>
  <c r="BA59" i="106"/>
  <c r="AM54" i="106"/>
  <c r="AM290" i="106"/>
  <c r="AF65" i="106"/>
  <c r="AO54" i="106"/>
  <c r="AO290" i="106"/>
  <c r="AZ304" i="106"/>
  <c r="BF62" i="106"/>
  <c r="BF290" i="106"/>
  <c r="AF291" i="106"/>
  <c r="AM29" i="106"/>
  <c r="BG62" i="106"/>
  <c r="BG290" i="106"/>
  <c r="BC62" i="106"/>
  <c r="BC290" i="106"/>
  <c r="AY54" i="106"/>
  <c r="AY290" i="106"/>
  <c r="AR290" i="106"/>
  <c r="AQ29" i="106"/>
  <c r="AQ14" i="106" s="1"/>
  <c r="BA235" i="106"/>
  <c r="AH54" i="106"/>
  <c r="AH290" i="106"/>
  <c r="BB54" i="106"/>
  <c r="BB290" i="106"/>
  <c r="AF267" i="106"/>
  <c r="AF270" i="106"/>
  <c r="AF32" i="106"/>
  <c r="AP54" i="106"/>
  <c r="AP290" i="106"/>
  <c r="BA228" i="106"/>
  <c r="AD53" i="106"/>
  <c r="AD290" i="106"/>
  <c r="AU290" i="106"/>
  <c r="AF268" i="106"/>
  <c r="AF276" i="106"/>
  <c r="AN29" i="106"/>
  <c r="AN189" i="106" s="1"/>
  <c r="AN14" i="106" s="1"/>
  <c r="AI62" i="106"/>
  <c r="AI290" i="106"/>
  <c r="BA242" i="106"/>
  <c r="W62" i="106"/>
  <c r="W290" i="106"/>
  <c r="AZ228" i="106"/>
  <c r="AQ290" i="106"/>
  <c r="AF272" i="106"/>
  <c r="AR29" i="106"/>
  <c r="AE54" i="106"/>
  <c r="AE290" i="106"/>
  <c r="AG53" i="107"/>
  <c r="AG290" i="107"/>
  <c r="AM53" i="107"/>
  <c r="AM290" i="107"/>
  <c r="AI62" i="107"/>
  <c r="AI290" i="107"/>
  <c r="BD290" i="107"/>
  <c r="AC53" i="107"/>
  <c r="AC290" i="107"/>
  <c r="AF62" i="107"/>
  <c r="AF290" i="107"/>
  <c r="AS228" i="107"/>
  <c r="AE62" i="107"/>
  <c r="AE290" i="107"/>
  <c r="AZ290" i="107"/>
  <c r="V290" i="107"/>
  <c r="AP54" i="107"/>
  <c r="AP290" i="107"/>
  <c r="AS62" i="107"/>
  <c r="AS290" i="107"/>
  <c r="BG54" i="107"/>
  <c r="BG290" i="107"/>
  <c r="U62" i="107"/>
  <c r="U290" i="107"/>
  <c r="BF162" i="107"/>
  <c r="BF12" i="107" s="1"/>
  <c r="AO62" i="107"/>
  <c r="AO290" i="107"/>
  <c r="BC54" i="107"/>
  <c r="BC290" i="107"/>
  <c r="BF54" i="107"/>
  <c r="BF290" i="107"/>
  <c r="T62" i="107"/>
  <c r="T290" i="107"/>
  <c r="BE62" i="107"/>
  <c r="BE290" i="107"/>
  <c r="AH290" i="107"/>
  <c r="AY53" i="107"/>
  <c r="AY56" i="107" s="1" a="1"/>
  <c r="AY56" i="107" s="1"/>
  <c r="AY290" i="107"/>
  <c r="BB53" i="107"/>
  <c r="BB290" i="107"/>
  <c r="AD290" i="107"/>
  <c r="AR62" i="107"/>
  <c r="AR290" i="107"/>
  <c r="AU53" i="107"/>
  <c r="AU290" i="107"/>
  <c r="BA53" i="107"/>
  <c r="BA290" i="107"/>
  <c r="AT54" i="107"/>
  <c r="AT290" i="107"/>
  <c r="W62" i="107"/>
  <c r="W290" i="107"/>
  <c r="AN62" i="107"/>
  <c r="AN290" i="107"/>
  <c r="AQ62" i="107"/>
  <c r="AQ290" i="107"/>
  <c r="AQ63" i="107"/>
  <c r="AQ289" i="107"/>
  <c r="AI63" i="107"/>
  <c r="AI289" i="107"/>
  <c r="AR63" i="107"/>
  <c r="AR289" i="107"/>
  <c r="AN63" i="107"/>
  <c r="AN289" i="107"/>
  <c r="AE63" i="107"/>
  <c r="AE289" i="107"/>
  <c r="W63" i="107"/>
  <c r="W289" i="107"/>
  <c r="AF63" i="107"/>
  <c r="AF289" i="107"/>
  <c r="BD281" i="107"/>
  <c r="V63" i="107"/>
  <c r="V289" i="107"/>
  <c r="T63" i="107"/>
  <c r="T289" i="107"/>
  <c r="BD63" i="107"/>
  <c r="BD289" i="107"/>
  <c r="BD304" i="107"/>
  <c r="U63" i="107"/>
  <c r="U289" i="107"/>
  <c r="BD38" i="107"/>
  <c r="BE63" i="107"/>
  <c r="BE289" i="107"/>
  <c r="AH63" i="107"/>
  <c r="AH289" i="107"/>
  <c r="BF63" i="107"/>
  <c r="BF289" i="107"/>
  <c r="BA63" i="107"/>
  <c r="BA289" i="107"/>
  <c r="W63" i="106"/>
  <c r="W289" i="106"/>
  <c r="U63" i="106"/>
  <c r="U289" i="106"/>
  <c r="AR63" i="106"/>
  <c r="AR289" i="106"/>
  <c r="AE63" i="106"/>
  <c r="AE289" i="106"/>
  <c r="BF63" i="106"/>
  <c r="BF289" i="106"/>
  <c r="AG63" i="106"/>
  <c r="AG289" i="106"/>
  <c r="T63" i="106"/>
  <c r="T289" i="106"/>
  <c r="BA63" i="106"/>
  <c r="BA289" i="106"/>
  <c r="BG63" i="106"/>
  <c r="BG289" i="106"/>
  <c r="BB63" i="106"/>
  <c r="BB289" i="106"/>
  <c r="AE27" i="106"/>
  <c r="AU63" i="106"/>
  <c r="AU289" i="106"/>
  <c r="AS63" i="106"/>
  <c r="AS289" i="106"/>
  <c r="AM63" i="106"/>
  <c r="AM289" i="106"/>
  <c r="AF63" i="106"/>
  <c r="AF289" i="106"/>
  <c r="AA63" i="106"/>
  <c r="AA289" i="106"/>
  <c r="AD63" i="106"/>
  <c r="AD289" i="106"/>
  <c r="AI63" i="106"/>
  <c r="AI289" i="106"/>
  <c r="AM63" i="105"/>
  <c r="AM289" i="105"/>
  <c r="AN63" i="105"/>
  <c r="AN289" i="105"/>
  <c r="AF63" i="105"/>
  <c r="AF289" i="105"/>
  <c r="BA63" i="105"/>
  <c r="BA289" i="105"/>
  <c r="AO63" i="105"/>
  <c r="AO289" i="105"/>
  <c r="AG63" i="105"/>
  <c r="AG289" i="105"/>
  <c r="AT63" i="105"/>
  <c r="AT289" i="105"/>
  <c r="AP63" i="105"/>
  <c r="AP289" i="105"/>
  <c r="AD63" i="105"/>
  <c r="AD289" i="105"/>
  <c r="BF63" i="105"/>
  <c r="BF289" i="105"/>
  <c r="BG63" i="105"/>
  <c r="BG289" i="105"/>
  <c r="BB63" i="105"/>
  <c r="BB289" i="105"/>
  <c r="S63" i="105"/>
  <c r="S289" i="105"/>
  <c r="BC63" i="105"/>
  <c r="BC289" i="105"/>
  <c r="AU63" i="105"/>
  <c r="AU289" i="105"/>
  <c r="BD63" i="105"/>
  <c r="BD289" i="105"/>
  <c r="O63" i="105"/>
  <c r="O289" i="105"/>
  <c r="AY63" i="105"/>
  <c r="AY289" i="105"/>
  <c r="T63" i="105"/>
  <c r="T289" i="105"/>
  <c r="U63" i="104"/>
  <c r="U289" i="104"/>
  <c r="T63" i="104"/>
  <c r="T289" i="104"/>
  <c r="BD63" i="104"/>
  <c r="BD289" i="104"/>
  <c r="BD267" i="104"/>
  <c r="BE63" i="104"/>
  <c r="BE289" i="104"/>
  <c r="BD271" i="104"/>
  <c r="BD32" i="104"/>
  <c r="AS63" i="104"/>
  <c r="AS289" i="104"/>
  <c r="BD283" i="104"/>
  <c r="BD301" i="104" s="1"/>
  <c r="S63" i="104"/>
  <c r="S289" i="104"/>
  <c r="V63" i="104"/>
  <c r="V289" i="104"/>
  <c r="AT63" i="104"/>
  <c r="AT289" i="104"/>
  <c r="AO63" i="104"/>
  <c r="AO289" i="104"/>
  <c r="BD268" i="104"/>
  <c r="AP63" i="104"/>
  <c r="AP289" i="104"/>
  <c r="AH63" i="104"/>
  <c r="AH289" i="104"/>
  <c r="BD269" i="104"/>
  <c r="BD291" i="104"/>
  <c r="BC63" i="104"/>
  <c r="BC289" i="104"/>
  <c r="BD65" i="104"/>
  <c r="AD63" i="104"/>
  <c r="AD289" i="104"/>
  <c r="BD265" i="104"/>
  <c r="BD274" i="104"/>
  <c r="BB304" i="104"/>
  <c r="AE63" i="104"/>
  <c r="AE289" i="104"/>
  <c r="AU304" i="104"/>
  <c r="W63" i="104"/>
  <c r="W289" i="104"/>
  <c r="BD270" i="104"/>
  <c r="AP63" i="103"/>
  <c r="AP289" i="103"/>
  <c r="AD63" i="103"/>
  <c r="AD289" i="103"/>
  <c r="BC63" i="103"/>
  <c r="BC289" i="103"/>
  <c r="U63" i="103"/>
  <c r="U289" i="103"/>
  <c r="AM63" i="103"/>
  <c r="AM289" i="103"/>
  <c r="BD63" i="103"/>
  <c r="BD289" i="103"/>
  <c r="AN63" i="103"/>
  <c r="AN289" i="103"/>
  <c r="AZ63" i="103"/>
  <c r="AZ289" i="103"/>
  <c r="AG63" i="103"/>
  <c r="AG289" i="103"/>
  <c r="BE63" i="103"/>
  <c r="BE289" i="103"/>
  <c r="AO63" i="103"/>
  <c r="AO289" i="103"/>
  <c r="V63" i="103"/>
  <c r="V289" i="103"/>
  <c r="BG63" i="103"/>
  <c r="BG289" i="103"/>
  <c r="AP62" i="105"/>
  <c r="AP62" i="107"/>
  <c r="AO62" i="104"/>
  <c r="W62" i="105"/>
  <c r="BB62" i="105"/>
  <c r="AI62" i="105"/>
  <c r="AO62" i="105"/>
  <c r="BC61" i="107"/>
  <c r="BC63" i="107"/>
  <c r="BB61" i="107"/>
  <c r="BB63" i="107"/>
  <c r="BB235" i="107"/>
  <c r="BE242" i="107"/>
  <c r="W263" i="107"/>
  <c r="AO61" i="107"/>
  <c r="AO63" i="107"/>
  <c r="AY61" i="107"/>
  <c r="AY63" i="107"/>
  <c r="U228" i="107"/>
  <c r="AD62" i="107"/>
  <c r="AC62" i="107"/>
  <c r="AM62" i="107"/>
  <c r="AS61" i="107"/>
  <c r="AS63" i="107"/>
  <c r="BE38" i="107"/>
  <c r="AU61" i="107"/>
  <c r="AU63" i="107"/>
  <c r="BB242" i="107"/>
  <c r="BE281" i="107"/>
  <c r="W304" i="107"/>
  <c r="U242" i="107"/>
  <c r="BB62" i="107"/>
  <c r="AG62" i="107"/>
  <c r="BB228" i="107"/>
  <c r="AA61" i="107"/>
  <c r="AA63" i="107"/>
  <c r="BE263" i="107"/>
  <c r="AD61" i="107"/>
  <c r="AD63" i="107"/>
  <c r="U281" i="107"/>
  <c r="BG62" i="107"/>
  <c r="AH62" i="107"/>
  <c r="Q61" i="107"/>
  <c r="Q63" i="107"/>
  <c r="AM61" i="107"/>
  <c r="AM63" i="107"/>
  <c r="BB281" i="107"/>
  <c r="BE304" i="107"/>
  <c r="AG61" i="107"/>
  <c r="AG63" i="107"/>
  <c r="AI228" i="107"/>
  <c r="U263" i="107"/>
  <c r="V62" i="107"/>
  <c r="AP61" i="107"/>
  <c r="AP63" i="107"/>
  <c r="BB263" i="107"/>
  <c r="P61" i="107"/>
  <c r="P63" i="107"/>
  <c r="W228" i="107"/>
  <c r="S61" i="107"/>
  <c r="S63" i="107"/>
  <c r="AC61" i="107"/>
  <c r="AC63" i="107"/>
  <c r="AI304" i="107"/>
  <c r="U304" i="107"/>
  <c r="AZ62" i="107"/>
  <c r="AY62" i="107"/>
  <c r="BF62" i="107"/>
  <c r="AT62" i="107"/>
  <c r="AB61" i="107"/>
  <c r="AB63" i="107"/>
  <c r="BB304" i="107"/>
  <c r="W235" i="107"/>
  <c r="O61" i="107"/>
  <c r="O63" i="107"/>
  <c r="BA62" i="107"/>
  <c r="BC62" i="107"/>
  <c r="W59" i="107"/>
  <c r="AT61" i="107"/>
  <c r="AT63" i="107"/>
  <c r="BE228" i="107"/>
  <c r="AZ61" i="107"/>
  <c r="AZ63" i="107"/>
  <c r="BB38" i="107"/>
  <c r="BG61" i="107"/>
  <c r="BG63" i="107"/>
  <c r="R61" i="107"/>
  <c r="R63" i="107"/>
  <c r="AU62" i="107"/>
  <c r="BD62" i="107"/>
  <c r="AO61" i="106"/>
  <c r="AO63" i="106"/>
  <c r="AE61" i="106"/>
  <c r="AG62" i="106"/>
  <c r="AN62" i="106"/>
  <c r="AM62" i="106"/>
  <c r="AH61" i="106"/>
  <c r="AH63" i="106"/>
  <c r="BE61" i="106"/>
  <c r="BE63" i="106"/>
  <c r="AC61" i="106"/>
  <c r="AC63" i="106"/>
  <c r="V62" i="106"/>
  <c r="AO62" i="106"/>
  <c r="AC62" i="106"/>
  <c r="AB61" i="106"/>
  <c r="AB63" i="106"/>
  <c r="BC61" i="106"/>
  <c r="BC63" i="106"/>
  <c r="AY61" i="106"/>
  <c r="AY63" i="106"/>
  <c r="AS62" i="106"/>
  <c r="BB62" i="106"/>
  <c r="BA62" i="106"/>
  <c r="BE62" i="106"/>
  <c r="AT61" i="106"/>
  <c r="AT63" i="106"/>
  <c r="AH62" i="106"/>
  <c r="AP62" i="106"/>
  <c r="AD62" i="106"/>
  <c r="S61" i="106"/>
  <c r="S63" i="106"/>
  <c r="Q61" i="106"/>
  <c r="Q63" i="106"/>
  <c r="AN61" i="106"/>
  <c r="AN63" i="106"/>
  <c r="AP61" i="106"/>
  <c r="AP63" i="106"/>
  <c r="AQ62" i="106"/>
  <c r="AE62" i="106"/>
  <c r="BD61" i="106"/>
  <c r="BD63" i="106"/>
  <c r="O61" i="106"/>
  <c r="O63" i="106"/>
  <c r="V61" i="106"/>
  <c r="V63" i="106"/>
  <c r="AZ61" i="106"/>
  <c r="AZ63" i="106"/>
  <c r="AF62" i="106"/>
  <c r="T62" i="106"/>
  <c r="AU62" i="106"/>
  <c r="AQ61" i="106"/>
  <c r="AQ63" i="106"/>
  <c r="AR62" i="106"/>
  <c r="AY62" i="106"/>
  <c r="BE61" i="105"/>
  <c r="BE63" i="105"/>
  <c r="AZ61" i="105"/>
  <c r="AZ63" i="105"/>
  <c r="AB61" i="105"/>
  <c r="AB63" i="105"/>
  <c r="W61" i="105"/>
  <c r="W63" i="105"/>
  <c r="AT228" i="105"/>
  <c r="AG268" i="105"/>
  <c r="AQ61" i="105"/>
  <c r="AQ63" i="105"/>
  <c r="AA61" i="105"/>
  <c r="AA63" i="105"/>
  <c r="BE228" i="105"/>
  <c r="AM235" i="105"/>
  <c r="O59" i="105"/>
  <c r="AS62" i="105"/>
  <c r="BA62" i="105"/>
  <c r="AZ62" i="105"/>
  <c r="O242" i="105"/>
  <c r="AT235" i="105"/>
  <c r="AG276" i="105"/>
  <c r="BE242" i="105"/>
  <c r="AM242" i="105"/>
  <c r="O228" i="105"/>
  <c r="AT62" i="105"/>
  <c r="AY62" i="105"/>
  <c r="BE281" i="105"/>
  <c r="AS61" i="105"/>
  <c r="AS63" i="105"/>
  <c r="AT304" i="105"/>
  <c r="R61" i="105"/>
  <c r="R63" i="105"/>
  <c r="AG65" i="105"/>
  <c r="AG270" i="105"/>
  <c r="AG291" i="105"/>
  <c r="U61" i="105"/>
  <c r="U63" i="105"/>
  <c r="BE304" i="105"/>
  <c r="AM304" i="105"/>
  <c r="O263" i="105"/>
  <c r="BC62" i="105"/>
  <c r="AQ62" i="105"/>
  <c r="AE62" i="105"/>
  <c r="AG283" i="105"/>
  <c r="AG287" i="105" s="1" a="1"/>
  <c r="AG287" i="105" s="1"/>
  <c r="AG278" i="105"/>
  <c r="Q61" i="105"/>
  <c r="Q63" i="105"/>
  <c r="BE38" i="105"/>
  <c r="AM38" i="105"/>
  <c r="O281" i="105"/>
  <c r="AM62" i="105"/>
  <c r="BF62" i="105"/>
  <c r="AC62" i="105"/>
  <c r="AC61" i="105"/>
  <c r="AC63" i="105"/>
  <c r="P61" i="105"/>
  <c r="P63" i="105"/>
  <c r="AN62" i="105"/>
  <c r="AG32" i="105"/>
  <c r="AH61" i="105"/>
  <c r="AH63" i="105"/>
  <c r="AG267" i="105"/>
  <c r="BE29" i="105"/>
  <c r="AI61" i="105"/>
  <c r="AI63" i="105"/>
  <c r="BE59" i="105"/>
  <c r="AM59" i="105"/>
  <c r="O304" i="105"/>
  <c r="BD62" i="105"/>
  <c r="U62" i="105"/>
  <c r="V61" i="105"/>
  <c r="V63" i="105"/>
  <c r="AM281" i="105"/>
  <c r="AT242" i="105"/>
  <c r="AR61" i="105"/>
  <c r="AR63" i="105"/>
  <c r="AE61" i="105"/>
  <c r="AE63" i="105"/>
  <c r="BE62" i="105"/>
  <c r="AG62" i="105"/>
  <c r="AU62" i="105"/>
  <c r="O61" i="104"/>
  <c r="O63" i="104"/>
  <c r="AR61" i="104"/>
  <c r="AR63" i="104"/>
  <c r="AU61" i="104"/>
  <c r="AU63" i="104"/>
  <c r="BA61" i="104"/>
  <c r="BA63" i="104"/>
  <c r="BC38" i="104"/>
  <c r="AZ61" i="104"/>
  <c r="AZ63" i="104"/>
  <c r="BD281" i="104"/>
  <c r="AP242" i="104"/>
  <c r="AE62" i="104"/>
  <c r="AN62" i="104"/>
  <c r="BE62" i="104"/>
  <c r="AS62" i="104"/>
  <c r="AY61" i="104"/>
  <c r="AY63" i="104"/>
  <c r="BB61" i="104"/>
  <c r="BB63" i="104"/>
  <c r="P61" i="104"/>
  <c r="P63" i="104"/>
  <c r="AN61" i="104"/>
  <c r="AN63" i="104"/>
  <c r="AQ61" i="104"/>
  <c r="AQ63" i="104"/>
  <c r="BD304" i="104"/>
  <c r="AP263" i="104"/>
  <c r="T62" i="104"/>
  <c r="AD62" i="104"/>
  <c r="AC62" i="104"/>
  <c r="AG61" i="104"/>
  <c r="AG63" i="104"/>
  <c r="BC235" i="104"/>
  <c r="AM61" i="104"/>
  <c r="AM63" i="104"/>
  <c r="AP281" i="104"/>
  <c r="BF62" i="104"/>
  <c r="AT62" i="104"/>
  <c r="AG62" i="104"/>
  <c r="BB62" i="104"/>
  <c r="AI62" i="104"/>
  <c r="V62" i="104"/>
  <c r="AC61" i="104"/>
  <c r="AC63" i="104"/>
  <c r="BC228" i="104"/>
  <c r="AB61" i="104"/>
  <c r="AB63" i="104"/>
  <c r="BD38" i="104"/>
  <c r="BD228" i="104"/>
  <c r="AP38" i="104"/>
  <c r="AU62" i="104"/>
  <c r="W62" i="104"/>
  <c r="AF61" i="104"/>
  <c r="AF63" i="104"/>
  <c r="AI61" i="104"/>
  <c r="AI63" i="104"/>
  <c r="AP304" i="104"/>
  <c r="BG61" i="104"/>
  <c r="BG63" i="104"/>
  <c r="R61" i="104"/>
  <c r="R63" i="104"/>
  <c r="BC263" i="104"/>
  <c r="AA61" i="104"/>
  <c r="AA63" i="104"/>
  <c r="BD235" i="104"/>
  <c r="AP59" i="104"/>
  <c r="BA62" i="104"/>
  <c r="AZ62" i="104"/>
  <c r="BC281" i="104"/>
  <c r="BF61" i="104"/>
  <c r="BF63" i="104"/>
  <c r="Q61" i="104"/>
  <c r="Q63" i="104"/>
  <c r="AY62" i="104"/>
  <c r="AM62" i="104"/>
  <c r="T61" i="103"/>
  <c r="T63" i="103"/>
  <c r="AC62" i="103"/>
  <c r="AG62" i="103"/>
  <c r="AB61" i="103"/>
  <c r="AB63" i="103"/>
  <c r="P61" i="103"/>
  <c r="P63" i="103"/>
  <c r="AS61" i="103"/>
  <c r="AS63" i="103"/>
  <c r="AC61" i="103"/>
  <c r="AC63" i="103"/>
  <c r="BA61" i="103"/>
  <c r="BA63" i="103"/>
  <c r="BA62" i="103"/>
  <c r="BE62" i="103"/>
  <c r="V62" i="103"/>
  <c r="BF61" i="103"/>
  <c r="BF63" i="103"/>
  <c r="Q61" i="103"/>
  <c r="Q63" i="103"/>
  <c r="AT61" i="103"/>
  <c r="AT63" i="103"/>
  <c r="AH61" i="103"/>
  <c r="AH63" i="103"/>
  <c r="R61" i="103"/>
  <c r="R63" i="103"/>
  <c r="AP62" i="103"/>
  <c r="U62" i="103"/>
  <c r="AF61" i="103"/>
  <c r="AF63" i="103"/>
  <c r="BB61" i="103"/>
  <c r="BB63" i="103"/>
  <c r="AU61" i="103"/>
  <c r="AU63" i="103"/>
  <c r="AI61" i="103"/>
  <c r="AI63" i="103"/>
  <c r="W61" i="103"/>
  <c r="W63" i="103"/>
  <c r="AY61" i="103"/>
  <c r="AY63" i="103"/>
  <c r="AS62" i="103"/>
  <c r="BC62" i="103"/>
  <c r="AQ61" i="103"/>
  <c r="AQ63" i="103"/>
  <c r="AE61" i="103"/>
  <c r="AE63" i="103"/>
  <c r="S61" i="103"/>
  <c r="S63" i="103"/>
  <c r="AR61" i="103"/>
  <c r="AR63" i="103"/>
  <c r="T62" i="103"/>
  <c r="AN62" i="103"/>
  <c r="AM62" i="103"/>
  <c r="AR62" i="103"/>
  <c r="AF62" i="103"/>
  <c r="AA61" i="103"/>
  <c r="AA63" i="103"/>
  <c r="O61" i="103"/>
  <c r="O63" i="103"/>
  <c r="U66" i="107"/>
  <c r="U61" i="107"/>
  <c r="BD66" i="107"/>
  <c r="BD61" i="107"/>
  <c r="V66" i="107"/>
  <c r="V61" i="107"/>
  <c r="BF66" i="107"/>
  <c r="BF61" i="107"/>
  <c r="AA38" i="107"/>
  <c r="AA59" i="107"/>
  <c r="AI68" i="107"/>
  <c r="AI61" i="107"/>
  <c r="AA235" i="107"/>
  <c r="AE68" i="107"/>
  <c r="AE61" i="107"/>
  <c r="AA228" i="107"/>
  <c r="AQ66" i="107"/>
  <c r="AQ61" i="107"/>
  <c r="AH66" i="107"/>
  <c r="AH61" i="107"/>
  <c r="AR66" i="107"/>
  <c r="AR61" i="107"/>
  <c r="AA263" i="107"/>
  <c r="T66" i="107"/>
  <c r="T61" i="107"/>
  <c r="AN66" i="107"/>
  <c r="AN61" i="107"/>
  <c r="AF66" i="107"/>
  <c r="AF61" i="107"/>
  <c r="BE66" i="107"/>
  <c r="BE61" i="107"/>
  <c r="W66" i="107"/>
  <c r="W61" i="107"/>
  <c r="BA66" i="107"/>
  <c r="BA61" i="107"/>
  <c r="AD68" i="106"/>
  <c r="AD61" i="106"/>
  <c r="AI27" i="106"/>
  <c r="AI61" i="106"/>
  <c r="W66" i="106"/>
  <c r="W61" i="106"/>
  <c r="U66" i="106"/>
  <c r="U61" i="106"/>
  <c r="AR66" i="106"/>
  <c r="AR61" i="106"/>
  <c r="BF66" i="106"/>
  <c r="BF61" i="106"/>
  <c r="AG66" i="106"/>
  <c r="AG61" i="106"/>
  <c r="T26" i="106"/>
  <c r="T61" i="106"/>
  <c r="BA26" i="106"/>
  <c r="BA61" i="106"/>
  <c r="BG27" i="106"/>
  <c r="BG61" i="106"/>
  <c r="BB66" i="106"/>
  <c r="BB61" i="106"/>
  <c r="AU66" i="106"/>
  <c r="AU61" i="106"/>
  <c r="AS66" i="106"/>
  <c r="AS61" i="106"/>
  <c r="AM66" i="106"/>
  <c r="AM61" i="106"/>
  <c r="AF66" i="106"/>
  <c r="AF61" i="106"/>
  <c r="AA27" i="106"/>
  <c r="AA28" i="106" s="1"/>
  <c r="AA295" i="106" s="1"/>
  <c r="AA61" i="106"/>
  <c r="AO66" i="105"/>
  <c r="AO61" i="105"/>
  <c r="BC66" i="105"/>
  <c r="BC61" i="105"/>
  <c r="BF66" i="105"/>
  <c r="BF61" i="105"/>
  <c r="AP66" i="105"/>
  <c r="AP61" i="105"/>
  <c r="AY66" i="105"/>
  <c r="AY61" i="105"/>
  <c r="BB66" i="105"/>
  <c r="BB61" i="105"/>
  <c r="AD66" i="105"/>
  <c r="AD61" i="105"/>
  <c r="AU66" i="105"/>
  <c r="AU61" i="105"/>
  <c r="AN67" i="105"/>
  <c r="AN61" i="105"/>
  <c r="S66" i="105"/>
  <c r="S61" i="105"/>
  <c r="AG68" i="105"/>
  <c r="AG61" i="105"/>
  <c r="AM67" i="105"/>
  <c r="AM61" i="105"/>
  <c r="T66" i="105"/>
  <c r="T61" i="105"/>
  <c r="BD66" i="105"/>
  <c r="BD61" i="105"/>
  <c r="O51" i="105"/>
  <c r="O61" i="105"/>
  <c r="AF66" i="105"/>
  <c r="AF61" i="105"/>
  <c r="BA66" i="105"/>
  <c r="BA61" i="105"/>
  <c r="BG66" i="105"/>
  <c r="BG61" i="105"/>
  <c r="AT66" i="105"/>
  <c r="AT61" i="105"/>
  <c r="V66" i="104"/>
  <c r="V61" i="104"/>
  <c r="U66" i="104"/>
  <c r="U61" i="104"/>
  <c r="W66" i="104"/>
  <c r="W61" i="104"/>
  <c r="BC66" i="104"/>
  <c r="BC61" i="104"/>
  <c r="BF165" i="104"/>
  <c r="BF13" i="104" s="1"/>
  <c r="T66" i="104"/>
  <c r="T61" i="104"/>
  <c r="S66" i="104"/>
  <c r="S61" i="104"/>
  <c r="BE66" i="104"/>
  <c r="BE61" i="104"/>
  <c r="BD66" i="104"/>
  <c r="BD61" i="104"/>
  <c r="AE66" i="104"/>
  <c r="AE61" i="104"/>
  <c r="AD66" i="104"/>
  <c r="AD61" i="104"/>
  <c r="AT66" i="104"/>
  <c r="AT61" i="104"/>
  <c r="AS66" i="104"/>
  <c r="AS61" i="104"/>
  <c r="AZ271" i="104"/>
  <c r="AP66" i="104"/>
  <c r="AP61" i="104"/>
  <c r="AO66" i="104"/>
  <c r="AO61" i="104"/>
  <c r="AZ272" i="104"/>
  <c r="AH66" i="104"/>
  <c r="AH61" i="104"/>
  <c r="BG66" i="103"/>
  <c r="BG61" i="103"/>
  <c r="AO66" i="103"/>
  <c r="AO61" i="103"/>
  <c r="AP66" i="103"/>
  <c r="AP61" i="103"/>
  <c r="AD66" i="103"/>
  <c r="AD61" i="103"/>
  <c r="BC66" i="103"/>
  <c r="BC61" i="103"/>
  <c r="V66" i="103"/>
  <c r="V61" i="103"/>
  <c r="AM67" i="103"/>
  <c r="AM61" i="103"/>
  <c r="AG29" i="103"/>
  <c r="AG14" i="103" s="1"/>
  <c r="BD66" i="103"/>
  <c r="BD61" i="103"/>
  <c r="AN66" i="103"/>
  <c r="AN61" i="103"/>
  <c r="AZ66" i="103"/>
  <c r="AZ61" i="103"/>
  <c r="AG66" i="103"/>
  <c r="AG61" i="103"/>
  <c r="U66" i="103"/>
  <c r="U61" i="103"/>
  <c r="BE66" i="103"/>
  <c r="BE61" i="103"/>
  <c r="AB51" i="104"/>
  <c r="BF68" i="106"/>
  <c r="AZ32" i="104"/>
  <c r="AZ68" i="104"/>
  <c r="AZ283" i="104"/>
  <c r="AZ286" i="104" s="1" a="1"/>
  <c r="AZ286" i="104" s="1"/>
  <c r="AE265" i="107"/>
  <c r="AE272" i="107"/>
  <c r="AZ65" i="104"/>
  <c r="AZ268" i="104"/>
  <c r="T66" i="106"/>
  <c r="AE65" i="107"/>
  <c r="AE270" i="107"/>
  <c r="AZ269" i="104"/>
  <c r="AZ291" i="104"/>
  <c r="AE276" i="107"/>
  <c r="AE291" i="107"/>
  <c r="AZ265" i="104"/>
  <c r="AZ274" i="104"/>
  <c r="AE283" i="107"/>
  <c r="AE301" i="107" s="1"/>
  <c r="T27" i="106"/>
  <c r="AZ270" i="104"/>
  <c r="AZ276" i="104"/>
  <c r="AE267" i="107"/>
  <c r="BA27" i="106"/>
  <c r="BA66" i="106"/>
  <c r="BG26" i="106"/>
  <c r="AZ267" i="104"/>
  <c r="AN202" i="106"/>
  <c r="AN203" i="106" s="1"/>
  <c r="AH276" i="106"/>
  <c r="BG66" i="106"/>
  <c r="AH269" i="106"/>
  <c r="AH291" i="106"/>
  <c r="AA51" i="107"/>
  <c r="AG38" i="107"/>
  <c r="AG263" i="107"/>
  <c r="AT59" i="107"/>
  <c r="BD263" i="107"/>
  <c r="AT228" i="107"/>
  <c r="AG304" i="107"/>
  <c r="AT242" i="107"/>
  <c r="AB235" i="107"/>
  <c r="AS242" i="107"/>
  <c r="V29" i="107"/>
  <c r="V14" i="107" s="1"/>
  <c r="AT38" i="107"/>
  <c r="AT281" i="107"/>
  <c r="AB228" i="107"/>
  <c r="AS281" i="107"/>
  <c r="AB135" i="107"/>
  <c r="BD228" i="107"/>
  <c r="AT263" i="107"/>
  <c r="AB242" i="107"/>
  <c r="AS263" i="107"/>
  <c r="BD59" i="107"/>
  <c r="AG228" i="107"/>
  <c r="BD235" i="107"/>
  <c r="AB281" i="107"/>
  <c r="AB38" i="107"/>
  <c r="AG235" i="107"/>
  <c r="BD267" i="106"/>
  <c r="BD291" i="106"/>
  <c r="AT32" i="106"/>
  <c r="T29" i="106"/>
  <c r="AI26" i="106"/>
  <c r="AT271" i="106"/>
  <c r="AT291" i="106"/>
  <c r="BD283" i="106"/>
  <c r="BD286" i="106" s="1" a="1"/>
  <c r="BD286" i="106" s="1"/>
  <c r="Q29" i="106"/>
  <c r="AT65" i="106"/>
  <c r="AT265" i="106"/>
  <c r="AT278" i="106"/>
  <c r="BD269" i="106"/>
  <c r="R29" i="106"/>
  <c r="AT272" i="106"/>
  <c r="BD274" i="106"/>
  <c r="AZ268" i="106"/>
  <c r="AT269" i="106"/>
  <c r="BD268" i="106"/>
  <c r="BD270" i="106"/>
  <c r="BD32" i="106"/>
  <c r="AT267" i="106"/>
  <c r="AT274" i="106"/>
  <c r="O4" i="106"/>
  <c r="BD271" i="106"/>
  <c r="BD276" i="106"/>
  <c r="AT283" i="106"/>
  <c r="AT298" i="106" s="1"/>
  <c r="AT297" i="106" s="1"/>
  <c r="BD265" i="106"/>
  <c r="BA29" i="105"/>
  <c r="BD29" i="105"/>
  <c r="BG29" i="105"/>
  <c r="BG14" i="105" s="1"/>
  <c r="BB29" i="105"/>
  <c r="BB14" i="105" s="1"/>
  <c r="AZ29" i="105"/>
  <c r="AZ189" i="105" s="1"/>
  <c r="AZ14" i="105" s="1"/>
  <c r="BC29" i="105"/>
  <c r="BC14" i="105" s="1"/>
  <c r="AY29" i="105"/>
  <c r="AY4" i="105"/>
  <c r="AY8" i="105"/>
  <c r="AU263" i="104"/>
  <c r="AU281" i="104"/>
  <c r="O4" i="104"/>
  <c r="BB242" i="104"/>
  <c r="AP29" i="104"/>
  <c r="AP14" i="104" s="1"/>
  <c r="AN29" i="104"/>
  <c r="AN189" i="104" s="1"/>
  <c r="AN14" i="104" s="1"/>
  <c r="BB228" i="104"/>
  <c r="AQ29" i="104"/>
  <c r="AQ14" i="104" s="1"/>
  <c r="BB235" i="104"/>
  <c r="AM29" i="104"/>
  <c r="AU228" i="104"/>
  <c r="BB38" i="104"/>
  <c r="AU38" i="104"/>
  <c r="BB263" i="104"/>
  <c r="AU235" i="104"/>
  <c r="BB281" i="104"/>
  <c r="AU242" i="104"/>
  <c r="AM4" i="104"/>
  <c r="AT29" i="104"/>
  <c r="AT14" i="104" s="1"/>
  <c r="AB51" i="106"/>
  <c r="AA51" i="103"/>
  <c r="BC269" i="104"/>
  <c r="AZ202" i="104"/>
  <c r="AZ203" i="104" s="1"/>
  <c r="BC272" i="104"/>
  <c r="AZ274" i="106"/>
  <c r="AZ135" i="106"/>
  <c r="AZ276" i="106"/>
  <c r="AA51" i="104"/>
  <c r="AZ65" i="106"/>
  <c r="AN135" i="103"/>
  <c r="BG272" i="104"/>
  <c r="AN135" i="104"/>
  <c r="AC32" i="105"/>
  <c r="AB51" i="105"/>
  <c r="AB51" i="103"/>
  <c r="AB51" i="107"/>
  <c r="AC29" i="103"/>
  <c r="AE29" i="103"/>
  <c r="AE14" i="103" s="1"/>
  <c r="AH29" i="103"/>
  <c r="AH14" i="103" s="1"/>
  <c r="AA29" i="103"/>
  <c r="AI29" i="105"/>
  <c r="AI14" i="105" s="1"/>
  <c r="AF29" i="103"/>
  <c r="AA3" i="103"/>
  <c r="AD29" i="103"/>
  <c r="AD14" i="103" s="1"/>
  <c r="AB29" i="103"/>
  <c r="AA51" i="106"/>
  <c r="AH162" i="104"/>
  <c r="AH12" i="104" s="1"/>
  <c r="AA263" i="106"/>
  <c r="AA51" i="105"/>
  <c r="AA281" i="107"/>
  <c r="AA304" i="107"/>
  <c r="AA4" i="103"/>
  <c r="AH162" i="107"/>
  <c r="AH12" i="107" s="1"/>
  <c r="AD29" i="106"/>
  <c r="AI29" i="106"/>
  <c r="AI190" i="106" s="1"/>
  <c r="AA4" i="106"/>
  <c r="AA304" i="106"/>
  <c r="AA59" i="106"/>
  <c r="AA281" i="106"/>
  <c r="AA38" i="106"/>
  <c r="AA235" i="106"/>
  <c r="AA228" i="106"/>
  <c r="AA5" i="103"/>
  <c r="AB202" i="104"/>
  <c r="AB203" i="104" s="1"/>
  <c r="AZ135" i="107"/>
  <c r="P28" i="106"/>
  <c r="P295" i="106" s="1"/>
  <c r="P202" i="103"/>
  <c r="P203" i="103" s="1"/>
  <c r="AF276" i="107"/>
  <c r="AH68" i="103"/>
  <c r="AF53" i="107"/>
  <c r="R29" i="107"/>
  <c r="R14" i="107" s="1"/>
  <c r="O3" i="104"/>
  <c r="R29" i="104"/>
  <c r="R14" i="104" s="1"/>
  <c r="J24" i="104"/>
  <c r="W29" i="104"/>
  <c r="W190" i="104" s="1"/>
  <c r="S29" i="104"/>
  <c r="S14" i="104" s="1"/>
  <c r="V270" i="104"/>
  <c r="BC265" i="104"/>
  <c r="BC268" i="104"/>
  <c r="V271" i="104"/>
  <c r="AG267" i="104"/>
  <c r="AZ202" i="103"/>
  <c r="AZ203" i="103" s="1"/>
  <c r="V278" i="104"/>
  <c r="T278" i="103"/>
  <c r="V276" i="104"/>
  <c r="AC54" i="104"/>
  <c r="AD291" i="103"/>
  <c r="P135" i="105"/>
  <c r="BD68" i="104"/>
  <c r="AF65" i="105"/>
  <c r="AG291" i="104"/>
  <c r="AD276" i="103"/>
  <c r="AF68" i="104"/>
  <c r="AF269" i="104"/>
  <c r="R51" i="105"/>
  <c r="AF271" i="104"/>
  <c r="S51" i="107"/>
  <c r="S51" i="106"/>
  <c r="AF32" i="105"/>
  <c r="O51" i="106"/>
  <c r="BB278" i="107"/>
  <c r="AF274" i="105"/>
  <c r="AF65" i="107"/>
  <c r="AD268" i="105"/>
  <c r="Q51" i="104"/>
  <c r="BC278" i="104"/>
  <c r="Q51" i="107"/>
  <c r="BB65" i="104"/>
  <c r="BC270" i="104"/>
  <c r="BC283" i="104"/>
  <c r="BC286" i="104" s="1" a="1"/>
  <c r="BC286" i="104" s="1"/>
  <c r="BC271" i="104"/>
  <c r="BC291" i="104"/>
  <c r="AD270" i="107"/>
  <c r="BC274" i="104"/>
  <c r="U65" i="103"/>
  <c r="BC276" i="104"/>
  <c r="BA32" i="106"/>
  <c r="BB271" i="103"/>
  <c r="BB269" i="103"/>
  <c r="R51" i="104"/>
  <c r="P135" i="106"/>
  <c r="P51" i="107"/>
  <c r="AB135" i="105"/>
  <c r="O51" i="103"/>
  <c r="BB68" i="103"/>
  <c r="BB272" i="103"/>
  <c r="AF66" i="104"/>
  <c r="AF265" i="104"/>
  <c r="AZ267" i="106"/>
  <c r="AZ270" i="106"/>
  <c r="AH268" i="106"/>
  <c r="P54" i="105"/>
  <c r="P51" i="105"/>
  <c r="AH68" i="106"/>
  <c r="AZ272" i="106"/>
  <c r="AZ278" i="106"/>
  <c r="AH283" i="106"/>
  <c r="AH298" i="106" s="1"/>
  <c r="AF54" i="103"/>
  <c r="Q51" i="103"/>
  <c r="AF283" i="104"/>
  <c r="AF301" i="104" s="1"/>
  <c r="AZ265" i="106"/>
  <c r="AH265" i="106"/>
  <c r="AH271" i="106"/>
  <c r="AH65" i="106"/>
  <c r="R51" i="103"/>
  <c r="AF291" i="104"/>
  <c r="U283" i="104"/>
  <c r="U298" i="104" s="1"/>
  <c r="AF65" i="104"/>
  <c r="S54" i="104"/>
  <c r="S51" i="104"/>
  <c r="BF53" i="106"/>
  <c r="AZ283" i="106"/>
  <c r="AZ301" i="106" s="1"/>
  <c r="AZ291" i="106"/>
  <c r="AH270" i="106"/>
  <c r="AH278" i="106"/>
  <c r="AE32" i="106"/>
  <c r="BF291" i="107"/>
  <c r="S54" i="105"/>
  <c r="S51" i="105"/>
  <c r="AS54" i="103"/>
  <c r="P51" i="104"/>
  <c r="O54" i="104"/>
  <c r="O51" i="104"/>
  <c r="W272" i="105"/>
  <c r="Q54" i="105"/>
  <c r="Q51" i="105"/>
  <c r="AI53" i="105"/>
  <c r="BG32" i="106"/>
  <c r="AZ271" i="106"/>
  <c r="AH267" i="106"/>
  <c r="AH272" i="106"/>
  <c r="Q51" i="106"/>
  <c r="AZ65" i="107"/>
  <c r="O54" i="107"/>
  <c r="O51" i="107"/>
  <c r="R54" i="107"/>
  <c r="R51" i="107"/>
  <c r="P51" i="103"/>
  <c r="BB265" i="103"/>
  <c r="S54" i="103"/>
  <c r="S51" i="103"/>
  <c r="AQ54" i="104"/>
  <c r="BG271" i="104"/>
  <c r="AZ269" i="106"/>
  <c r="AH274" i="106"/>
  <c r="AP65" i="107"/>
  <c r="AH53" i="107"/>
  <c r="AR32" i="107"/>
  <c r="AM54" i="107"/>
  <c r="BG278" i="104"/>
  <c r="BF272" i="107"/>
  <c r="BG269" i="104"/>
  <c r="BG283" i="104"/>
  <c r="BG301" i="104" s="1"/>
  <c r="V65" i="107"/>
  <c r="AZ66" i="104"/>
  <c r="BG265" i="104"/>
  <c r="BG291" i="104"/>
  <c r="BG267" i="104"/>
  <c r="BG268" i="104"/>
  <c r="AD68" i="107"/>
  <c r="AD271" i="107"/>
  <c r="BG68" i="104"/>
  <c r="BG276" i="104"/>
  <c r="BF267" i="107"/>
  <c r="AD269" i="107"/>
  <c r="Q202" i="103"/>
  <c r="AC269" i="105"/>
  <c r="AC271" i="105"/>
  <c r="Q202" i="107"/>
  <c r="AC268" i="105"/>
  <c r="Q202" i="104"/>
  <c r="Q202" i="106"/>
  <c r="V267" i="105"/>
  <c r="V276" i="105"/>
  <c r="BF65" i="105"/>
  <c r="AG274" i="104"/>
  <c r="AF274" i="107"/>
  <c r="AF278" i="107"/>
  <c r="T276" i="103"/>
  <c r="AP32" i="104"/>
  <c r="AF291" i="107"/>
  <c r="AI32" i="104"/>
  <c r="AH66" i="103"/>
  <c r="T283" i="103"/>
  <c r="T285" i="103" s="1" a="1"/>
  <c r="T285" i="103" s="1"/>
  <c r="AR54" i="104"/>
  <c r="BA54" i="104"/>
  <c r="V269" i="105"/>
  <c r="AI68" i="104"/>
  <c r="AD66" i="106"/>
  <c r="BD265" i="105"/>
  <c r="AG32" i="106"/>
  <c r="BD270" i="105"/>
  <c r="BD65" i="105"/>
  <c r="BD272" i="105"/>
  <c r="AC53" i="105"/>
  <c r="AC65" i="105"/>
  <c r="BD267" i="105"/>
  <c r="AS53" i="105"/>
  <c r="AF268" i="105"/>
  <c r="BB267" i="103"/>
  <c r="BD268" i="105"/>
  <c r="BD269" i="105"/>
  <c r="S53" i="104"/>
  <c r="BD271" i="105"/>
  <c r="BD278" i="105"/>
  <c r="BD274" i="105"/>
  <c r="BD276" i="105"/>
  <c r="BG32" i="107"/>
  <c r="BA54" i="105"/>
  <c r="AC272" i="105"/>
  <c r="BD291" i="105"/>
  <c r="U272" i="103"/>
  <c r="AE269" i="103"/>
  <c r="AG272" i="104"/>
  <c r="AR53" i="104"/>
  <c r="AI270" i="104"/>
  <c r="BD283" i="105"/>
  <c r="BD301" i="105" s="1"/>
  <c r="AE32" i="103"/>
  <c r="AG270" i="104"/>
  <c r="AI274" i="104"/>
  <c r="AO32" i="103"/>
  <c r="AC276" i="105"/>
  <c r="AF265" i="105"/>
  <c r="U54" i="106"/>
  <c r="AE265" i="104"/>
  <c r="BE54" i="105"/>
  <c r="BE53" i="105"/>
  <c r="AC278" i="105"/>
  <c r="AF291" i="105"/>
  <c r="AF283" i="107"/>
  <c r="AF298" i="107" s="1"/>
  <c r="AF297" i="107" s="1"/>
  <c r="U53" i="103"/>
  <c r="AG268" i="104"/>
  <c r="BG65" i="104"/>
  <c r="AH291" i="105"/>
  <c r="AC68" i="105"/>
  <c r="AC291" i="105"/>
  <c r="T68" i="103"/>
  <c r="T270" i="103"/>
  <c r="BB291" i="103"/>
  <c r="T268" i="103"/>
  <c r="AG276" i="104"/>
  <c r="AI267" i="104"/>
  <c r="AD265" i="105"/>
  <c r="T274" i="103"/>
  <c r="AG283" i="104"/>
  <c r="AG292" i="104" s="1"/>
  <c r="AI272" i="104"/>
  <c r="AD270" i="105"/>
  <c r="AD267" i="105"/>
  <c r="AI291" i="104"/>
  <c r="AD278" i="105"/>
  <c r="T32" i="103"/>
  <c r="BF54" i="103"/>
  <c r="AI278" i="104"/>
  <c r="V283" i="104"/>
  <c r="V292" i="104" s="1"/>
  <c r="AE32" i="104"/>
  <c r="AE272" i="104"/>
  <c r="AQ65" i="106"/>
  <c r="AT68" i="107"/>
  <c r="BD54" i="107"/>
  <c r="V291" i="104"/>
  <c r="AM54" i="103"/>
  <c r="BF267" i="103"/>
  <c r="AR65" i="104"/>
  <c r="BB32" i="104"/>
  <c r="BC267" i="104"/>
  <c r="AG271" i="104"/>
  <c r="U53" i="106"/>
  <c r="AP32" i="103"/>
  <c r="BF269" i="103"/>
  <c r="V268" i="104"/>
  <c r="BF68" i="104"/>
  <c r="V272" i="104"/>
  <c r="AZ270" i="105"/>
  <c r="AG269" i="104"/>
  <c r="V269" i="104"/>
  <c r="AZ272" i="105"/>
  <c r="U267" i="107"/>
  <c r="BF291" i="103"/>
  <c r="BF68" i="103"/>
  <c r="AE270" i="103"/>
  <c r="AE268" i="103"/>
  <c r="AG265" i="104"/>
  <c r="V265" i="104"/>
  <c r="AG65" i="104"/>
  <c r="AZ291" i="105"/>
  <c r="AH269" i="105"/>
  <c r="W269" i="105"/>
  <c r="AC265" i="105"/>
  <c r="AS65" i="106"/>
  <c r="AR65" i="107"/>
  <c r="BE54" i="104"/>
  <c r="V267" i="104"/>
  <c r="AH271" i="105"/>
  <c r="W267" i="105"/>
  <c r="AC270" i="105"/>
  <c r="W283" i="106"/>
  <c r="W286" i="106" s="1" a="1"/>
  <c r="W286" i="106" s="1"/>
  <c r="AF269" i="107"/>
  <c r="V274" i="104"/>
  <c r="W283" i="105"/>
  <c r="W298" i="105" s="1"/>
  <c r="AF270" i="105"/>
  <c r="BD53" i="107"/>
  <c r="AF54" i="107"/>
  <c r="AB54" i="105"/>
  <c r="V54" i="106"/>
  <c r="AZ53" i="107"/>
  <c r="AR53" i="107"/>
  <c r="BB54" i="107"/>
  <c r="BF265" i="103"/>
  <c r="AD267" i="103"/>
  <c r="BF270" i="103"/>
  <c r="BF268" i="103"/>
  <c r="BF278" i="103"/>
  <c r="BB270" i="103"/>
  <c r="BB278" i="103"/>
  <c r="BB274" i="103"/>
  <c r="AE276" i="103"/>
  <c r="AE291" i="103"/>
  <c r="T267" i="103"/>
  <c r="T272" i="103"/>
  <c r="T291" i="103"/>
  <c r="AD272" i="103"/>
  <c r="AC274" i="104"/>
  <c r="AF268" i="104"/>
  <c r="AF270" i="104"/>
  <c r="AF274" i="104"/>
  <c r="AF278" i="104"/>
  <c r="U267" i="104"/>
  <c r="BG53" i="104"/>
  <c r="AP68" i="105"/>
  <c r="AB54" i="107"/>
  <c r="BF265" i="107"/>
  <c r="BF271" i="107"/>
  <c r="BF283" i="107"/>
  <c r="BF301" i="107" s="1"/>
  <c r="AD276" i="107"/>
  <c r="AD278" i="107"/>
  <c r="AD274" i="107"/>
  <c r="BF271" i="103"/>
  <c r="BF274" i="103"/>
  <c r="BF32" i="104"/>
  <c r="BF276" i="103"/>
  <c r="BF272" i="103"/>
  <c r="BF283" i="103"/>
  <c r="BF292" i="103" s="1"/>
  <c r="BB276" i="103"/>
  <c r="BB268" i="103"/>
  <c r="AE65" i="103"/>
  <c r="AE278" i="103"/>
  <c r="T265" i="103"/>
  <c r="T271" i="103"/>
  <c r="T269" i="103"/>
  <c r="Q54" i="103"/>
  <c r="AD269" i="103"/>
  <c r="AF32" i="104"/>
  <c r="AF272" i="104"/>
  <c r="AF267" i="104"/>
  <c r="U274" i="104"/>
  <c r="V54" i="107"/>
  <c r="AD53" i="107"/>
  <c r="BF270" i="107"/>
  <c r="BF278" i="107"/>
  <c r="BF269" i="107"/>
  <c r="AD65" i="107"/>
  <c r="V53" i="107"/>
  <c r="AD32" i="107"/>
  <c r="AR54" i="107"/>
  <c r="AD283" i="107"/>
  <c r="AD286" i="107" s="1" a="1"/>
  <c r="AD286" i="107" s="1"/>
  <c r="AD268" i="107"/>
  <c r="AD272" i="105"/>
  <c r="AD271" i="105"/>
  <c r="S53" i="105"/>
  <c r="AQ32" i="105"/>
  <c r="AC283" i="105"/>
  <c r="AC287" i="105" s="1" a="1"/>
  <c r="AC287" i="105" s="1"/>
  <c r="AC267" i="105"/>
  <c r="AF278" i="105"/>
  <c r="AQ53" i="106"/>
  <c r="BC32" i="106"/>
  <c r="AZ54" i="107"/>
  <c r="BF276" i="107"/>
  <c r="BF268" i="107"/>
  <c r="BF274" i="107"/>
  <c r="AO54" i="107"/>
  <c r="AD265" i="107"/>
  <c r="AD267" i="107"/>
  <c r="AD272" i="107"/>
  <c r="U29" i="106"/>
  <c r="U14" i="106" s="1"/>
  <c r="S66" i="106"/>
  <c r="O8" i="107"/>
  <c r="O5" i="106"/>
  <c r="O8" i="104"/>
  <c r="O29" i="106"/>
  <c r="O3" i="106"/>
  <c r="O8" i="106"/>
  <c r="V65" i="104"/>
  <c r="AE270" i="104"/>
  <c r="AE276" i="104"/>
  <c r="AD53" i="105"/>
  <c r="AE271" i="104"/>
  <c r="AE283" i="104"/>
  <c r="AE287" i="104" s="1" a="1"/>
  <c r="AE287" i="104" s="1"/>
  <c r="AO53" i="104"/>
  <c r="AE68" i="104"/>
  <c r="AE269" i="104"/>
  <c r="AE268" i="104"/>
  <c r="AE291" i="104"/>
  <c r="T32" i="107"/>
  <c r="BB269" i="107"/>
  <c r="AZ32" i="107"/>
  <c r="T276" i="107"/>
  <c r="AI242" i="107"/>
  <c r="T283" i="107"/>
  <c r="T292" i="107" s="1"/>
  <c r="AI38" i="107"/>
  <c r="AI59" i="107"/>
  <c r="AI281" i="107"/>
  <c r="AZ68" i="107"/>
  <c r="T274" i="107"/>
  <c r="AI235" i="107"/>
  <c r="BB298" i="107"/>
  <c r="BB300" i="107" s="1" a="1"/>
  <c r="BB300" i="107" s="1"/>
  <c r="BB285" i="107" a="1"/>
  <c r="BB285" i="107" s="1"/>
  <c r="AP29" i="107"/>
  <c r="AP14" i="107" s="1"/>
  <c r="AM3" i="107"/>
  <c r="AT29" i="107"/>
  <c r="AT14" i="107" s="1"/>
  <c r="AR29" i="107"/>
  <c r="BB270" i="107"/>
  <c r="AP68" i="107"/>
  <c r="AU29" i="107"/>
  <c r="AU190" i="107" s="1"/>
  <c r="T267" i="107"/>
  <c r="AR68" i="107"/>
  <c r="AS53" i="107"/>
  <c r="W53" i="107"/>
  <c r="AN29" i="107"/>
  <c r="AN189" i="107" s="1"/>
  <c r="AN14" i="107" s="1"/>
  <c r="BB276" i="107"/>
  <c r="BB268" i="107"/>
  <c r="AF268" i="107"/>
  <c r="AF265" i="107"/>
  <c r="AF267" i="107"/>
  <c r="V68" i="107"/>
  <c r="BC53" i="107"/>
  <c r="AS32" i="107"/>
  <c r="AQ29" i="107"/>
  <c r="AQ14" i="107" s="1"/>
  <c r="T265" i="107"/>
  <c r="T271" i="107"/>
  <c r="T272" i="107"/>
  <c r="T291" i="107"/>
  <c r="BF53" i="107"/>
  <c r="AR301" i="107"/>
  <c r="AE38" i="107"/>
  <c r="AO29" i="107"/>
  <c r="AE281" i="107"/>
  <c r="AM4" i="107"/>
  <c r="BB68" i="107"/>
  <c r="AD66" i="107"/>
  <c r="AP32" i="107"/>
  <c r="BB274" i="107"/>
  <c r="T65" i="107"/>
  <c r="Q54" i="107"/>
  <c r="T268" i="107"/>
  <c r="AS29" i="107"/>
  <c r="AS14" i="107" s="1"/>
  <c r="AE242" i="107"/>
  <c r="AM8" i="107"/>
  <c r="AO53" i="107"/>
  <c r="S53" i="107"/>
  <c r="BA32" i="107"/>
  <c r="BB267" i="107"/>
  <c r="AF272" i="107"/>
  <c r="AF270" i="107"/>
  <c r="AO32" i="107"/>
  <c r="AM29" i="107"/>
  <c r="T270" i="107"/>
  <c r="T278" i="107"/>
  <c r="AE59" i="107"/>
  <c r="AE304" i="107"/>
  <c r="AH66" i="106"/>
  <c r="BB53" i="106"/>
  <c r="AF68" i="106"/>
  <c r="AP32" i="106"/>
  <c r="R28" i="106"/>
  <c r="R295" i="106" s="1"/>
  <c r="AQ68" i="106"/>
  <c r="AE235" i="106"/>
  <c r="AE281" i="106"/>
  <c r="Q54" i="106"/>
  <c r="W267" i="106"/>
  <c r="W269" i="106"/>
  <c r="W291" i="106"/>
  <c r="AF301" i="106"/>
  <c r="AI32" i="106"/>
  <c r="AE228" i="106"/>
  <c r="AE304" i="106"/>
  <c r="AQ66" i="106"/>
  <c r="BF54" i="106"/>
  <c r="W271" i="106"/>
  <c r="W272" i="106"/>
  <c r="AG65" i="106"/>
  <c r="AE59" i="106"/>
  <c r="AE242" i="106"/>
  <c r="AM53" i="106"/>
  <c r="AM56" i="106" s="1" a="1"/>
  <c r="AM56" i="106" s="1"/>
  <c r="W278" i="106"/>
  <c r="W274" i="106"/>
  <c r="AE38" i="106"/>
  <c r="T32" i="106"/>
  <c r="AP65" i="105"/>
  <c r="AR32" i="105"/>
  <c r="AP32" i="105"/>
  <c r="W59" i="105"/>
  <c r="AG54" i="105"/>
  <c r="BD53" i="105"/>
  <c r="W263" i="105"/>
  <c r="BD54" i="105"/>
  <c r="AZ65" i="105"/>
  <c r="AZ68" i="105"/>
  <c r="AZ271" i="105"/>
  <c r="AZ278" i="105"/>
  <c r="AZ276" i="105"/>
  <c r="AO53" i="105"/>
  <c r="AH53" i="105"/>
  <c r="AH268" i="105"/>
  <c r="AH265" i="105"/>
  <c r="AH274" i="105"/>
  <c r="AH283" i="105"/>
  <c r="AH298" i="105" s="1"/>
  <c r="AH300" i="105" s="1" a="1"/>
  <c r="AH300" i="105" s="1"/>
  <c r="AU32" i="105"/>
  <c r="W228" i="105"/>
  <c r="W281" i="105"/>
  <c r="AZ267" i="105"/>
  <c r="AZ269" i="105"/>
  <c r="AH54" i="105"/>
  <c r="AH272" i="105"/>
  <c r="AH270" i="105"/>
  <c r="AH278" i="105"/>
  <c r="V165" i="105"/>
  <c r="V13" i="105" s="1"/>
  <c r="AT165" i="105"/>
  <c r="AT13" i="105" s="1"/>
  <c r="W235" i="105"/>
  <c r="W304" i="105"/>
  <c r="AZ265" i="105"/>
  <c r="AZ268" i="105"/>
  <c r="AZ274" i="105"/>
  <c r="AH276" i="105"/>
  <c r="AH267" i="105"/>
  <c r="W38" i="105"/>
  <c r="BE68" i="104"/>
  <c r="AH65" i="104"/>
  <c r="AQ68" i="104"/>
  <c r="U68" i="104"/>
  <c r="U269" i="104"/>
  <c r="U271" i="104"/>
  <c r="U291" i="104"/>
  <c r="AQ65" i="104"/>
  <c r="R54" i="104"/>
  <c r="U265" i="104"/>
  <c r="U268" i="104"/>
  <c r="U276" i="104"/>
  <c r="BG54" i="104"/>
  <c r="AN53" i="104"/>
  <c r="U270" i="104"/>
  <c r="U272" i="104"/>
  <c r="U278" i="104"/>
  <c r="AF272" i="103"/>
  <c r="BE54" i="103"/>
  <c r="AF271" i="103"/>
  <c r="U283" i="103"/>
  <c r="U287" i="103" s="1" a="1"/>
  <c r="U287" i="103" s="1"/>
  <c r="AS32" i="103"/>
  <c r="AH276" i="103"/>
  <c r="AR68" i="103"/>
  <c r="U267" i="103"/>
  <c r="BC29" i="103"/>
  <c r="BC14" i="103" s="1"/>
  <c r="U265" i="103"/>
  <c r="U271" i="103"/>
  <c r="AH268" i="103"/>
  <c r="AY29" i="103"/>
  <c r="AY4" i="103"/>
  <c r="U269" i="103"/>
  <c r="U270" i="103"/>
  <c r="U278" i="103"/>
  <c r="U291" i="103"/>
  <c r="BE29" i="103"/>
  <c r="BE14" i="103" s="1"/>
  <c r="BD29" i="103"/>
  <c r="AH283" i="103"/>
  <c r="AH292" i="103" s="1"/>
  <c r="AY8" i="103"/>
  <c r="AT32" i="103"/>
  <c r="BF29" i="103"/>
  <c r="BF14" i="103" s="1"/>
  <c r="U274" i="103"/>
  <c r="U276" i="103"/>
  <c r="BA29" i="103"/>
  <c r="AZ29" i="103"/>
  <c r="AZ189" i="103" s="1"/>
  <c r="AZ14" i="103" s="1"/>
  <c r="W29" i="107"/>
  <c r="W190" i="107" s="1"/>
  <c r="J24" i="107"/>
  <c r="AU54" i="107"/>
  <c r="U29" i="107"/>
  <c r="U14" i="107" s="1"/>
  <c r="O4" i="107"/>
  <c r="T29" i="107"/>
  <c r="AY54" i="107"/>
  <c r="S29" i="107"/>
  <c r="S14" i="107" s="1"/>
  <c r="Q29" i="107"/>
  <c r="O5" i="107"/>
  <c r="P29" i="107"/>
  <c r="O29" i="107"/>
  <c r="O3" i="107"/>
  <c r="AH29" i="106"/>
  <c r="AH14" i="106" s="1"/>
  <c r="AR54" i="106"/>
  <c r="AA8" i="106"/>
  <c r="AG29" i="106"/>
  <c r="AG14" i="106" s="1"/>
  <c r="AA29" i="106"/>
  <c r="AF29" i="106"/>
  <c r="AC29" i="106"/>
  <c r="AB29" i="106"/>
  <c r="BB298" i="106"/>
  <c r="BB297" i="106" s="1"/>
  <c r="J24" i="106"/>
  <c r="AA3" i="106"/>
  <c r="AA5" i="106"/>
  <c r="AF29" i="105"/>
  <c r="AE29" i="105"/>
  <c r="AE14" i="105" s="1"/>
  <c r="AC29" i="105"/>
  <c r="AH29" i="105"/>
  <c r="AH14" i="105" s="1"/>
  <c r="AA5" i="105"/>
  <c r="AB29" i="105"/>
  <c r="AA29" i="105"/>
  <c r="AA3" i="105"/>
  <c r="T53" i="105"/>
  <c r="AD29" i="105"/>
  <c r="AD14" i="105" s="1"/>
  <c r="AA4" i="105"/>
  <c r="BD54" i="104"/>
  <c r="AH53" i="104"/>
  <c r="AU54" i="104"/>
  <c r="BE53" i="104"/>
  <c r="U29" i="104"/>
  <c r="U14" i="104" s="1"/>
  <c r="T29" i="104"/>
  <c r="AC53" i="104"/>
  <c r="O29" i="104"/>
  <c r="O5" i="104"/>
  <c r="V29" i="104"/>
  <c r="V14" i="104" s="1"/>
  <c r="Q29" i="104"/>
  <c r="BD53" i="104"/>
  <c r="P29" i="104"/>
  <c r="V53" i="104"/>
  <c r="BE32" i="105"/>
  <c r="AS270" i="106"/>
  <c r="AQ265" i="106"/>
  <c r="AQ270" i="106"/>
  <c r="BG268" i="106"/>
  <c r="BA65" i="106"/>
  <c r="BA53" i="106"/>
  <c r="BA271" i="106"/>
  <c r="BE291" i="107"/>
  <c r="AP269" i="107"/>
  <c r="BD276" i="107"/>
  <c r="AS68" i="107"/>
  <c r="AO269" i="107"/>
  <c r="AR271" i="107"/>
  <c r="AE235" i="107"/>
  <c r="V165" i="107"/>
  <c r="V13" i="107" s="1"/>
  <c r="AU53" i="103"/>
  <c r="AB54" i="103"/>
  <c r="AH32" i="103"/>
  <c r="AI274" i="103"/>
  <c r="AH267" i="103"/>
  <c r="AH272" i="103"/>
  <c r="AM54" i="104"/>
  <c r="AC283" i="104"/>
  <c r="AC298" i="104" s="1"/>
  <c r="AC300" i="104" s="1" a="1"/>
  <c r="AC300" i="104" s="1"/>
  <c r="AP68" i="104"/>
  <c r="AT65" i="104"/>
  <c r="AS291" i="106"/>
  <c r="BB285" i="106" a="1"/>
  <c r="BB285" i="106" s="1"/>
  <c r="AQ267" i="106"/>
  <c r="AQ291" i="106"/>
  <c r="BG276" i="106"/>
  <c r="BA283" i="106"/>
  <c r="BA301" i="106" s="1"/>
  <c r="AQ272" i="107"/>
  <c r="AP270" i="107"/>
  <c r="AZ283" i="107"/>
  <c r="AZ301" i="107" s="1"/>
  <c r="AS267" i="107"/>
  <c r="AO265" i="107"/>
  <c r="BG265" i="107"/>
  <c r="V268" i="107"/>
  <c r="AZ68" i="103"/>
  <c r="BB66" i="103"/>
  <c r="AT65" i="103"/>
  <c r="AU54" i="103"/>
  <c r="AF270" i="103"/>
  <c r="AH162" i="103"/>
  <c r="AH205" i="103" s="1"/>
  <c r="AH207" i="103" s="1"/>
  <c r="BF162" i="103"/>
  <c r="AD32" i="103"/>
  <c r="AI267" i="103"/>
  <c r="AE274" i="103"/>
  <c r="AE267" i="103"/>
  <c r="AE272" i="103"/>
  <c r="AH265" i="103"/>
  <c r="AH271" i="103"/>
  <c r="AH269" i="103"/>
  <c r="AH291" i="103"/>
  <c r="AD271" i="103"/>
  <c r="AD283" i="103"/>
  <c r="AD298" i="103" s="1"/>
  <c r="AR68" i="104"/>
  <c r="BG270" i="104"/>
  <c r="BG274" i="104"/>
  <c r="AC267" i="104"/>
  <c r="AI66" i="104"/>
  <c r="AZ54" i="104"/>
  <c r="AD53" i="104"/>
  <c r="AY53" i="104"/>
  <c r="AI269" i="104"/>
  <c r="AI271" i="104"/>
  <c r="AI276" i="104"/>
  <c r="AI65" i="104"/>
  <c r="AQ268" i="106"/>
  <c r="AQ274" i="106"/>
  <c r="BG68" i="106"/>
  <c r="BG278" i="106"/>
  <c r="AG267" i="106"/>
  <c r="AQ65" i="107"/>
  <c r="AQ68" i="107"/>
  <c r="BA271" i="107"/>
  <c r="AP271" i="107"/>
  <c r="BD268" i="107"/>
  <c r="AZ270" i="107"/>
  <c r="AS272" i="107"/>
  <c r="AO271" i="107"/>
  <c r="AR285" i="107" a="1"/>
  <c r="AR285" i="107" s="1"/>
  <c r="BG271" i="107"/>
  <c r="AG276" i="107"/>
  <c r="V265" i="107"/>
  <c r="AR66" i="103"/>
  <c r="AH65" i="103"/>
  <c r="AI272" i="103"/>
  <c r="AE265" i="103"/>
  <c r="AE271" i="103"/>
  <c r="AH270" i="103"/>
  <c r="AH278" i="103"/>
  <c r="AD265" i="103"/>
  <c r="AD268" i="103"/>
  <c r="T65" i="104"/>
  <c r="W54" i="104"/>
  <c r="AP53" i="104"/>
  <c r="AC269" i="104"/>
  <c r="V165" i="104"/>
  <c r="V13" i="104" s="1"/>
  <c r="AT165" i="104"/>
  <c r="AT13" i="104" s="1"/>
  <c r="W68" i="104"/>
  <c r="AP54" i="104"/>
  <c r="AT32" i="104"/>
  <c r="AI265" i="104"/>
  <c r="AI268" i="104"/>
  <c r="AS283" i="106"/>
  <c r="AS301" i="106" s="1"/>
  <c r="AQ278" i="106"/>
  <c r="AQ276" i="106"/>
  <c r="AI53" i="106"/>
  <c r="BD269" i="107"/>
  <c r="AZ271" i="107"/>
  <c r="AO65" i="107"/>
  <c r="BG283" i="107"/>
  <c r="BG287" i="107" s="1" a="1"/>
  <c r="BG287" i="107" s="1"/>
  <c r="AR265" i="107"/>
  <c r="V267" i="107"/>
  <c r="AC267" i="106"/>
  <c r="BA135" i="107"/>
  <c r="BA202" i="107" s="1"/>
  <c r="AE54" i="107"/>
  <c r="W218" i="107"/>
  <c r="J73" i="107"/>
  <c r="AU27" i="107"/>
  <c r="AU26" i="107"/>
  <c r="AU270" i="107"/>
  <c r="AN53" i="107"/>
  <c r="AI219" i="107"/>
  <c r="Y218" i="107"/>
  <c r="AH291" i="107"/>
  <c r="AH272" i="107"/>
  <c r="AH267" i="107"/>
  <c r="AH270" i="107"/>
  <c r="AH32" i="107"/>
  <c r="AH268" i="107"/>
  <c r="AH265" i="107"/>
  <c r="AH65" i="107"/>
  <c r="AH274" i="107"/>
  <c r="AH278" i="107"/>
  <c r="AH283" i="107"/>
  <c r="AH285" i="107" s="1" a="1"/>
  <c r="AH285" i="107" s="1"/>
  <c r="AD68" i="103"/>
  <c r="BC53" i="103"/>
  <c r="AF269" i="103"/>
  <c r="AF276" i="103"/>
  <c r="AF278" i="103"/>
  <c r="AR65" i="103"/>
  <c r="AI68" i="103"/>
  <c r="AI265" i="103"/>
  <c r="AI271" i="103"/>
  <c r="AI283" i="103"/>
  <c r="AI298" i="103" s="1"/>
  <c r="AT53" i="104"/>
  <c r="AC271" i="104"/>
  <c r="AC265" i="104"/>
  <c r="AC291" i="104"/>
  <c r="AC65" i="104"/>
  <c r="BC54" i="104"/>
  <c r="BC53" i="104"/>
  <c r="AG53" i="104"/>
  <c r="AT68" i="105"/>
  <c r="AN66" i="105"/>
  <c r="AE53" i="105"/>
  <c r="AZ298" i="105"/>
  <c r="AZ297" i="105" s="1"/>
  <c r="W278" i="105"/>
  <c r="W271" i="105"/>
  <c r="W274" i="105"/>
  <c r="AY53" i="105"/>
  <c r="AY56" i="105" s="1" a="1"/>
  <c r="AY56" i="105" s="1"/>
  <c r="V271" i="105"/>
  <c r="V278" i="105"/>
  <c r="V291" i="105"/>
  <c r="AT65" i="105"/>
  <c r="AT32" i="105"/>
  <c r="BB68" i="106"/>
  <c r="W68" i="106"/>
  <c r="AS267" i="106"/>
  <c r="AS276" i="106"/>
  <c r="AU65" i="106"/>
  <c r="AF54" i="106"/>
  <c r="AQ269" i="106"/>
  <c r="AQ272" i="106"/>
  <c r="V32" i="106"/>
  <c r="AY53" i="106"/>
  <c r="AY56" i="106" s="1" a="1"/>
  <c r="AY56" i="106" s="1"/>
  <c r="AG270" i="106"/>
  <c r="AC54" i="106"/>
  <c r="AC265" i="106"/>
  <c r="AC271" i="106"/>
  <c r="AI54" i="106"/>
  <c r="AT53" i="107"/>
  <c r="AA54" i="107"/>
  <c r="BE32" i="107"/>
  <c r="AQ32" i="107"/>
  <c r="AQ291" i="107"/>
  <c r="AQ283" i="107"/>
  <c r="AQ268" i="107"/>
  <c r="AQ267" i="107"/>
  <c r="AQ276" i="107"/>
  <c r="AQ274" i="107"/>
  <c r="AQ270" i="107"/>
  <c r="AQ269" i="107"/>
  <c r="AQ278" i="107"/>
  <c r="W276" i="107"/>
  <c r="W269" i="107"/>
  <c r="W283" i="107"/>
  <c r="W298" i="107" s="1"/>
  <c r="W270" i="107"/>
  <c r="W272" i="107"/>
  <c r="W278" i="107"/>
  <c r="W68" i="107"/>
  <c r="W291" i="107"/>
  <c r="W265" i="107"/>
  <c r="W268" i="107"/>
  <c r="W271" i="107"/>
  <c r="W65" i="107"/>
  <c r="W313" i="107"/>
  <c r="U313" i="107"/>
  <c r="T313" i="107"/>
  <c r="V313" i="107"/>
  <c r="T251" i="107"/>
  <c r="W251" i="107"/>
  <c r="V251" i="107"/>
  <c r="U251" i="107"/>
  <c r="V174" i="107"/>
  <c r="BB287" i="107" a="1"/>
  <c r="BB287" i="107" s="1"/>
  <c r="BB292" i="107"/>
  <c r="BB286" i="107" a="1"/>
  <c r="BB286" i="107" s="1"/>
  <c r="BB301" i="107"/>
  <c r="AU68" i="107"/>
  <c r="AU269" i="107"/>
  <c r="AU276" i="107"/>
  <c r="AQ271" i="107"/>
  <c r="AD54" i="107"/>
  <c r="AF68" i="107"/>
  <c r="BA65" i="107"/>
  <c r="BA283" i="107"/>
  <c r="BA285" i="107" s="1" a="1"/>
  <c r="BA285" i="107" s="1"/>
  <c r="AT274" i="107"/>
  <c r="AN54" i="107"/>
  <c r="AH269" i="107"/>
  <c r="W274" i="107"/>
  <c r="BC65" i="107"/>
  <c r="AC269" i="107"/>
  <c r="AA54" i="106"/>
  <c r="BA54" i="107"/>
  <c r="AU291" i="107"/>
  <c r="AU265" i="107"/>
  <c r="AU272" i="107"/>
  <c r="AU267" i="107"/>
  <c r="AU32" i="107"/>
  <c r="AU313" i="107"/>
  <c r="AQ313" i="107"/>
  <c r="AT313" i="107"/>
  <c r="AP313" i="107"/>
  <c r="AS313" i="107"/>
  <c r="AO313" i="107"/>
  <c r="AR313" i="107"/>
  <c r="AR251" i="107"/>
  <c r="AU251" i="107"/>
  <c r="AQ251" i="107"/>
  <c r="AT251" i="107"/>
  <c r="AP251" i="107"/>
  <c r="AS251" i="107"/>
  <c r="AO251" i="107"/>
  <c r="AT174" i="107"/>
  <c r="AB26" i="107"/>
  <c r="AB27" i="107"/>
  <c r="BG53" i="107"/>
  <c r="AC271" i="107"/>
  <c r="AF274" i="103"/>
  <c r="AF283" i="103"/>
  <c r="AF301" i="103" s="1"/>
  <c r="AF291" i="103"/>
  <c r="BC54" i="103"/>
  <c r="AI65" i="103"/>
  <c r="AI270" i="103"/>
  <c r="AI278" i="103"/>
  <c r="AG54" i="104"/>
  <c r="AC268" i="104"/>
  <c r="AC270" i="104"/>
  <c r="BA65" i="104"/>
  <c r="AI298" i="104"/>
  <c r="AI300" i="104" s="1" a="1"/>
  <c r="AI300" i="104" s="1"/>
  <c r="V65" i="105"/>
  <c r="BG32" i="105"/>
  <c r="V32" i="105"/>
  <c r="AZ53" i="105"/>
  <c r="W265" i="105"/>
  <c r="W268" i="105"/>
  <c r="BB32" i="105"/>
  <c r="V265" i="105"/>
  <c r="V272" i="105"/>
  <c r="V283" i="105"/>
  <c r="V292" i="105" s="1"/>
  <c r="AT53" i="105"/>
  <c r="AO65" i="106"/>
  <c r="AC32" i="106"/>
  <c r="AS269" i="106"/>
  <c r="AS278" i="106"/>
  <c r="BE32" i="106"/>
  <c r="AU268" i="106"/>
  <c r="AF285" i="106" a="1"/>
  <c r="AF285" i="106" s="1"/>
  <c r="AF298" i="106"/>
  <c r="AF297" i="106" s="1"/>
  <c r="AC65" i="106"/>
  <c r="AE53" i="106"/>
  <c r="AH68" i="107"/>
  <c r="AP53" i="107"/>
  <c r="T54" i="107"/>
  <c r="T53" i="107"/>
  <c r="BE274" i="107"/>
  <c r="BE272" i="107"/>
  <c r="BE267" i="107"/>
  <c r="BE276" i="107"/>
  <c r="BE269" i="107"/>
  <c r="BE268" i="107"/>
  <c r="BE270" i="107"/>
  <c r="BE278" i="107"/>
  <c r="BE68" i="107"/>
  <c r="AK218" i="107"/>
  <c r="AU219" i="107"/>
  <c r="BF27" i="107"/>
  <c r="BF26" i="107"/>
  <c r="BF68" i="107"/>
  <c r="AM27" i="107"/>
  <c r="AM26" i="107"/>
  <c r="AM67" i="107"/>
  <c r="Q27" i="107"/>
  <c r="Q26" i="107"/>
  <c r="AU271" i="107"/>
  <c r="AU274" i="107"/>
  <c r="AM66" i="107"/>
  <c r="BE65" i="107"/>
  <c r="BE283" i="107"/>
  <c r="BE301" i="107" s="1"/>
  <c r="AT270" i="107"/>
  <c r="J71" i="107"/>
  <c r="P54" i="107"/>
  <c r="AC32" i="107"/>
  <c r="AO27" i="107"/>
  <c r="AO26" i="107"/>
  <c r="AO66" i="107"/>
  <c r="S27" i="107"/>
  <c r="S26" i="107"/>
  <c r="S66" i="107"/>
  <c r="AE53" i="107"/>
  <c r="AQ54" i="107"/>
  <c r="U53" i="107"/>
  <c r="BB65" i="107"/>
  <c r="BB291" i="107"/>
  <c r="BB272" i="107"/>
  <c r="BB271" i="107"/>
  <c r="BB265" i="107"/>
  <c r="BB32" i="107"/>
  <c r="BG27" i="107"/>
  <c r="BG26" i="107"/>
  <c r="BG66" i="107"/>
  <c r="AN27" i="107"/>
  <c r="AN26" i="107"/>
  <c r="AN67" i="107"/>
  <c r="AN56" i="107" a="1"/>
  <c r="AN56" i="107" s="1"/>
  <c r="R26" i="107"/>
  <c r="R27" i="107"/>
  <c r="AQ53" i="107"/>
  <c r="AU283" i="106"/>
  <c r="AU298" i="106" s="1"/>
  <c r="AC265" i="107"/>
  <c r="AC272" i="107"/>
  <c r="AC267" i="107"/>
  <c r="AC65" i="107"/>
  <c r="AC283" i="107"/>
  <c r="AC301" i="107" s="1"/>
  <c r="AC268" i="107"/>
  <c r="AC276" i="107"/>
  <c r="AC274" i="107"/>
  <c r="AC278" i="107"/>
  <c r="AU65" i="107"/>
  <c r="AU66" i="107"/>
  <c r="AU268" i="107"/>
  <c r="BC283" i="107"/>
  <c r="BC301" i="107" s="1"/>
  <c r="BC278" i="107"/>
  <c r="BC270" i="107"/>
  <c r="BC68" i="107"/>
  <c r="BC32" i="107"/>
  <c r="BC272" i="107"/>
  <c r="BC271" i="107"/>
  <c r="BC265" i="107"/>
  <c r="BC291" i="107"/>
  <c r="BC268" i="107"/>
  <c r="BC267" i="107"/>
  <c r="BC274" i="107"/>
  <c r="AC68" i="107"/>
  <c r="AT165" i="107"/>
  <c r="AT13" i="107" s="1"/>
  <c r="BD65" i="103"/>
  <c r="AC54" i="103"/>
  <c r="AI32" i="103"/>
  <c r="AF268" i="103"/>
  <c r="AF265" i="103"/>
  <c r="AF267" i="103"/>
  <c r="AI269" i="103"/>
  <c r="AI276" i="103"/>
  <c r="AI268" i="103"/>
  <c r="AR32" i="103"/>
  <c r="BF65" i="104"/>
  <c r="AD65" i="104"/>
  <c r="AC272" i="104"/>
  <c r="AC278" i="104"/>
  <c r="AC276" i="104"/>
  <c r="AO65" i="104"/>
  <c r="W65" i="105"/>
  <c r="W270" i="105"/>
  <c r="W276" i="105"/>
  <c r="V68" i="105"/>
  <c r="V270" i="105"/>
  <c r="V268" i="105"/>
  <c r="AU68" i="106"/>
  <c r="AU53" i="106"/>
  <c r="AS265" i="106"/>
  <c r="AS268" i="106"/>
  <c r="W65" i="106"/>
  <c r="BB301" i="106"/>
  <c r="AU278" i="106"/>
  <c r="AG54" i="106"/>
  <c r="AG283" i="106"/>
  <c r="AG298" i="106" s="1"/>
  <c r="BA68" i="106"/>
  <c r="BA269" i="106"/>
  <c r="BE53" i="107"/>
  <c r="BE54" i="107"/>
  <c r="AI53" i="107"/>
  <c r="AI54" i="107"/>
  <c r="BA265" i="107"/>
  <c r="BA272" i="107"/>
  <c r="BA267" i="107"/>
  <c r="BA274" i="107"/>
  <c r="BA268" i="107"/>
  <c r="BA276" i="107"/>
  <c r="BA269" i="107"/>
  <c r="BA278" i="107"/>
  <c r="BA68" i="107"/>
  <c r="AG291" i="107"/>
  <c r="AG270" i="107"/>
  <c r="AG269" i="107"/>
  <c r="AG271" i="107"/>
  <c r="AG68" i="107"/>
  <c r="AG32" i="107"/>
  <c r="AG265" i="107"/>
  <c r="AG272" i="107"/>
  <c r="AG267" i="107"/>
  <c r="AG65" i="107"/>
  <c r="AG283" i="107"/>
  <c r="AG285" i="107" s="1" a="1"/>
  <c r="AG285" i="107" s="1"/>
  <c r="AG268" i="107"/>
  <c r="AK171" i="107"/>
  <c r="AU172" i="107"/>
  <c r="W172" i="107"/>
  <c r="M171" i="107"/>
  <c r="BB27" i="107"/>
  <c r="BB26" i="107"/>
  <c r="BB66" i="107"/>
  <c r="AF26" i="107"/>
  <c r="AF27" i="107"/>
  <c r="AU278" i="107"/>
  <c r="AU283" i="107"/>
  <c r="AT271" i="107"/>
  <c r="AT265" i="107"/>
  <c r="AT269" i="107"/>
  <c r="AT291" i="107"/>
  <c r="AT267" i="107"/>
  <c r="AT272" i="107"/>
  <c r="AT276" i="107"/>
  <c r="AT283" i="107"/>
  <c r="AT285" i="107" s="1" a="1"/>
  <c r="AT285" i="107" s="1"/>
  <c r="AT268" i="107"/>
  <c r="V292" i="107"/>
  <c r="V287" i="107" a="1"/>
  <c r="V287" i="107" s="1"/>
  <c r="V286" i="107" a="1"/>
  <c r="V286" i="107" s="1"/>
  <c r="AT26" i="107"/>
  <c r="AT27" i="107"/>
  <c r="AT66" i="107"/>
  <c r="AA27" i="107"/>
  <c r="AA26" i="107"/>
  <c r="BE265" i="107"/>
  <c r="BA291" i="107"/>
  <c r="AT278" i="107"/>
  <c r="V301" i="107"/>
  <c r="U283" i="107"/>
  <c r="U298" i="107" s="1"/>
  <c r="U276" i="107"/>
  <c r="U274" i="107"/>
  <c r="U291" i="107"/>
  <c r="U278" i="107"/>
  <c r="U270" i="107"/>
  <c r="U269" i="107"/>
  <c r="U65" i="107"/>
  <c r="U32" i="107"/>
  <c r="U272" i="107"/>
  <c r="U271" i="107"/>
  <c r="U265" i="107"/>
  <c r="U68" i="107"/>
  <c r="AW171" i="107"/>
  <c r="BG172" i="107"/>
  <c r="AH276" i="107"/>
  <c r="W267" i="107"/>
  <c r="AR292" i="107"/>
  <c r="AR287" i="107" a="1"/>
  <c r="AR287" i="107" s="1"/>
  <c r="AR286" i="107" a="1"/>
  <c r="AR286" i="107" s="1"/>
  <c r="BC276" i="107"/>
  <c r="AG274" i="107"/>
  <c r="AC291" i="107"/>
  <c r="AT65" i="107"/>
  <c r="W32" i="107"/>
  <c r="U54" i="107"/>
  <c r="AP26" i="107"/>
  <c r="AP27" i="107"/>
  <c r="T27" i="107"/>
  <c r="T26" i="107"/>
  <c r="AP274" i="107"/>
  <c r="AP276" i="107"/>
  <c r="AP278" i="107"/>
  <c r="BD65" i="107"/>
  <c r="AH54" i="107"/>
  <c r="V32" i="107"/>
  <c r="BG219" i="107"/>
  <c r="AW218" i="107"/>
  <c r="BE313" i="107"/>
  <c r="BA313" i="107"/>
  <c r="BD313" i="107"/>
  <c r="AZ313" i="107"/>
  <c r="BG313" i="107"/>
  <c r="BC313" i="107"/>
  <c r="BF313" i="107"/>
  <c r="BB313" i="107"/>
  <c r="BF251" i="107"/>
  <c r="BB251" i="107"/>
  <c r="BE251" i="107"/>
  <c r="BA251" i="107"/>
  <c r="BD251" i="107"/>
  <c r="AZ251" i="107"/>
  <c r="BG251" i="107"/>
  <c r="BC251" i="107"/>
  <c r="AY251" i="107"/>
  <c r="BF174" i="107"/>
  <c r="BD26" i="107"/>
  <c r="BD27" i="107"/>
  <c r="AH27" i="107"/>
  <c r="AH26" i="107"/>
  <c r="O27" i="107"/>
  <c r="O26" i="107"/>
  <c r="BD272" i="107"/>
  <c r="BD274" i="107"/>
  <c r="BD267" i="107"/>
  <c r="BD291" i="107"/>
  <c r="AZ269" i="107"/>
  <c r="AZ276" i="107"/>
  <c r="AZ278" i="107"/>
  <c r="AS65" i="107"/>
  <c r="AS269" i="107"/>
  <c r="AS265" i="107"/>
  <c r="AS271" i="107"/>
  <c r="AO274" i="107"/>
  <c r="AO270" i="107"/>
  <c r="AO278" i="107"/>
  <c r="AO291" i="107"/>
  <c r="AG54" i="107"/>
  <c r="AF32" i="107"/>
  <c r="BC27" i="107"/>
  <c r="BC26" i="107"/>
  <c r="AG27" i="107"/>
  <c r="AG26" i="107"/>
  <c r="BG65" i="107"/>
  <c r="BG269" i="107"/>
  <c r="BG270" i="107"/>
  <c r="BG278" i="107"/>
  <c r="AY66" i="107"/>
  <c r="AR270" i="107"/>
  <c r="AR278" i="107"/>
  <c r="AR269" i="107"/>
  <c r="AR291" i="107"/>
  <c r="V272" i="107"/>
  <c r="V270" i="107"/>
  <c r="V271" i="107"/>
  <c r="V291" i="107"/>
  <c r="W54" i="107"/>
  <c r="BE27" i="107"/>
  <c r="BE26" i="107"/>
  <c r="AI27" i="107"/>
  <c r="AI26" i="107"/>
  <c r="P27" i="107"/>
  <c r="P26" i="107"/>
  <c r="AP268" i="107"/>
  <c r="AP283" i="107"/>
  <c r="AZ26" i="107"/>
  <c r="AZ27" i="107"/>
  <c r="AD27" i="107"/>
  <c r="AD26" i="107"/>
  <c r="BD283" i="107"/>
  <c r="BD298" i="107" s="1"/>
  <c r="BD265" i="107"/>
  <c r="BD271" i="107"/>
  <c r="AZ268" i="107"/>
  <c r="AZ274" i="107"/>
  <c r="AS274" i="107"/>
  <c r="AS270" i="107"/>
  <c r="AS278" i="107"/>
  <c r="AS291" i="107"/>
  <c r="AO283" i="107"/>
  <c r="AO298" i="107" s="1"/>
  <c r="AO276" i="107"/>
  <c r="AO268" i="107"/>
  <c r="AC54" i="107"/>
  <c r="AH29" i="107"/>
  <c r="AD29" i="107"/>
  <c r="AA8" i="107"/>
  <c r="AG29" i="107"/>
  <c r="AC29" i="107"/>
  <c r="AA5" i="107"/>
  <c r="AF29" i="107"/>
  <c r="AB29" i="107"/>
  <c r="AI29" i="107"/>
  <c r="AE29" i="107"/>
  <c r="AA29" i="107"/>
  <c r="AA4" i="107"/>
  <c r="AA3" i="107"/>
  <c r="AY27" i="107"/>
  <c r="AY26" i="107"/>
  <c r="AC27" i="107"/>
  <c r="AC26" i="107"/>
  <c r="BG274" i="107"/>
  <c r="BG276" i="107"/>
  <c r="BG268" i="107"/>
  <c r="BG291" i="107"/>
  <c r="BC66" i="107"/>
  <c r="AR276" i="107"/>
  <c r="AR268" i="107"/>
  <c r="AR274" i="107"/>
  <c r="AR298" i="107"/>
  <c r="AG66" i="107"/>
  <c r="V269" i="107"/>
  <c r="V276" i="107"/>
  <c r="V278" i="107"/>
  <c r="V298" i="107"/>
  <c r="AH165" i="107"/>
  <c r="AH13" i="107" s="1"/>
  <c r="BF165" i="107"/>
  <c r="BF13" i="107" s="1"/>
  <c r="BD68" i="107"/>
  <c r="S54" i="107"/>
  <c r="T68" i="107"/>
  <c r="BF65" i="107"/>
  <c r="AQ27" i="107"/>
  <c r="AQ26" i="107"/>
  <c r="U27" i="107"/>
  <c r="U26" i="107"/>
  <c r="V162" i="107"/>
  <c r="AT162" i="107"/>
  <c r="AS54" i="107"/>
  <c r="BD32" i="107"/>
  <c r="BA27" i="107"/>
  <c r="BA26" i="107"/>
  <c r="AE27" i="107"/>
  <c r="AE26" i="107"/>
  <c r="AP272" i="107"/>
  <c r="AP265" i="107"/>
  <c r="AP267" i="107"/>
  <c r="AI66" i="107"/>
  <c r="AE66" i="107"/>
  <c r="AG313" i="107"/>
  <c r="AC313" i="107"/>
  <c r="AI313" i="107"/>
  <c r="AE313" i="107"/>
  <c r="AD313" i="107"/>
  <c r="AH313" i="107"/>
  <c r="AF313" i="107"/>
  <c r="AH251" i="107"/>
  <c r="AD251" i="107"/>
  <c r="AG251" i="107"/>
  <c r="AC251" i="107"/>
  <c r="AF251" i="107"/>
  <c r="AI251" i="107"/>
  <c r="AE251" i="107"/>
  <c r="AH174" i="107"/>
  <c r="AI172" i="107"/>
  <c r="Y171" i="107"/>
  <c r="AS27" i="107"/>
  <c r="AS26" i="107"/>
  <c r="W27" i="107"/>
  <c r="W26" i="107"/>
  <c r="BD270" i="107"/>
  <c r="AZ272" i="107"/>
  <c r="AZ265" i="107"/>
  <c r="AZ267" i="107"/>
  <c r="AS66" i="107"/>
  <c r="AS283" i="107"/>
  <c r="AS276" i="107"/>
  <c r="AO68" i="107"/>
  <c r="AO267" i="107"/>
  <c r="AP66" i="107"/>
  <c r="BF29" i="107"/>
  <c r="BB29" i="107"/>
  <c r="BE29" i="107"/>
  <c r="BA29" i="107"/>
  <c r="AY4" i="107"/>
  <c r="AY3" i="107"/>
  <c r="BD29" i="107"/>
  <c r="AZ29" i="107"/>
  <c r="AY8" i="107"/>
  <c r="BG29" i="107"/>
  <c r="BC29" i="107"/>
  <c r="AY29" i="107"/>
  <c r="AY5" i="107"/>
  <c r="AR27" i="107"/>
  <c r="AR26" i="107"/>
  <c r="V26" i="107"/>
  <c r="V27" i="107"/>
  <c r="BG68" i="107"/>
  <c r="BG267" i="107"/>
  <c r="AR267" i="107"/>
  <c r="AR272" i="107"/>
  <c r="AC66" i="107"/>
  <c r="V274" i="107"/>
  <c r="V285" i="107" a="1"/>
  <c r="V285" i="107" s="1"/>
  <c r="AZ66" i="107"/>
  <c r="AU270" i="105"/>
  <c r="AF271" i="105"/>
  <c r="AF272" i="105"/>
  <c r="AF283" i="105"/>
  <c r="AF285" i="105" s="1" a="1"/>
  <c r="AF285" i="105" s="1"/>
  <c r="BA135" i="106"/>
  <c r="AI172" i="106"/>
  <c r="Y171" i="106"/>
  <c r="AO53" i="106"/>
  <c r="S54" i="106"/>
  <c r="S53" i="106"/>
  <c r="BE313" i="106"/>
  <c r="BA313" i="106"/>
  <c r="BG313" i="106"/>
  <c r="BC313" i="106"/>
  <c r="AZ313" i="106"/>
  <c r="BF313" i="106"/>
  <c r="BD313" i="106"/>
  <c r="BB313" i="106"/>
  <c r="BD251" i="106"/>
  <c r="AZ251" i="106"/>
  <c r="BG251" i="106"/>
  <c r="BC251" i="106"/>
  <c r="AY251" i="106"/>
  <c r="BF251" i="106"/>
  <c r="BB251" i="106"/>
  <c r="BE251" i="106"/>
  <c r="BA251" i="106"/>
  <c r="BF174" i="106"/>
  <c r="AG313" i="106"/>
  <c r="AC313" i="106"/>
  <c r="AI313" i="106"/>
  <c r="AE313" i="106"/>
  <c r="AF313" i="106"/>
  <c r="AD313" i="106"/>
  <c r="AH313" i="106"/>
  <c r="AF251" i="106"/>
  <c r="AI251" i="106"/>
  <c r="AE251" i="106"/>
  <c r="AH251" i="106"/>
  <c r="AD251" i="106"/>
  <c r="AG251" i="106"/>
  <c r="AC251" i="106"/>
  <c r="AH174" i="106"/>
  <c r="W218" i="106"/>
  <c r="J73" i="106"/>
  <c r="AO265" i="106"/>
  <c r="AO272" i="106"/>
  <c r="AU274" i="104"/>
  <c r="AU68" i="105"/>
  <c r="AU268" i="105"/>
  <c r="AO135" i="106"/>
  <c r="AO202" i="106" s="1"/>
  <c r="AI219" i="106"/>
  <c r="Y218" i="106"/>
  <c r="BD53" i="106"/>
  <c r="BD54" i="106"/>
  <c r="AH53" i="106"/>
  <c r="O54" i="106"/>
  <c r="AD54" i="106"/>
  <c r="AO27" i="106"/>
  <c r="AO26" i="106"/>
  <c r="AO66" i="106"/>
  <c r="S27" i="106"/>
  <c r="S26" i="106"/>
  <c r="AO267" i="106"/>
  <c r="AP292" i="106"/>
  <c r="AP287" i="106" a="1"/>
  <c r="AP287" i="106" s="1"/>
  <c r="AP286" i="106" a="1"/>
  <c r="AP286" i="106" s="1"/>
  <c r="AP298" i="106"/>
  <c r="AD270" i="103"/>
  <c r="AD278" i="103"/>
  <c r="AD274" i="103"/>
  <c r="AE65" i="104"/>
  <c r="AZ285" i="105" a="1"/>
  <c r="AZ285" i="105" s="1"/>
  <c r="AU283" i="105"/>
  <c r="AU301" i="105" s="1"/>
  <c r="AZ53" i="106"/>
  <c r="AZ54" i="106"/>
  <c r="AO32" i="106"/>
  <c r="AO68" i="106"/>
  <c r="AO291" i="106"/>
  <c r="AO276" i="106"/>
  <c r="AO268" i="106"/>
  <c r="AO283" i="106"/>
  <c r="AO298" i="106" s="1"/>
  <c r="BD27" i="106"/>
  <c r="BD26" i="106"/>
  <c r="BD66" i="106"/>
  <c r="BD68" i="106"/>
  <c r="AH26" i="106"/>
  <c r="AH27" i="106"/>
  <c r="O27" i="106"/>
  <c r="O26" i="106"/>
  <c r="AO271" i="106"/>
  <c r="AQ54" i="106"/>
  <c r="AU65" i="104"/>
  <c r="W65" i="104"/>
  <c r="AE267" i="104"/>
  <c r="AE274" i="104"/>
  <c r="AS65" i="104"/>
  <c r="U65" i="104"/>
  <c r="AD54" i="105"/>
  <c r="AD269" i="105"/>
  <c r="AD276" i="105"/>
  <c r="AD65" i="105"/>
  <c r="BG54" i="105"/>
  <c r="BG53" i="105"/>
  <c r="AY67" i="105"/>
  <c r="AC66" i="105"/>
  <c r="AF267" i="105"/>
  <c r="AF269" i="105"/>
  <c r="AW171" i="106"/>
  <c r="BG172" i="106"/>
  <c r="AS53" i="106"/>
  <c r="W54" i="106"/>
  <c r="W53" i="106"/>
  <c r="U32" i="106"/>
  <c r="U278" i="106"/>
  <c r="U270" i="106"/>
  <c r="U267" i="106"/>
  <c r="U271" i="106"/>
  <c r="U265" i="106"/>
  <c r="U291" i="106"/>
  <c r="U272" i="106"/>
  <c r="U274" i="106"/>
  <c r="U283" i="106"/>
  <c r="U285" i="106" s="1" a="1"/>
  <c r="U285" i="106" s="1"/>
  <c r="U276" i="106"/>
  <c r="U268" i="106"/>
  <c r="U269" i="106"/>
  <c r="U68" i="106"/>
  <c r="AZ27" i="106"/>
  <c r="AZ26" i="106"/>
  <c r="AZ66" i="106"/>
  <c r="AZ68" i="106"/>
  <c r="AD26" i="106"/>
  <c r="AD27" i="106"/>
  <c r="AO274" i="106"/>
  <c r="AO269" i="106"/>
  <c r="AO278" i="106"/>
  <c r="BF285" i="106" a="1"/>
  <c r="BF285" i="106" s="1"/>
  <c r="AP301" i="106"/>
  <c r="AK218" i="106"/>
  <c r="AU219" i="106"/>
  <c r="AQ27" i="106"/>
  <c r="AQ26" i="106"/>
  <c r="U27" i="106"/>
  <c r="U26" i="106"/>
  <c r="BB292" i="106"/>
  <c r="BB287" i="106" a="1"/>
  <c r="BB287" i="106" s="1"/>
  <c r="BB286" i="106" a="1"/>
  <c r="BB286" i="106" s="1"/>
  <c r="AU270" i="106"/>
  <c r="AU269" i="106"/>
  <c r="AU276" i="106"/>
  <c r="AF292" i="106"/>
  <c r="AF287" i="106" a="1"/>
  <c r="AF287" i="106" s="1"/>
  <c r="AF286" i="106" a="1"/>
  <c r="AF286" i="106" s="1"/>
  <c r="V27" i="106"/>
  <c r="V26" i="106"/>
  <c r="BG274" i="106"/>
  <c r="BG269" i="106"/>
  <c r="BC65" i="106"/>
  <c r="BC53" i="106"/>
  <c r="BC265" i="106"/>
  <c r="BC268" i="106"/>
  <c r="BC283" i="106"/>
  <c r="AR68" i="106"/>
  <c r="AR267" i="106"/>
  <c r="AR276" i="106"/>
  <c r="AR272" i="106"/>
  <c r="AR291" i="106"/>
  <c r="AG271" i="106"/>
  <c r="AG278" i="106"/>
  <c r="AG274" i="106"/>
  <c r="AG291" i="106"/>
  <c r="AC268" i="106"/>
  <c r="AC278" i="106"/>
  <c r="AC276" i="106"/>
  <c r="AC291" i="106"/>
  <c r="V66" i="106"/>
  <c r="V269" i="106"/>
  <c r="V274" i="106"/>
  <c r="V278" i="106"/>
  <c r="BD29" i="106"/>
  <c r="AZ29" i="106"/>
  <c r="BG29" i="106"/>
  <c r="BC29" i="106"/>
  <c r="AY29" i="106"/>
  <c r="BF29" i="106"/>
  <c r="BB29" i="106"/>
  <c r="BA29" i="106"/>
  <c r="AY4" i="106"/>
  <c r="AY3" i="106"/>
  <c r="AY8" i="106"/>
  <c r="AY5" i="106"/>
  <c r="BE29" i="106"/>
  <c r="BE65" i="106"/>
  <c r="BE53" i="106"/>
  <c r="BE68" i="106"/>
  <c r="BE265" i="106"/>
  <c r="BE278" i="106"/>
  <c r="BE271" i="106"/>
  <c r="BE274" i="106"/>
  <c r="BA291" i="106"/>
  <c r="BA270" i="106"/>
  <c r="BA274" i="106"/>
  <c r="AT54" i="106"/>
  <c r="AP68" i="106"/>
  <c r="AP268" i="106"/>
  <c r="AP291" i="106"/>
  <c r="AP270" i="106"/>
  <c r="AP278" i="106"/>
  <c r="AI68" i="106"/>
  <c r="AI265" i="106"/>
  <c r="AI283" i="106"/>
  <c r="AI291" i="106"/>
  <c r="AE68" i="106"/>
  <c r="AE274" i="106"/>
  <c r="AE268" i="106"/>
  <c r="AE276" i="106"/>
  <c r="T265" i="106"/>
  <c r="T267" i="106"/>
  <c r="T276" i="106"/>
  <c r="T278" i="106"/>
  <c r="AC304" i="106"/>
  <c r="AC281" i="106"/>
  <c r="AC242" i="106"/>
  <c r="AC228" i="106"/>
  <c r="AC263" i="106"/>
  <c r="AC235" i="106"/>
  <c r="AC59" i="106"/>
  <c r="AC38" i="106"/>
  <c r="AH162" i="106"/>
  <c r="BF162" i="106"/>
  <c r="AS27" i="106"/>
  <c r="AS26" i="106"/>
  <c r="W27" i="106"/>
  <c r="W26" i="106"/>
  <c r="AS272" i="106"/>
  <c r="AS274" i="106"/>
  <c r="AS271" i="106"/>
  <c r="W265" i="106"/>
  <c r="W268" i="106"/>
  <c r="W270" i="106"/>
  <c r="W276" i="106"/>
  <c r="BG219" i="106"/>
  <c r="AW218" i="106"/>
  <c r="AU54" i="106"/>
  <c r="AB54" i="106"/>
  <c r="BF26" i="106"/>
  <c r="BF27" i="106"/>
  <c r="AM27" i="106"/>
  <c r="AM26" i="106"/>
  <c r="Q27" i="106"/>
  <c r="Q26" i="106"/>
  <c r="AU265" i="106"/>
  <c r="AU272" i="106"/>
  <c r="AU291" i="106"/>
  <c r="AQ271" i="106"/>
  <c r="AQ283" i="106"/>
  <c r="AQ301" i="106" s="1"/>
  <c r="BC27" i="106"/>
  <c r="BC26" i="106"/>
  <c r="BG65" i="106"/>
  <c r="BG53" i="106"/>
  <c r="BG265" i="106"/>
  <c r="BG272" i="106"/>
  <c r="BG283" i="106"/>
  <c r="BG285" i="106" s="1" a="1"/>
  <c r="BG285" i="106" s="1"/>
  <c r="BC66" i="106"/>
  <c r="BC54" i="106"/>
  <c r="BC272" i="106"/>
  <c r="BC270" i="106"/>
  <c r="BC271" i="106"/>
  <c r="BC291" i="106"/>
  <c r="AR65" i="106"/>
  <c r="AR53" i="106"/>
  <c r="AR265" i="106"/>
  <c r="AR269" i="106"/>
  <c r="AR271" i="106"/>
  <c r="AN53" i="106"/>
  <c r="AN56" i="106" s="1" a="1"/>
  <c r="AN56" i="106" s="1"/>
  <c r="AG68" i="106"/>
  <c r="AG268" i="106"/>
  <c r="AG272" i="106"/>
  <c r="AC68" i="106"/>
  <c r="AC270" i="106"/>
  <c r="AC272" i="106"/>
  <c r="AC283" i="106"/>
  <c r="AC298" i="106" s="1"/>
  <c r="V68" i="106"/>
  <c r="V65" i="106"/>
  <c r="V267" i="106"/>
  <c r="V265" i="106"/>
  <c r="V283" i="106"/>
  <c r="R54" i="106"/>
  <c r="R281" i="106"/>
  <c r="R304" i="106"/>
  <c r="R228" i="106"/>
  <c r="R263" i="106"/>
  <c r="R242" i="106"/>
  <c r="R235" i="106"/>
  <c r="R38" i="106"/>
  <c r="R59" i="106"/>
  <c r="AH165" i="106"/>
  <c r="AH13" i="106" s="1"/>
  <c r="BF165" i="106"/>
  <c r="BF13" i="106" s="1"/>
  <c r="BE54" i="106"/>
  <c r="BE268" i="106"/>
  <c r="BA265" i="106"/>
  <c r="BA278" i="106"/>
  <c r="AP53" i="106"/>
  <c r="AP304" i="106"/>
  <c r="AP281" i="106"/>
  <c r="AP263" i="106"/>
  <c r="AP242" i="106"/>
  <c r="AP235" i="106"/>
  <c r="AP228" i="106"/>
  <c r="AP38" i="106"/>
  <c r="AP59" i="106"/>
  <c r="AP272" i="106"/>
  <c r="AP269" i="106"/>
  <c r="AP276" i="106"/>
  <c r="AI65" i="106"/>
  <c r="AI272" i="106"/>
  <c r="AI268" i="106"/>
  <c r="AI271" i="106"/>
  <c r="AE65" i="106"/>
  <c r="AE265" i="106"/>
  <c r="AE272" i="106"/>
  <c r="AE283" i="106"/>
  <c r="T53" i="106"/>
  <c r="T68" i="106"/>
  <c r="T270" i="106"/>
  <c r="T269" i="106"/>
  <c r="T283" i="106"/>
  <c r="T298" i="106" s="1"/>
  <c r="AD14" i="106"/>
  <c r="AE14" i="106"/>
  <c r="AU172" i="106"/>
  <c r="AK171" i="106"/>
  <c r="W172" i="106"/>
  <c r="M171" i="106"/>
  <c r="J71" i="106"/>
  <c r="AU313" i="106"/>
  <c r="AQ313" i="106"/>
  <c r="AS313" i="106"/>
  <c r="AO313" i="106"/>
  <c r="AP313" i="106"/>
  <c r="AT313" i="106"/>
  <c r="AR313" i="106"/>
  <c r="AT251" i="106"/>
  <c r="AP251" i="106"/>
  <c r="AS251" i="106"/>
  <c r="AO251" i="106"/>
  <c r="AR251" i="106"/>
  <c r="AU251" i="106"/>
  <c r="AQ251" i="106"/>
  <c r="AT174" i="106"/>
  <c r="W313" i="106"/>
  <c r="U313" i="106"/>
  <c r="V313" i="106"/>
  <c r="T313" i="106"/>
  <c r="V251" i="106"/>
  <c r="U251" i="106"/>
  <c r="T251" i="106"/>
  <c r="W251" i="106"/>
  <c r="V174" i="106"/>
  <c r="V190" i="106" s="1"/>
  <c r="BB26" i="106"/>
  <c r="BB27" i="106"/>
  <c r="AF27" i="106"/>
  <c r="AF26" i="106"/>
  <c r="AU267" i="106"/>
  <c r="AU271" i="106"/>
  <c r="AU274" i="106"/>
  <c r="R14" i="106"/>
  <c r="AS68" i="106"/>
  <c r="AR26" i="106"/>
  <c r="AR27" i="106"/>
  <c r="BG54" i="106"/>
  <c r="BG267" i="106"/>
  <c r="BG270" i="106"/>
  <c r="BG271" i="106"/>
  <c r="BC68" i="106"/>
  <c r="BC267" i="106"/>
  <c r="BC276" i="106"/>
  <c r="BC278" i="106"/>
  <c r="AR304" i="106"/>
  <c r="AR281" i="106"/>
  <c r="AR235" i="106"/>
  <c r="AR228" i="106"/>
  <c r="AR263" i="106"/>
  <c r="AR242" i="106"/>
  <c r="AR59" i="106"/>
  <c r="AR38" i="106"/>
  <c r="AR274" i="106"/>
  <c r="AR278" i="106"/>
  <c r="AR283" i="106"/>
  <c r="AR285" i="106" s="1" a="1"/>
  <c r="AR285" i="106" s="1"/>
  <c r="AN304" i="106"/>
  <c r="AN281" i="106"/>
  <c r="AN235" i="106"/>
  <c r="AN228" i="106"/>
  <c r="AN263" i="106"/>
  <c r="AN242" i="106"/>
  <c r="AN59" i="106"/>
  <c r="AN38" i="106"/>
  <c r="AG265" i="106"/>
  <c r="AG269" i="106"/>
  <c r="AC269" i="106"/>
  <c r="AC274" i="106"/>
  <c r="V304" i="106"/>
  <c r="V281" i="106"/>
  <c r="V228" i="106"/>
  <c r="V242" i="106"/>
  <c r="V235" i="106"/>
  <c r="V263" i="106"/>
  <c r="V38" i="106"/>
  <c r="V59" i="106"/>
  <c r="V268" i="106"/>
  <c r="V270" i="106"/>
  <c r="V276" i="106"/>
  <c r="AR32" i="106"/>
  <c r="BE269" i="106"/>
  <c r="BE272" i="106"/>
  <c r="BE291" i="106"/>
  <c r="BA267" i="106"/>
  <c r="BA268" i="106"/>
  <c r="BA272" i="106"/>
  <c r="AT53" i="106"/>
  <c r="AT304" i="106"/>
  <c r="AT281" i="106"/>
  <c r="AT263" i="106"/>
  <c r="AT242" i="106"/>
  <c r="AT235" i="106"/>
  <c r="AT228" i="106"/>
  <c r="AT38" i="106"/>
  <c r="AT59" i="106"/>
  <c r="AP265" i="106"/>
  <c r="AP274" i="106"/>
  <c r="AP285" i="106" a="1"/>
  <c r="AP285" i="106" s="1"/>
  <c r="AI267" i="106"/>
  <c r="AI270" i="106"/>
  <c r="AI278" i="106"/>
  <c r="AE267" i="106"/>
  <c r="AE271" i="106"/>
  <c r="T54" i="106"/>
  <c r="T291" i="106"/>
  <c r="T274" i="106"/>
  <c r="T272" i="106"/>
  <c r="P54" i="106"/>
  <c r="V162" i="106"/>
  <c r="AT162" i="106"/>
  <c r="AU190" i="106"/>
  <c r="AU27" i="106"/>
  <c r="AU26" i="106"/>
  <c r="AB27" i="106"/>
  <c r="AB26" i="106"/>
  <c r="AP14" i="106"/>
  <c r="V14" i="106"/>
  <c r="AG27" i="106"/>
  <c r="AG26" i="106"/>
  <c r="BC269" i="106"/>
  <c r="BC274" i="106"/>
  <c r="AR270" i="106"/>
  <c r="AR268" i="106"/>
  <c r="V272" i="106"/>
  <c r="V271" i="106"/>
  <c r="V165" i="106"/>
  <c r="V13" i="106" s="1"/>
  <c r="AT165" i="106"/>
  <c r="AT13" i="106" s="1"/>
  <c r="BE267" i="106"/>
  <c r="BE270" i="106"/>
  <c r="BE283" i="106"/>
  <c r="BE285" i="106" s="1" a="1"/>
  <c r="BE285" i="106" s="1"/>
  <c r="AP65" i="106"/>
  <c r="AP267" i="106"/>
  <c r="AP271" i="106"/>
  <c r="AI269" i="106"/>
  <c r="AI274" i="106"/>
  <c r="AE269" i="106"/>
  <c r="AE291" i="106"/>
  <c r="AE270" i="106"/>
  <c r="T304" i="106"/>
  <c r="T281" i="106"/>
  <c r="T263" i="106"/>
  <c r="T235" i="106"/>
  <c r="T228" i="106"/>
  <c r="T242" i="106"/>
  <c r="T59" i="106"/>
  <c r="T38" i="106"/>
  <c r="T65" i="106"/>
  <c r="T268" i="106"/>
  <c r="P281" i="106"/>
  <c r="P304" i="106"/>
  <c r="P263" i="106"/>
  <c r="P235" i="106"/>
  <c r="P228" i="106"/>
  <c r="P242" i="106"/>
  <c r="P59" i="106"/>
  <c r="P38" i="106"/>
  <c r="AG304" i="106"/>
  <c r="AG281" i="106"/>
  <c r="AG242" i="106"/>
  <c r="AG228" i="106"/>
  <c r="AG263" i="106"/>
  <c r="AG235" i="106"/>
  <c r="AG59" i="106"/>
  <c r="AG38" i="106"/>
  <c r="AP268" i="103"/>
  <c r="AU270" i="104"/>
  <c r="AP65" i="104"/>
  <c r="AQ53" i="105"/>
  <c r="U292" i="105"/>
  <c r="U286" i="105" a="1"/>
  <c r="U286" i="105" s="1"/>
  <c r="U287" i="105" a="1"/>
  <c r="U287" i="105" s="1"/>
  <c r="BE313" i="105"/>
  <c r="BA313" i="105"/>
  <c r="BG313" i="105"/>
  <c r="BC313" i="105"/>
  <c r="BF313" i="105"/>
  <c r="BD313" i="105"/>
  <c r="BB313" i="105"/>
  <c r="AZ313" i="105"/>
  <c r="BD251" i="105"/>
  <c r="AZ251" i="105"/>
  <c r="BG251" i="105"/>
  <c r="BC251" i="105"/>
  <c r="AY251" i="105"/>
  <c r="BF251" i="105"/>
  <c r="BB251" i="105"/>
  <c r="BE251" i="105"/>
  <c r="BA251" i="105"/>
  <c r="BF174" i="105"/>
  <c r="BF190" i="105" s="1"/>
  <c r="AP269" i="103"/>
  <c r="AY3" i="105"/>
  <c r="AO135" i="105"/>
  <c r="AO202" i="105" s="1"/>
  <c r="AI219" i="105"/>
  <c r="Y218" i="105"/>
  <c r="AZ298" i="103"/>
  <c r="AZ297" i="103" s="1"/>
  <c r="AP271" i="103"/>
  <c r="AC135" i="105"/>
  <c r="AC202" i="105" s="1"/>
  <c r="W53" i="105"/>
  <c r="AI270" i="105"/>
  <c r="AI268" i="105"/>
  <c r="AI65" i="105"/>
  <c r="AI278" i="105"/>
  <c r="AI265" i="105"/>
  <c r="AI274" i="105"/>
  <c r="AI32" i="105"/>
  <c r="AI291" i="105"/>
  <c r="AI283" i="105"/>
  <c r="AI298" i="105" s="1"/>
  <c r="AI269" i="105"/>
  <c r="AI271" i="105"/>
  <c r="AI68" i="105"/>
  <c r="AI276" i="105"/>
  <c r="AI272" i="105"/>
  <c r="AI267" i="105"/>
  <c r="BF292" i="105"/>
  <c r="BF286" i="105" a="1"/>
  <c r="BF286" i="105" s="1"/>
  <c r="BF287" i="105" a="1"/>
  <c r="BF287" i="105" s="1"/>
  <c r="AP283" i="103"/>
  <c r="AP301" i="103" s="1"/>
  <c r="AU268" i="104"/>
  <c r="Q135" i="105"/>
  <c r="BC291" i="105"/>
  <c r="BC272" i="105"/>
  <c r="BC269" i="105"/>
  <c r="BC32" i="105"/>
  <c r="BC270" i="105"/>
  <c r="BC268" i="105"/>
  <c r="BC278" i="105"/>
  <c r="BC265" i="105"/>
  <c r="BC274" i="105"/>
  <c r="BC68" i="105"/>
  <c r="BC283" i="105"/>
  <c r="BC285" i="105" s="1" a="1"/>
  <c r="BC285" i="105" s="1"/>
  <c r="BC276" i="105"/>
  <c r="BC271" i="105"/>
  <c r="BC267" i="105"/>
  <c r="BC65" i="105"/>
  <c r="BF301" i="105"/>
  <c r="U301" i="105"/>
  <c r="AS27" i="105"/>
  <c r="AS26" i="105"/>
  <c r="W27" i="105"/>
  <c r="W26" i="105"/>
  <c r="AS268" i="105"/>
  <c r="AS272" i="105"/>
  <c r="AO271" i="105"/>
  <c r="AO274" i="105"/>
  <c r="AO291" i="105"/>
  <c r="AO283" i="105"/>
  <c r="AR26" i="105"/>
  <c r="AR27" i="105"/>
  <c r="V27" i="105"/>
  <c r="V26" i="105"/>
  <c r="BG68" i="105"/>
  <c r="BG268" i="105"/>
  <c r="BG274" i="105"/>
  <c r="BG278" i="105"/>
  <c r="AR265" i="105"/>
  <c r="AR271" i="105"/>
  <c r="AR291" i="105"/>
  <c r="AU219" i="105"/>
  <c r="AK218" i="105"/>
  <c r="W313" i="105"/>
  <c r="U313" i="105"/>
  <c r="T313" i="105"/>
  <c r="V313" i="105"/>
  <c r="V251" i="105"/>
  <c r="U251" i="105"/>
  <c r="T251" i="105"/>
  <c r="W251" i="105"/>
  <c r="V174" i="105"/>
  <c r="W172" i="105"/>
  <c r="M171" i="105"/>
  <c r="AQ27" i="105"/>
  <c r="AQ26" i="105"/>
  <c r="U27" i="105"/>
  <c r="U26" i="105"/>
  <c r="BF268" i="105"/>
  <c r="BF270" i="105"/>
  <c r="BF278" i="105"/>
  <c r="BF285" i="105" a="1"/>
  <c r="BF285" i="105" s="1"/>
  <c r="BB68" i="105"/>
  <c r="BB54" i="105"/>
  <c r="BB269" i="105"/>
  <c r="BB274" i="105"/>
  <c r="BB272" i="105"/>
  <c r="AU269" i="105"/>
  <c r="AU267" i="105"/>
  <c r="AQ68" i="105"/>
  <c r="AQ270" i="105"/>
  <c r="AQ276" i="105"/>
  <c r="AQ283" i="105"/>
  <c r="AF53" i="105"/>
  <c r="U68" i="105"/>
  <c r="U65" i="105"/>
  <c r="U267" i="105"/>
  <c r="U269" i="105"/>
  <c r="U276" i="105"/>
  <c r="U285" i="105" a="1"/>
  <c r="U285" i="105" s="1"/>
  <c r="AR65" i="105"/>
  <c r="AR53" i="105"/>
  <c r="BE27" i="105"/>
  <c r="BE26" i="105"/>
  <c r="AI27" i="105"/>
  <c r="AI26" i="105"/>
  <c r="P26" i="105"/>
  <c r="P27" i="105"/>
  <c r="BE65" i="105"/>
  <c r="BE66" i="105"/>
  <c r="BE271" i="105"/>
  <c r="BE267" i="105"/>
  <c r="BE274" i="105"/>
  <c r="BE291" i="105"/>
  <c r="BA271" i="105"/>
  <c r="BA272" i="105"/>
  <c r="BA278" i="105"/>
  <c r="AT270" i="105"/>
  <c r="AT278" i="105"/>
  <c r="AT283" i="105"/>
  <c r="AT298" i="105" s="1"/>
  <c r="AT291" i="105"/>
  <c r="AP267" i="105"/>
  <c r="AP269" i="105"/>
  <c r="AI66" i="105"/>
  <c r="AE68" i="105"/>
  <c r="AE271" i="105"/>
  <c r="AE274" i="105"/>
  <c r="AE283" i="105"/>
  <c r="AE291" i="105"/>
  <c r="T269" i="105"/>
  <c r="T276" i="105"/>
  <c r="T278" i="105"/>
  <c r="T291" i="105"/>
  <c r="AG304" i="105"/>
  <c r="AG263" i="105"/>
  <c r="AG281" i="105"/>
  <c r="AG242" i="105"/>
  <c r="AG228" i="105"/>
  <c r="AG235" i="105"/>
  <c r="AG59" i="105"/>
  <c r="AG38" i="105"/>
  <c r="U32" i="105"/>
  <c r="AF68" i="105"/>
  <c r="AS32" i="105"/>
  <c r="BA135" i="105"/>
  <c r="AY5" i="105"/>
  <c r="AO27" i="105"/>
  <c r="AO26" i="105"/>
  <c r="S27" i="105"/>
  <c r="S26" i="105"/>
  <c r="AZ54" i="105"/>
  <c r="AZ301" i="105"/>
  <c r="AZ287" i="105" a="1"/>
  <c r="AZ287" i="105" s="1"/>
  <c r="AZ286" i="105" a="1"/>
  <c r="AZ286" i="105" s="1"/>
  <c r="AZ292" i="105"/>
  <c r="AS65" i="105"/>
  <c r="AS267" i="105"/>
  <c r="AS269" i="105"/>
  <c r="AS276" i="105"/>
  <c r="AS291" i="105"/>
  <c r="AO68" i="105"/>
  <c r="AO272" i="105"/>
  <c r="AO265" i="105"/>
  <c r="AO278" i="105"/>
  <c r="AD68" i="105"/>
  <c r="AD274" i="105"/>
  <c r="AD291" i="105"/>
  <c r="AD283" i="105"/>
  <c r="V304" i="105"/>
  <c r="V281" i="105"/>
  <c r="V263" i="105"/>
  <c r="V228" i="105"/>
  <c r="V235" i="105"/>
  <c r="V242" i="105"/>
  <c r="V38" i="105"/>
  <c r="V59" i="105"/>
  <c r="T65" i="105"/>
  <c r="BF32" i="105"/>
  <c r="BG27" i="105"/>
  <c r="BG26" i="105"/>
  <c r="AN26" i="105"/>
  <c r="AN27" i="105"/>
  <c r="R27" i="105"/>
  <c r="R26" i="105"/>
  <c r="BG271" i="105"/>
  <c r="BG265" i="105"/>
  <c r="AR68" i="105"/>
  <c r="AR268" i="105"/>
  <c r="AR270" i="105"/>
  <c r="AR274" i="105"/>
  <c r="AR283" i="105"/>
  <c r="AR285" i="105" s="1" a="1"/>
  <c r="AR285" i="105" s="1"/>
  <c r="AH165" i="105"/>
  <c r="AH13" i="105" s="1"/>
  <c r="BF165" i="105"/>
  <c r="BF13" i="105" s="1"/>
  <c r="AR66" i="105"/>
  <c r="BA32" i="105"/>
  <c r="AK171" i="105"/>
  <c r="AU172" i="105"/>
  <c r="J71" i="105"/>
  <c r="W218" i="105"/>
  <c r="J73" i="105"/>
  <c r="BF26" i="105"/>
  <c r="BF27" i="105"/>
  <c r="AM27" i="105"/>
  <c r="AM26" i="105"/>
  <c r="Q27" i="105"/>
  <c r="Q26" i="105"/>
  <c r="BF53" i="105"/>
  <c r="BF269" i="105"/>
  <c r="BF276" i="105"/>
  <c r="BF291" i="105"/>
  <c r="BB265" i="105"/>
  <c r="BB271" i="105"/>
  <c r="BB283" i="105"/>
  <c r="BB298" i="105" s="1"/>
  <c r="AU265" i="105"/>
  <c r="AU271" i="105"/>
  <c r="AU274" i="105"/>
  <c r="AU291" i="105"/>
  <c r="AQ65" i="105"/>
  <c r="AQ267" i="105"/>
  <c r="AQ272" i="105"/>
  <c r="AQ278" i="105"/>
  <c r="AM66" i="105"/>
  <c r="U271" i="105"/>
  <c r="U274" i="105"/>
  <c r="U291" i="105"/>
  <c r="AH162" i="105"/>
  <c r="BF162" i="105"/>
  <c r="AH65" i="105"/>
  <c r="AZ32" i="105"/>
  <c r="AG14" i="105"/>
  <c r="BA27" i="105"/>
  <c r="BA26" i="105"/>
  <c r="AE27" i="105"/>
  <c r="AE26" i="105"/>
  <c r="BE68" i="105"/>
  <c r="BE265" i="105"/>
  <c r="BE268" i="105"/>
  <c r="BA269" i="105"/>
  <c r="BA267" i="105"/>
  <c r="BA283" i="105"/>
  <c r="BA285" i="105" s="1" a="1"/>
  <c r="BA285" i="105" s="1"/>
  <c r="AT54" i="105"/>
  <c r="AT272" i="105"/>
  <c r="AT268" i="105"/>
  <c r="AT276" i="105"/>
  <c r="AP265" i="105"/>
  <c r="AP271" i="105"/>
  <c r="AP274" i="105"/>
  <c r="AE268" i="105"/>
  <c r="AE265" i="105"/>
  <c r="AE278" i="105"/>
  <c r="T54" i="105"/>
  <c r="T274" i="105"/>
  <c r="T267" i="105"/>
  <c r="T283" i="105"/>
  <c r="AC304" i="105"/>
  <c r="AC281" i="105"/>
  <c r="AC263" i="105"/>
  <c r="AC242" i="105"/>
  <c r="AC228" i="105"/>
  <c r="AC235" i="105"/>
  <c r="AC59" i="105"/>
  <c r="AC38" i="105"/>
  <c r="AO32" i="105"/>
  <c r="AW171" i="105"/>
  <c r="BG172" i="105"/>
  <c r="BD27" i="105"/>
  <c r="BD26" i="105"/>
  <c r="AH26" i="105"/>
  <c r="AH27" i="105"/>
  <c r="O27" i="105"/>
  <c r="O26" i="105"/>
  <c r="AS66" i="105"/>
  <c r="AS271" i="105"/>
  <c r="AS265" i="105"/>
  <c r="AS283" i="105"/>
  <c r="AO268" i="105"/>
  <c r="AO270" i="105"/>
  <c r="W66" i="105"/>
  <c r="R304" i="105"/>
  <c r="R263" i="105"/>
  <c r="R281" i="105"/>
  <c r="R228" i="105"/>
  <c r="R235" i="105"/>
  <c r="R242" i="105"/>
  <c r="R59" i="105"/>
  <c r="R38" i="105"/>
  <c r="BG190" i="105"/>
  <c r="BC27" i="105"/>
  <c r="BC26" i="105"/>
  <c r="AG27" i="105"/>
  <c r="AG26" i="105"/>
  <c r="BG272" i="105"/>
  <c r="BG270" i="105"/>
  <c r="BG283" i="105"/>
  <c r="AR276" i="105"/>
  <c r="AR272" i="105"/>
  <c r="AR278" i="105"/>
  <c r="V54" i="105"/>
  <c r="R54" i="105"/>
  <c r="AH66" i="105"/>
  <c r="AU313" i="105"/>
  <c r="AQ313" i="105"/>
  <c r="AS313" i="105"/>
  <c r="AO313" i="105"/>
  <c r="AT313" i="105"/>
  <c r="AR313" i="105"/>
  <c r="AP313" i="105"/>
  <c r="AT251" i="105"/>
  <c r="AP251" i="105"/>
  <c r="AS251" i="105"/>
  <c r="AO251" i="105"/>
  <c r="AR251" i="105"/>
  <c r="AU251" i="105"/>
  <c r="AQ251" i="105"/>
  <c r="AT174" i="105"/>
  <c r="BB26" i="105"/>
  <c r="BB27" i="105"/>
  <c r="AF27" i="105"/>
  <c r="AF26" i="105"/>
  <c r="BF68" i="105"/>
  <c r="BF54" i="105"/>
  <c r="BF274" i="105"/>
  <c r="BF267" i="105"/>
  <c r="BF272" i="105"/>
  <c r="BF298" i="105"/>
  <c r="BB268" i="105"/>
  <c r="BB270" i="105"/>
  <c r="BB278" i="105"/>
  <c r="AQ269" i="105"/>
  <c r="AQ271" i="105"/>
  <c r="AF54" i="105"/>
  <c r="U53" i="105"/>
  <c r="U272" i="105"/>
  <c r="U265" i="105"/>
  <c r="U278" i="105"/>
  <c r="U298" i="105"/>
  <c r="AR304" i="105"/>
  <c r="AR281" i="105"/>
  <c r="AR263" i="105"/>
  <c r="AR235" i="105"/>
  <c r="AR228" i="105"/>
  <c r="AR242" i="105"/>
  <c r="AR38" i="105"/>
  <c r="AR59" i="105"/>
  <c r="V66" i="105"/>
  <c r="V53" i="105"/>
  <c r="V29" i="105"/>
  <c r="R29" i="105"/>
  <c r="J24" i="105"/>
  <c r="O5" i="105"/>
  <c r="U29" i="105"/>
  <c r="Q29" i="105"/>
  <c r="T29" i="105"/>
  <c r="P29" i="105"/>
  <c r="O4" i="105"/>
  <c r="O3" i="105"/>
  <c r="W29" i="105"/>
  <c r="S29" i="105"/>
  <c r="O29" i="105"/>
  <c r="O8" i="105"/>
  <c r="AT27" i="105"/>
  <c r="AT26" i="105"/>
  <c r="AA27" i="105"/>
  <c r="AA26" i="105"/>
  <c r="BE270" i="105"/>
  <c r="BE272" i="105"/>
  <c r="BE278" i="105"/>
  <c r="BA65" i="105"/>
  <c r="BA265" i="105"/>
  <c r="BA268" i="105"/>
  <c r="BA274" i="105"/>
  <c r="BA291" i="105"/>
  <c r="AT267" i="105"/>
  <c r="AT269" i="105"/>
  <c r="AP270" i="105"/>
  <c r="AP272" i="105"/>
  <c r="AP283" i="105"/>
  <c r="AP298" i="105" s="1"/>
  <c r="AP291" i="105"/>
  <c r="AE65" i="105"/>
  <c r="AE269" i="105"/>
  <c r="AE270" i="105"/>
  <c r="T68" i="105"/>
  <c r="T265" i="105"/>
  <c r="T271" i="105"/>
  <c r="W32" i="105"/>
  <c r="AE32" i="105"/>
  <c r="T32" i="105"/>
  <c r="BG219" i="105"/>
  <c r="AW218" i="105"/>
  <c r="AI172" i="105"/>
  <c r="Y171" i="105"/>
  <c r="AG313" i="105"/>
  <c r="AC313" i="105"/>
  <c r="AI313" i="105"/>
  <c r="AE313" i="105"/>
  <c r="AD313" i="105"/>
  <c r="AH313" i="105"/>
  <c r="AF313" i="105"/>
  <c r="AF251" i="105"/>
  <c r="AI251" i="105"/>
  <c r="AE251" i="105"/>
  <c r="AH251" i="105"/>
  <c r="AD251" i="105"/>
  <c r="AG251" i="105"/>
  <c r="AC251" i="105"/>
  <c r="AH174" i="105"/>
  <c r="AZ27" i="105"/>
  <c r="AZ26" i="105"/>
  <c r="AD26" i="105"/>
  <c r="AD27" i="105"/>
  <c r="AS68" i="105"/>
  <c r="AS274" i="105"/>
  <c r="AS270" i="105"/>
  <c r="AO65" i="105"/>
  <c r="AO267" i="105"/>
  <c r="AO269" i="105"/>
  <c r="AH68" i="105"/>
  <c r="W68" i="105"/>
  <c r="AY27" i="105"/>
  <c r="AY26" i="105"/>
  <c r="AC27" i="105"/>
  <c r="AC26" i="105"/>
  <c r="BG65" i="105"/>
  <c r="BG267" i="105"/>
  <c r="BG269" i="105"/>
  <c r="BG276" i="105"/>
  <c r="AR54" i="105"/>
  <c r="AR269" i="105"/>
  <c r="AN54" i="105"/>
  <c r="AG66" i="105"/>
  <c r="BD68" i="105"/>
  <c r="AU27" i="105"/>
  <c r="AU26" i="105"/>
  <c r="AB27" i="105"/>
  <c r="AB26" i="105"/>
  <c r="BF265" i="105"/>
  <c r="BF271" i="105"/>
  <c r="BB276" i="105"/>
  <c r="BB267" i="105"/>
  <c r="BB291" i="105"/>
  <c r="AU65" i="105"/>
  <c r="AU53" i="105"/>
  <c r="AU276" i="105"/>
  <c r="AU272" i="105"/>
  <c r="AQ66" i="105"/>
  <c r="AQ265" i="105"/>
  <c r="AQ268" i="105"/>
  <c r="AQ274" i="105"/>
  <c r="AM53" i="105"/>
  <c r="AM56" i="105" s="1" a="1"/>
  <c r="AM56" i="105" s="1"/>
  <c r="U66" i="105"/>
  <c r="U268" i="105"/>
  <c r="U270" i="105"/>
  <c r="AN304" i="105"/>
  <c r="AN263" i="105"/>
  <c r="AN281" i="105"/>
  <c r="AN235" i="105"/>
  <c r="AN228" i="105"/>
  <c r="AN242" i="105"/>
  <c r="AN59" i="105"/>
  <c r="AN38" i="105"/>
  <c r="V162" i="105"/>
  <c r="AT162" i="105"/>
  <c r="AZ66" i="105"/>
  <c r="BC53" i="105"/>
  <c r="BE14" i="105"/>
  <c r="AT29" i="105"/>
  <c r="AP29" i="105"/>
  <c r="AM4" i="105"/>
  <c r="AM3" i="105"/>
  <c r="AS29" i="105"/>
  <c r="AO29" i="105"/>
  <c r="AM8" i="105"/>
  <c r="AR29" i="105"/>
  <c r="AN29" i="105"/>
  <c r="AM5" i="105"/>
  <c r="AU29" i="105"/>
  <c r="AQ29" i="105"/>
  <c r="AM29" i="105"/>
  <c r="AP27" i="105"/>
  <c r="AP26" i="105"/>
  <c r="T26" i="105"/>
  <c r="T27" i="105"/>
  <c r="BE269" i="105"/>
  <c r="BE276" i="105"/>
  <c r="BE283" i="105"/>
  <c r="BE298" i="105" s="1"/>
  <c r="BA68" i="105"/>
  <c r="BA270" i="105"/>
  <c r="AT265" i="105"/>
  <c r="AT271" i="105"/>
  <c r="AT274" i="105"/>
  <c r="AP54" i="105"/>
  <c r="AP278" i="105"/>
  <c r="AP268" i="105"/>
  <c r="AE66" i="105"/>
  <c r="AE267" i="105"/>
  <c r="AE272" i="105"/>
  <c r="AE276" i="105"/>
  <c r="T268" i="105"/>
  <c r="T270" i="105"/>
  <c r="T272" i="105"/>
  <c r="AQ54" i="103"/>
  <c r="AQ53" i="103"/>
  <c r="BF65" i="103"/>
  <c r="AT68" i="103"/>
  <c r="AZ32" i="103"/>
  <c r="AP265" i="103"/>
  <c r="AP291" i="103"/>
  <c r="AI66" i="103"/>
  <c r="BC32" i="103"/>
  <c r="AP276" i="103"/>
  <c r="AS14" i="104"/>
  <c r="BG29" i="104"/>
  <c r="BC29" i="104"/>
  <c r="AY29" i="104"/>
  <c r="AY5" i="104"/>
  <c r="BF29" i="104"/>
  <c r="BB29" i="104"/>
  <c r="BE29" i="104"/>
  <c r="BA29" i="104"/>
  <c r="AY4" i="104"/>
  <c r="AY3" i="104"/>
  <c r="BD29" i="104"/>
  <c r="AZ29" i="104"/>
  <c r="AY8" i="104"/>
  <c r="AR27" i="104"/>
  <c r="AR26" i="104"/>
  <c r="V27" i="104"/>
  <c r="V26" i="104"/>
  <c r="BC68" i="104"/>
  <c r="AR271" i="104"/>
  <c r="AR276" i="104"/>
  <c r="AR274" i="104"/>
  <c r="AI304" i="104"/>
  <c r="AI281" i="104"/>
  <c r="AI263" i="104"/>
  <c r="AI242" i="104"/>
  <c r="AI228" i="104"/>
  <c r="AI235" i="104"/>
  <c r="AI59" i="104"/>
  <c r="AI38" i="104"/>
  <c r="J71" i="104"/>
  <c r="AY66" i="104"/>
  <c r="BE65" i="104"/>
  <c r="AF54" i="104"/>
  <c r="BA32" i="104"/>
  <c r="AU313" i="104"/>
  <c r="AQ313" i="104"/>
  <c r="AS313" i="104"/>
  <c r="AO313" i="104"/>
  <c r="AR313" i="104"/>
  <c r="AP313" i="104"/>
  <c r="AT313" i="104"/>
  <c r="AR251" i="104"/>
  <c r="AU251" i="104"/>
  <c r="AQ251" i="104"/>
  <c r="AT251" i="104"/>
  <c r="AP251" i="104"/>
  <c r="AS251" i="104"/>
  <c r="AO251" i="104"/>
  <c r="AT174" i="104"/>
  <c r="BB27" i="104"/>
  <c r="BB26" i="104"/>
  <c r="AF27" i="104"/>
  <c r="AF26" i="104"/>
  <c r="BF271" i="104"/>
  <c r="BF283" i="104"/>
  <c r="BF301" i="104" s="1"/>
  <c r="BB267" i="104"/>
  <c r="BB269" i="104"/>
  <c r="BB278" i="104"/>
  <c r="AU267" i="104"/>
  <c r="AU269" i="104"/>
  <c r="AU291" i="104"/>
  <c r="AQ268" i="104"/>
  <c r="AQ270" i="104"/>
  <c r="AQ274" i="104"/>
  <c r="AR304" i="104"/>
  <c r="AR281" i="104"/>
  <c r="AR263" i="104"/>
  <c r="AR235" i="104"/>
  <c r="AR228" i="104"/>
  <c r="AR242" i="104"/>
  <c r="AR38" i="104"/>
  <c r="AR59" i="104"/>
  <c r="AC68" i="104"/>
  <c r="AR66" i="104"/>
  <c r="AS54" i="104"/>
  <c r="AA54" i="104"/>
  <c r="AU190" i="104"/>
  <c r="AU14" i="104"/>
  <c r="BA26" i="104"/>
  <c r="BA27" i="104"/>
  <c r="AE27" i="104"/>
  <c r="AE26" i="104"/>
  <c r="BE268" i="104"/>
  <c r="BE272" i="104"/>
  <c r="BE274" i="104"/>
  <c r="BA267" i="104"/>
  <c r="BA269" i="104"/>
  <c r="BA283" i="104"/>
  <c r="BA298" i="104" s="1"/>
  <c r="AT265" i="104"/>
  <c r="AT274" i="104"/>
  <c r="AP269" i="104"/>
  <c r="AP271" i="104"/>
  <c r="AP276" i="104"/>
  <c r="AI301" i="104"/>
  <c r="T265" i="104"/>
  <c r="T268" i="104"/>
  <c r="T278" i="104"/>
  <c r="W172" i="104"/>
  <c r="M171" i="104"/>
  <c r="AT68" i="104"/>
  <c r="BA66" i="104"/>
  <c r="BB54" i="104"/>
  <c r="AD54" i="104"/>
  <c r="BB53" i="104"/>
  <c r="AF53" i="104"/>
  <c r="BG32" i="104"/>
  <c r="AZ27" i="104"/>
  <c r="AZ26" i="104"/>
  <c r="AD27" i="104"/>
  <c r="AD26" i="104"/>
  <c r="AS269" i="104"/>
  <c r="AS271" i="104"/>
  <c r="AS283" i="104"/>
  <c r="AS285" i="104" s="1" a="1"/>
  <c r="AS285" i="104" s="1"/>
  <c r="AO68" i="104"/>
  <c r="AO270" i="104"/>
  <c r="AO272" i="104"/>
  <c r="AO278" i="104"/>
  <c r="AH270" i="104"/>
  <c r="AH268" i="104"/>
  <c r="AH283" i="104"/>
  <c r="AH298" i="104" s="1"/>
  <c r="AH278" i="104"/>
  <c r="AD267" i="104"/>
  <c r="AD269" i="104"/>
  <c r="W267" i="104"/>
  <c r="W269" i="104"/>
  <c r="W283" i="104"/>
  <c r="W298" i="104" s="1"/>
  <c r="AT304" i="104"/>
  <c r="AT281" i="104"/>
  <c r="AT263" i="104"/>
  <c r="AT242" i="104"/>
  <c r="AT235" i="104"/>
  <c r="AT228" i="104"/>
  <c r="AT59" i="104"/>
  <c r="AT38" i="104"/>
  <c r="BB68" i="104"/>
  <c r="U54" i="104"/>
  <c r="BG27" i="104"/>
  <c r="BG26" i="104"/>
  <c r="AN27" i="104"/>
  <c r="AN26" i="104"/>
  <c r="R27" i="104"/>
  <c r="R26" i="104"/>
  <c r="AR265" i="104"/>
  <c r="AR268" i="104"/>
  <c r="AR278" i="104"/>
  <c r="AR283" i="104"/>
  <c r="AE304" i="104"/>
  <c r="AE281" i="104"/>
  <c r="AE263" i="104"/>
  <c r="AE242" i="104"/>
  <c r="AE228" i="104"/>
  <c r="AE235" i="104"/>
  <c r="AE59" i="104"/>
  <c r="AE38" i="104"/>
  <c r="AD68" i="104"/>
  <c r="AB54" i="104"/>
  <c r="AU26" i="104"/>
  <c r="AU27" i="104"/>
  <c r="AB27" i="104"/>
  <c r="AB26" i="104"/>
  <c r="BF265" i="104"/>
  <c r="BF268" i="104"/>
  <c r="BF291" i="104"/>
  <c r="BB271" i="104"/>
  <c r="BB276" i="104"/>
  <c r="BB283" i="104"/>
  <c r="BB298" i="104" s="1"/>
  <c r="AU271" i="104"/>
  <c r="AU265" i="104"/>
  <c r="AU276" i="104"/>
  <c r="AQ272" i="104"/>
  <c r="AQ278" i="104"/>
  <c r="AQ283" i="104"/>
  <c r="AQ298" i="104" s="1"/>
  <c r="T304" i="104"/>
  <c r="T281" i="104"/>
  <c r="T263" i="104"/>
  <c r="T235" i="104"/>
  <c r="T228" i="104"/>
  <c r="T242" i="104"/>
  <c r="T38" i="104"/>
  <c r="T59" i="104"/>
  <c r="V68" i="104"/>
  <c r="AN66" i="104"/>
  <c r="Q54" i="104"/>
  <c r="AT27" i="104"/>
  <c r="AT26" i="104"/>
  <c r="AA27" i="104"/>
  <c r="AA26" i="104"/>
  <c r="BE269" i="104"/>
  <c r="BE278" i="104"/>
  <c r="BA271" i="104"/>
  <c r="BA265" i="104"/>
  <c r="BA291" i="104"/>
  <c r="BA276" i="104"/>
  <c r="AT268" i="104"/>
  <c r="AT270" i="104"/>
  <c r="AT283" i="104"/>
  <c r="AT301" i="104" s="1"/>
  <c r="AP265" i="104"/>
  <c r="AP274" i="104"/>
  <c r="AI285" i="104" a="1"/>
  <c r="AI285" i="104" s="1"/>
  <c r="T270" i="104"/>
  <c r="T272" i="104"/>
  <c r="T283" i="104"/>
  <c r="T274" i="104"/>
  <c r="AU66" i="104"/>
  <c r="AN56" i="104" a="1"/>
  <c r="AN56" i="104" s="1"/>
  <c r="T54" i="104"/>
  <c r="AU53" i="104"/>
  <c r="BC32" i="104"/>
  <c r="AG32" i="104"/>
  <c r="AI172" i="104"/>
  <c r="Y171" i="104"/>
  <c r="AS27" i="104"/>
  <c r="AS26" i="104"/>
  <c r="W26" i="104"/>
  <c r="W27" i="104"/>
  <c r="AS265" i="104"/>
  <c r="AS268" i="104"/>
  <c r="AS276" i="104"/>
  <c r="AO267" i="104"/>
  <c r="AO274" i="104"/>
  <c r="AO291" i="104"/>
  <c r="AH272" i="104"/>
  <c r="AD265" i="104"/>
  <c r="AD271" i="104"/>
  <c r="AD276" i="104"/>
  <c r="AD291" i="104"/>
  <c r="AD274" i="104"/>
  <c r="W271" i="104"/>
  <c r="W265" i="104"/>
  <c r="V304" i="104"/>
  <c r="V281" i="104"/>
  <c r="V263" i="104"/>
  <c r="V228" i="104"/>
  <c r="V242" i="104"/>
  <c r="V235" i="104"/>
  <c r="V59" i="104"/>
  <c r="V38" i="104"/>
  <c r="T32" i="104"/>
  <c r="AU68" i="104"/>
  <c r="BA68" i="104"/>
  <c r="BA135" i="104"/>
  <c r="BA202" i="104" s="1"/>
  <c r="AI219" i="104"/>
  <c r="Y218" i="104"/>
  <c r="BC27" i="104"/>
  <c r="BC26" i="104"/>
  <c r="AG26" i="104"/>
  <c r="AG27" i="104"/>
  <c r="AR270" i="104"/>
  <c r="AR272" i="104"/>
  <c r="AR291" i="104"/>
  <c r="AA304" i="104"/>
  <c r="AA281" i="104"/>
  <c r="AA263" i="104"/>
  <c r="AA242" i="104"/>
  <c r="AA228" i="104"/>
  <c r="AA235" i="104"/>
  <c r="AA59" i="104"/>
  <c r="AA38" i="104"/>
  <c r="AU219" i="104"/>
  <c r="AK218" i="104"/>
  <c r="AQ26" i="104"/>
  <c r="AQ27" i="104"/>
  <c r="U27" i="104"/>
  <c r="U26" i="104"/>
  <c r="BF270" i="104"/>
  <c r="BF269" i="104"/>
  <c r="BF278" i="104"/>
  <c r="BF274" i="104"/>
  <c r="BB265" i="104"/>
  <c r="BB272" i="104"/>
  <c r="BB291" i="104"/>
  <c r="AQ267" i="104"/>
  <c r="AQ269" i="104"/>
  <c r="AQ291" i="104"/>
  <c r="P304" i="104"/>
  <c r="P281" i="104"/>
  <c r="P263" i="104"/>
  <c r="P235" i="104"/>
  <c r="P228" i="104"/>
  <c r="P242" i="104"/>
  <c r="P38" i="104"/>
  <c r="P59" i="104"/>
  <c r="V162" i="104"/>
  <c r="AT162" i="104"/>
  <c r="BB66" i="104"/>
  <c r="AI54" i="104"/>
  <c r="AP27" i="104"/>
  <c r="AP26" i="104"/>
  <c r="T27" i="104"/>
  <c r="T26" i="104"/>
  <c r="BE267" i="104"/>
  <c r="BE265" i="104"/>
  <c r="BE283" i="104"/>
  <c r="BE285" i="104" s="1" a="1"/>
  <c r="BE285" i="104" s="1"/>
  <c r="BA272" i="104"/>
  <c r="BA270" i="104"/>
  <c r="BA274" i="104"/>
  <c r="AT272" i="104"/>
  <c r="AT267" i="104"/>
  <c r="AT291" i="104"/>
  <c r="AT278" i="104"/>
  <c r="AP268" i="104"/>
  <c r="AP270" i="104"/>
  <c r="AP283" i="104"/>
  <c r="AP285" i="104" s="1" a="1"/>
  <c r="AP285" i="104" s="1"/>
  <c r="AI287" i="104" a="1"/>
  <c r="AI287" i="104" s="1"/>
  <c r="AI286" i="104" a="1"/>
  <c r="AI286" i="104" s="1"/>
  <c r="AI292" i="104"/>
  <c r="T267" i="104"/>
  <c r="T269" i="104"/>
  <c r="T291" i="104"/>
  <c r="AG68" i="104"/>
  <c r="AG66" i="104"/>
  <c r="P54" i="104"/>
  <c r="AQ53" i="104"/>
  <c r="U53" i="104"/>
  <c r="AW171" i="104"/>
  <c r="BG172" i="104"/>
  <c r="AG313" i="104"/>
  <c r="AC313" i="104"/>
  <c r="AI313" i="104"/>
  <c r="AE313" i="104"/>
  <c r="AH313" i="104"/>
  <c r="AF313" i="104"/>
  <c r="AD313" i="104"/>
  <c r="AH251" i="104"/>
  <c r="AD251" i="104"/>
  <c r="AG251" i="104"/>
  <c r="AC251" i="104"/>
  <c r="AI251" i="104"/>
  <c r="AE251" i="104"/>
  <c r="AF251" i="104"/>
  <c r="AH174" i="104"/>
  <c r="AO27" i="104"/>
  <c r="AO26" i="104"/>
  <c r="S26" i="104"/>
  <c r="S27" i="104"/>
  <c r="AS68" i="104"/>
  <c r="AS270" i="104"/>
  <c r="AS272" i="104"/>
  <c r="AO269" i="104"/>
  <c r="AO271" i="104"/>
  <c r="AO283" i="104"/>
  <c r="AO285" i="104" s="1" a="1"/>
  <c r="AO285" i="104" s="1"/>
  <c r="AH267" i="104"/>
  <c r="AH269" i="104"/>
  <c r="AH274" i="104"/>
  <c r="AD270" i="104"/>
  <c r="AD268" i="104"/>
  <c r="AD283" i="104"/>
  <c r="AD285" i="104" s="1" a="1"/>
  <c r="AD285" i="104" s="1"/>
  <c r="AD278" i="104"/>
  <c r="W268" i="104"/>
  <c r="W270" i="104"/>
  <c r="W274" i="104"/>
  <c r="R304" i="104"/>
  <c r="R281" i="104"/>
  <c r="R263" i="104"/>
  <c r="R228" i="104"/>
  <c r="R242" i="104"/>
  <c r="R235" i="104"/>
  <c r="R59" i="104"/>
  <c r="R38" i="104"/>
  <c r="AQ66" i="104"/>
  <c r="T68" i="104"/>
  <c r="AI29" i="104"/>
  <c r="AE29" i="104"/>
  <c r="AA29" i="104"/>
  <c r="AA4" i="104"/>
  <c r="AA3" i="104"/>
  <c r="AH29" i="104"/>
  <c r="AD29" i="104"/>
  <c r="AA8" i="104"/>
  <c r="AG29" i="104"/>
  <c r="AC29" i="104"/>
  <c r="AA5" i="104"/>
  <c r="AF29" i="104"/>
  <c r="AB29" i="104"/>
  <c r="AY27" i="104"/>
  <c r="AY26" i="104"/>
  <c r="AC26" i="104"/>
  <c r="AC27" i="104"/>
  <c r="AR267" i="104"/>
  <c r="AR269" i="104"/>
  <c r="W218" i="104"/>
  <c r="J73" i="104"/>
  <c r="BE32" i="104"/>
  <c r="AK171" i="104"/>
  <c r="AU172" i="104"/>
  <c r="W313" i="104"/>
  <c r="U313" i="104"/>
  <c r="V313" i="104"/>
  <c r="T313" i="104"/>
  <c r="W251" i="104"/>
  <c r="U251" i="104"/>
  <c r="V251" i="104"/>
  <c r="T251" i="104"/>
  <c r="V174" i="104"/>
  <c r="BF27" i="104"/>
  <c r="BF26" i="104"/>
  <c r="AM26" i="104"/>
  <c r="AM27" i="104"/>
  <c r="Q27" i="104"/>
  <c r="Q26" i="104"/>
  <c r="BF267" i="104"/>
  <c r="BF276" i="104"/>
  <c r="BF272" i="104"/>
  <c r="BB270" i="104"/>
  <c r="BB268" i="104"/>
  <c r="AU272" i="104"/>
  <c r="AU278" i="104"/>
  <c r="AU283" i="104"/>
  <c r="AU298" i="104" s="1"/>
  <c r="AQ271" i="104"/>
  <c r="AQ265" i="104"/>
  <c r="AQ276" i="104"/>
  <c r="AH68" i="104"/>
  <c r="AE54" i="104"/>
  <c r="BE26" i="104"/>
  <c r="BE27" i="104"/>
  <c r="AI27" i="104"/>
  <c r="AI26" i="104"/>
  <c r="P27" i="104"/>
  <c r="P26" i="104"/>
  <c r="BE271" i="104"/>
  <c r="BE270" i="104"/>
  <c r="BE291" i="104"/>
  <c r="BA268" i="104"/>
  <c r="AT269" i="104"/>
  <c r="AT271" i="104"/>
  <c r="AP272" i="104"/>
  <c r="AP267" i="104"/>
  <c r="AP291" i="104"/>
  <c r="T271" i="104"/>
  <c r="AW218" i="104"/>
  <c r="BG219" i="104"/>
  <c r="AY67" i="104"/>
  <c r="AC66" i="104"/>
  <c r="AY56" i="104" a="1"/>
  <c r="AY56" i="104" s="1"/>
  <c r="BF54" i="104"/>
  <c r="AH54" i="104"/>
  <c r="BE313" i="104"/>
  <c r="BA313" i="104"/>
  <c r="BG313" i="104"/>
  <c r="BC313" i="104"/>
  <c r="BB313" i="104"/>
  <c r="AZ313" i="104"/>
  <c r="BF313" i="104"/>
  <c r="BD313" i="104"/>
  <c r="BF251" i="104"/>
  <c r="BB251" i="104"/>
  <c r="BE251" i="104"/>
  <c r="BA251" i="104"/>
  <c r="BD251" i="104"/>
  <c r="AZ251" i="104"/>
  <c r="BG251" i="104"/>
  <c r="BC251" i="104"/>
  <c r="AY251" i="104"/>
  <c r="BF174" i="104"/>
  <c r="BD27" i="104"/>
  <c r="BD26" i="104"/>
  <c r="AH27" i="104"/>
  <c r="AH26" i="104"/>
  <c r="O26" i="104"/>
  <c r="O27" i="104"/>
  <c r="AS267" i="104"/>
  <c r="AS274" i="104"/>
  <c r="AS291" i="104"/>
  <c r="AS278" i="104"/>
  <c r="AO265" i="104"/>
  <c r="AO268" i="104"/>
  <c r="AO276" i="104"/>
  <c r="AH265" i="104"/>
  <c r="AH271" i="104"/>
  <c r="AH276" i="104"/>
  <c r="AH291" i="104"/>
  <c r="AD272" i="104"/>
  <c r="W272" i="104"/>
  <c r="W278" i="104"/>
  <c r="W291" i="104"/>
  <c r="W276" i="104"/>
  <c r="BG66" i="104"/>
  <c r="BF66" i="104"/>
  <c r="AM66" i="104"/>
  <c r="AC135" i="103"/>
  <c r="AC202" i="103" s="1"/>
  <c r="T53" i="103"/>
  <c r="BG54" i="103"/>
  <c r="BG53" i="103"/>
  <c r="AI53" i="103"/>
  <c r="AI54" i="103"/>
  <c r="P54" i="103"/>
  <c r="BA291" i="103"/>
  <c r="BA276" i="103"/>
  <c r="BA269" i="103"/>
  <c r="BA271" i="103"/>
  <c r="BA68" i="103"/>
  <c r="BA270" i="103"/>
  <c r="BA272" i="103"/>
  <c r="BA267" i="103"/>
  <c r="BA65" i="103"/>
  <c r="BA265" i="103"/>
  <c r="BA268" i="103"/>
  <c r="BA283" i="103"/>
  <c r="BA301" i="103" s="1"/>
  <c r="BA274" i="103"/>
  <c r="BA278" i="103"/>
  <c r="AG276" i="103"/>
  <c r="AG269" i="103"/>
  <c r="AG271" i="103"/>
  <c r="AG68" i="103"/>
  <c r="AG270" i="103"/>
  <c r="AG272" i="103"/>
  <c r="AG267" i="103"/>
  <c r="AG283" i="103"/>
  <c r="AG298" i="103" s="1"/>
  <c r="AG265" i="103"/>
  <c r="AG268" i="103"/>
  <c r="AG65" i="103"/>
  <c r="AG291" i="103"/>
  <c r="AG274" i="103"/>
  <c r="AG278" i="103"/>
  <c r="AG32" i="103"/>
  <c r="M171" i="103"/>
  <c r="W172" i="103"/>
  <c r="AU269" i="103"/>
  <c r="AQ268" i="103"/>
  <c r="AT292" i="103"/>
  <c r="AT287" i="103" a="1"/>
  <c r="AT287" i="103" s="1"/>
  <c r="AT286" i="103" a="1"/>
  <c r="AT286" i="103" s="1"/>
  <c r="AY3" i="103"/>
  <c r="BB54" i="103"/>
  <c r="BB53" i="103"/>
  <c r="BB298" i="103"/>
  <c r="AE285" i="103" a="1"/>
  <c r="AE285" i="103" s="1"/>
  <c r="AE298" i="103"/>
  <c r="AE53" i="103"/>
  <c r="AE54" i="103"/>
  <c r="AE301" i="103"/>
  <c r="AU291" i="103"/>
  <c r="AU270" i="103"/>
  <c r="AU272" i="103"/>
  <c r="AU267" i="103"/>
  <c r="AU65" i="103"/>
  <c r="AU283" i="103"/>
  <c r="AU274" i="103"/>
  <c r="AU278" i="103"/>
  <c r="AU68" i="103"/>
  <c r="AU32" i="103"/>
  <c r="AC270" i="103"/>
  <c r="AC272" i="103"/>
  <c r="AC267" i="103"/>
  <c r="AC283" i="103"/>
  <c r="AC301" i="103" s="1"/>
  <c r="AC265" i="103"/>
  <c r="AC268" i="103"/>
  <c r="AC65" i="103"/>
  <c r="AC291" i="103"/>
  <c r="AC274" i="103"/>
  <c r="AC278" i="103"/>
  <c r="AC32" i="103"/>
  <c r="AC276" i="103"/>
  <c r="AC269" i="103"/>
  <c r="AC271" i="103"/>
  <c r="AC68" i="103"/>
  <c r="AU219" i="103"/>
  <c r="AK218" i="103"/>
  <c r="AK171" i="103"/>
  <c r="AU172" i="103"/>
  <c r="W313" i="103"/>
  <c r="U313" i="103"/>
  <c r="V313" i="103"/>
  <c r="T313" i="103"/>
  <c r="V251" i="103"/>
  <c r="U251" i="103"/>
  <c r="T251" i="103"/>
  <c r="W251" i="103"/>
  <c r="V174" i="103"/>
  <c r="AU27" i="103"/>
  <c r="AU26" i="103"/>
  <c r="AB26" i="103"/>
  <c r="AB27" i="103"/>
  <c r="BB292" i="103"/>
  <c r="BB286" i="103" a="1"/>
  <c r="BB286" i="103" s="1"/>
  <c r="BB287" i="103" a="1"/>
  <c r="BB287" i="103" s="1"/>
  <c r="BB301" i="103"/>
  <c r="AU265" i="103"/>
  <c r="AQ269" i="103"/>
  <c r="AO298" i="103"/>
  <c r="AT298" i="103"/>
  <c r="AT54" i="103"/>
  <c r="AT53" i="103"/>
  <c r="AT285" i="103" a="1"/>
  <c r="AT285" i="103" s="1"/>
  <c r="AT301" i="103"/>
  <c r="AQ291" i="103"/>
  <c r="AQ270" i="103"/>
  <c r="AQ272" i="103"/>
  <c r="AQ267" i="103"/>
  <c r="AQ65" i="103"/>
  <c r="AQ32" i="103"/>
  <c r="AQ283" i="103"/>
  <c r="AQ274" i="103"/>
  <c r="AQ278" i="103"/>
  <c r="AQ68" i="103"/>
  <c r="W270" i="103"/>
  <c r="W272" i="103"/>
  <c r="W267" i="103"/>
  <c r="W65" i="103"/>
  <c r="W68" i="103"/>
  <c r="W283" i="103"/>
  <c r="W285" i="103" s="1" a="1"/>
  <c r="W285" i="103" s="1"/>
  <c r="W265" i="103"/>
  <c r="W268" i="103"/>
  <c r="W32" i="103"/>
  <c r="W274" i="103"/>
  <c r="W278" i="103"/>
  <c r="W291" i="103"/>
  <c r="W276" i="103"/>
  <c r="W269" i="103"/>
  <c r="W271" i="103"/>
  <c r="BB14" i="103"/>
  <c r="J71" i="103"/>
  <c r="AQ27" i="103"/>
  <c r="AQ26" i="103"/>
  <c r="U27" i="103"/>
  <c r="U26" i="103"/>
  <c r="U68" i="103"/>
  <c r="BB285" i="103" a="1"/>
  <c r="BB285" i="103" s="1"/>
  <c r="AU271" i="103"/>
  <c r="AU276" i="103"/>
  <c r="AQ265" i="103"/>
  <c r="AO292" i="103"/>
  <c r="AO287" i="103" a="1"/>
  <c r="AO287" i="103" s="1"/>
  <c r="AO286" i="103" a="1"/>
  <c r="AO286" i="103" s="1"/>
  <c r="BA135" i="103"/>
  <c r="AY5" i="103"/>
  <c r="AO135" i="103"/>
  <c r="AO202" i="103" s="1"/>
  <c r="AP54" i="103"/>
  <c r="BE283" i="103"/>
  <c r="BE298" i="103" s="1"/>
  <c r="BE274" i="103"/>
  <c r="BE278" i="103"/>
  <c r="BE291" i="103"/>
  <c r="BE276" i="103"/>
  <c r="BE269" i="103"/>
  <c r="BE271" i="103"/>
  <c r="BE68" i="103"/>
  <c r="BE270" i="103"/>
  <c r="BE272" i="103"/>
  <c r="BE267" i="103"/>
  <c r="BE65" i="103"/>
  <c r="BE265" i="103"/>
  <c r="BE268" i="103"/>
  <c r="AU313" i="103"/>
  <c r="AQ313" i="103"/>
  <c r="AS313" i="103"/>
  <c r="AO313" i="103"/>
  <c r="AT313" i="103"/>
  <c r="AR313" i="103"/>
  <c r="AP313" i="103"/>
  <c r="AT251" i="103"/>
  <c r="AP251" i="103"/>
  <c r="AS251" i="103"/>
  <c r="AO251" i="103"/>
  <c r="AR251" i="103"/>
  <c r="AU251" i="103"/>
  <c r="AQ251" i="103"/>
  <c r="AT174" i="103"/>
  <c r="W218" i="103"/>
  <c r="J73" i="103"/>
  <c r="BF27" i="103"/>
  <c r="BF26" i="103"/>
  <c r="BF66" i="103"/>
  <c r="AM27" i="103"/>
  <c r="AM26" i="103"/>
  <c r="AM56" i="103" a="1"/>
  <c r="AM56" i="103" s="1"/>
  <c r="Q27" i="103"/>
  <c r="Q26" i="103"/>
  <c r="AU66" i="103"/>
  <c r="AU268" i="103"/>
  <c r="AQ66" i="103"/>
  <c r="AQ271" i="103"/>
  <c r="AQ276" i="103"/>
  <c r="AM66" i="103"/>
  <c r="AZ292" i="103"/>
  <c r="AZ286" i="103" a="1"/>
  <c r="AZ286" i="103" s="1"/>
  <c r="AZ287" i="103" a="1"/>
  <c r="AZ287" i="103" s="1"/>
  <c r="BA27" i="103"/>
  <c r="BA26" i="103"/>
  <c r="AE27" i="103"/>
  <c r="AE26" i="103"/>
  <c r="AT274" i="103"/>
  <c r="AT267" i="103"/>
  <c r="AE292" i="103"/>
  <c r="AE287" i="103" a="1"/>
  <c r="AE287" i="103" s="1"/>
  <c r="AE286" i="103" a="1"/>
  <c r="AE286" i="103" s="1"/>
  <c r="AF65" i="103"/>
  <c r="BF53" i="103"/>
  <c r="AS27" i="103"/>
  <c r="AS26" i="103"/>
  <c r="W27" i="103"/>
  <c r="W26" i="103"/>
  <c r="BD268" i="103"/>
  <c r="BD265" i="103"/>
  <c r="BD271" i="103"/>
  <c r="AZ274" i="103"/>
  <c r="AZ267" i="103"/>
  <c r="AZ285" i="103" a="1"/>
  <c r="AZ285" i="103" s="1"/>
  <c r="AZ301" i="103"/>
  <c r="AS66" i="103"/>
  <c r="AS274" i="103"/>
  <c r="AS267" i="103"/>
  <c r="AS272" i="103"/>
  <c r="AS291" i="103"/>
  <c r="AO65" i="103"/>
  <c r="AO53" i="103"/>
  <c r="AO270" i="103"/>
  <c r="AO278" i="103"/>
  <c r="AO285" i="103" a="1"/>
  <c r="AO285" i="103" s="1"/>
  <c r="AO301" i="103"/>
  <c r="V68" i="103"/>
  <c r="AY53" i="103"/>
  <c r="AY56" i="103" s="1" a="1"/>
  <c r="AY56" i="103" s="1"/>
  <c r="AY27" i="103"/>
  <c r="AY26" i="103"/>
  <c r="AC27" i="103"/>
  <c r="AC26" i="103"/>
  <c r="BG65" i="103"/>
  <c r="BG274" i="103"/>
  <c r="BG278" i="103"/>
  <c r="BG272" i="103"/>
  <c r="BC65" i="103"/>
  <c r="BC274" i="103"/>
  <c r="BC267" i="103"/>
  <c r="BC272" i="103"/>
  <c r="AY66" i="103"/>
  <c r="AR276" i="103"/>
  <c r="AR268" i="103"/>
  <c r="AR291" i="103"/>
  <c r="V54" i="103"/>
  <c r="V269" i="103"/>
  <c r="V276" i="103"/>
  <c r="V291" i="103"/>
  <c r="BD68" i="103"/>
  <c r="BB65" i="103"/>
  <c r="BD32" i="103"/>
  <c r="T29" i="103"/>
  <c r="P29" i="103"/>
  <c r="O4" i="103"/>
  <c r="O3" i="103"/>
  <c r="W29" i="103"/>
  <c r="S29" i="103"/>
  <c r="O29" i="103"/>
  <c r="O8" i="103"/>
  <c r="V29" i="103"/>
  <c r="R29" i="103"/>
  <c r="J24" i="103"/>
  <c r="O5" i="103"/>
  <c r="U29" i="103"/>
  <c r="Q29" i="103"/>
  <c r="AT26" i="103"/>
  <c r="AT27" i="103"/>
  <c r="AA27" i="103"/>
  <c r="AA26" i="103"/>
  <c r="AT268" i="103"/>
  <c r="AT265" i="103"/>
  <c r="AT271" i="103"/>
  <c r="AP272" i="103"/>
  <c r="AP270" i="103"/>
  <c r="AP278" i="103"/>
  <c r="V65" i="103"/>
  <c r="AG54" i="103"/>
  <c r="BA53" i="103"/>
  <c r="BE313" i="103"/>
  <c r="BA313" i="103"/>
  <c r="BG313" i="103"/>
  <c r="BC313" i="103"/>
  <c r="BD313" i="103"/>
  <c r="BB313" i="103"/>
  <c r="AZ313" i="103"/>
  <c r="BF313" i="103"/>
  <c r="BD251" i="103"/>
  <c r="AZ251" i="103"/>
  <c r="BG251" i="103"/>
  <c r="BC251" i="103"/>
  <c r="AY251" i="103"/>
  <c r="BF251" i="103"/>
  <c r="BB251" i="103"/>
  <c r="BE251" i="103"/>
  <c r="BA251" i="103"/>
  <c r="BF174" i="103"/>
  <c r="BG172" i="103"/>
  <c r="AW171" i="103"/>
  <c r="AO27" i="103"/>
  <c r="AO26" i="103"/>
  <c r="S27" i="103"/>
  <c r="S26" i="103"/>
  <c r="BD53" i="103"/>
  <c r="BD272" i="103"/>
  <c r="BD270" i="103"/>
  <c r="BD278" i="103"/>
  <c r="BD291" i="103"/>
  <c r="AZ268" i="103"/>
  <c r="AZ265" i="103"/>
  <c r="AZ271" i="103"/>
  <c r="AS68" i="103"/>
  <c r="AS265" i="103"/>
  <c r="AS271" i="103"/>
  <c r="AS283" i="103"/>
  <c r="AS298" i="103" s="1"/>
  <c r="AO269" i="103"/>
  <c r="AO276" i="103"/>
  <c r="AO268" i="103"/>
  <c r="AH54" i="103"/>
  <c r="AD53" i="103"/>
  <c r="W53" i="103"/>
  <c r="AR27" i="103"/>
  <c r="AR26" i="103"/>
  <c r="V26" i="103"/>
  <c r="V27" i="103"/>
  <c r="BG68" i="103"/>
  <c r="BG265" i="103"/>
  <c r="BG267" i="103"/>
  <c r="BG291" i="103"/>
  <c r="BC68" i="103"/>
  <c r="BC265" i="103"/>
  <c r="BC271" i="103"/>
  <c r="BC291" i="103"/>
  <c r="AY67" i="103"/>
  <c r="AR267" i="103"/>
  <c r="AR272" i="103"/>
  <c r="AR283" i="103"/>
  <c r="AR301" i="103" s="1"/>
  <c r="V274" i="103"/>
  <c r="V267" i="103"/>
  <c r="AR29" i="103"/>
  <c r="AN29" i="103"/>
  <c r="AM5" i="103"/>
  <c r="AU29" i="103"/>
  <c r="AQ29" i="103"/>
  <c r="AM29" i="103"/>
  <c r="AT29" i="103"/>
  <c r="AP29" i="103"/>
  <c r="AM4" i="103"/>
  <c r="AM3" i="103"/>
  <c r="AS29" i="103"/>
  <c r="AO29" i="103"/>
  <c r="AM8" i="103"/>
  <c r="AP26" i="103"/>
  <c r="AP27" i="103"/>
  <c r="T27" i="103"/>
  <c r="T26" i="103"/>
  <c r="BA66" i="103"/>
  <c r="AT272" i="103"/>
  <c r="AT270" i="103"/>
  <c r="AT278" i="103"/>
  <c r="AT291" i="103"/>
  <c r="AE66" i="103"/>
  <c r="W54" i="103"/>
  <c r="AW218" i="103"/>
  <c r="BG219" i="103"/>
  <c r="AG313" i="103"/>
  <c r="AC313" i="103"/>
  <c r="AI313" i="103"/>
  <c r="AE313" i="103"/>
  <c r="AH313" i="103"/>
  <c r="AF313" i="103"/>
  <c r="AD313" i="103"/>
  <c r="AF251" i="103"/>
  <c r="AI251" i="103"/>
  <c r="AE251" i="103"/>
  <c r="AH251" i="103"/>
  <c r="AD251" i="103"/>
  <c r="AG251" i="103"/>
  <c r="AC251" i="103"/>
  <c r="AH174" i="103"/>
  <c r="AI172" i="103"/>
  <c r="Y171" i="103"/>
  <c r="BD26" i="103"/>
  <c r="BD27" i="103"/>
  <c r="AH27" i="103"/>
  <c r="AH26" i="103"/>
  <c r="O27" i="103"/>
  <c r="O26" i="103"/>
  <c r="BD54" i="103"/>
  <c r="BD269" i="103"/>
  <c r="BD276" i="103"/>
  <c r="BD283" i="103"/>
  <c r="BD285" i="103" s="1" a="1"/>
  <c r="BD285" i="103" s="1"/>
  <c r="AZ53" i="103"/>
  <c r="AZ272" i="103"/>
  <c r="AZ270" i="103"/>
  <c r="AZ278" i="103"/>
  <c r="AZ291" i="103"/>
  <c r="AS65" i="103"/>
  <c r="AS53" i="103"/>
  <c r="AS270" i="103"/>
  <c r="AS278" i="103"/>
  <c r="AO274" i="103"/>
  <c r="AO267" i="103"/>
  <c r="AO272" i="103"/>
  <c r="AO291" i="103"/>
  <c r="W66" i="103"/>
  <c r="AP68" i="103"/>
  <c r="AT66" i="103"/>
  <c r="BG27" i="103"/>
  <c r="BG26" i="103"/>
  <c r="AN27" i="103"/>
  <c r="AN26" i="103"/>
  <c r="R26" i="103"/>
  <c r="R27" i="103"/>
  <c r="BG270" i="103"/>
  <c r="BG271" i="103"/>
  <c r="BG283" i="103"/>
  <c r="BG285" i="103" s="1" a="1"/>
  <c r="BG285" i="103" s="1"/>
  <c r="BC270" i="103"/>
  <c r="BC278" i="103"/>
  <c r="BC283" i="103"/>
  <c r="BC301" i="103" s="1"/>
  <c r="AR265" i="103"/>
  <c r="AR271" i="103"/>
  <c r="AR269" i="103"/>
  <c r="AN54" i="103"/>
  <c r="V268" i="103"/>
  <c r="V265" i="103"/>
  <c r="V271" i="103"/>
  <c r="V283" i="103"/>
  <c r="V285" i="103" s="1" a="1"/>
  <c r="V285" i="103" s="1"/>
  <c r="AO54" i="103"/>
  <c r="U32" i="103"/>
  <c r="T66" i="103"/>
  <c r="BB27" i="103"/>
  <c r="BB26" i="103"/>
  <c r="AF26" i="103"/>
  <c r="AF27" i="103"/>
  <c r="V162" i="103"/>
  <c r="AT162" i="103"/>
  <c r="BE27" i="103"/>
  <c r="BE26" i="103"/>
  <c r="AI27" i="103"/>
  <c r="AI26" i="103"/>
  <c r="P27" i="103"/>
  <c r="P26" i="103"/>
  <c r="AT269" i="103"/>
  <c r="AT276" i="103"/>
  <c r="AP274" i="103"/>
  <c r="AP267" i="103"/>
  <c r="AE68" i="103"/>
  <c r="AZ65" i="103"/>
  <c r="BG32" i="103"/>
  <c r="AI219" i="103"/>
  <c r="Y218" i="103"/>
  <c r="AZ26" i="103"/>
  <c r="AZ27" i="103"/>
  <c r="AD27" i="103"/>
  <c r="AD26" i="103"/>
  <c r="BD274" i="103"/>
  <c r="AZ54" i="103"/>
  <c r="AZ269" i="103"/>
  <c r="AZ276" i="103"/>
  <c r="AS269" i="103"/>
  <c r="AS276" i="103"/>
  <c r="AS268" i="103"/>
  <c r="AO68" i="103"/>
  <c r="AO265" i="103"/>
  <c r="AO271" i="103"/>
  <c r="AH53" i="103"/>
  <c r="AD54" i="103"/>
  <c r="S53" i="103"/>
  <c r="AF68" i="103"/>
  <c r="AY54" i="103"/>
  <c r="BB32" i="103"/>
  <c r="BG190" i="103"/>
  <c r="BG14" i="103"/>
  <c r="AN56" i="103" a="1"/>
  <c r="AN56" i="103" s="1"/>
  <c r="BC27" i="103"/>
  <c r="BC26" i="103"/>
  <c r="AG27" i="103"/>
  <c r="AG26" i="103"/>
  <c r="BG269" i="103"/>
  <c r="BG276" i="103"/>
  <c r="BG268" i="103"/>
  <c r="BC269" i="103"/>
  <c r="BC276" i="103"/>
  <c r="BC268" i="103"/>
  <c r="AR54" i="103"/>
  <c r="AR270" i="103"/>
  <c r="AR278" i="103"/>
  <c r="AC66" i="103"/>
  <c r="V272" i="103"/>
  <c r="V270" i="103"/>
  <c r="V278" i="103"/>
  <c r="R54" i="103"/>
  <c r="AF66" i="103"/>
  <c r="BF286" i="106" l="1" a="1"/>
  <c r="BF286" i="106" s="1"/>
  <c r="BF287" i="106" a="1"/>
  <c r="BF287" i="106" s="1"/>
  <c r="BF292" i="106"/>
  <c r="BF298" i="106"/>
  <c r="AI28" i="106"/>
  <c r="AI295" i="106" s="1"/>
  <c r="AI14" i="103"/>
  <c r="AT190" i="104"/>
  <c r="AE28" i="106"/>
  <c r="AE295" i="106" s="1"/>
  <c r="BE28" i="106"/>
  <c r="BE295" i="106" s="1"/>
  <c r="AN28" i="106"/>
  <c r="AN295" i="106" s="1"/>
  <c r="AI298" i="107"/>
  <c r="AI297" i="107" s="1"/>
  <c r="AH190" i="106"/>
  <c r="AP28" i="106"/>
  <c r="AP295" i="106" s="1"/>
  <c r="W14" i="106"/>
  <c r="BF205" i="107"/>
  <c r="BF207" i="107" s="1"/>
  <c r="AI286" i="107" a="1"/>
  <c r="AI286" i="107" s="1"/>
  <c r="AI301" i="107"/>
  <c r="AI287" i="107" a="1"/>
  <c r="AI287" i="107" s="1"/>
  <c r="AI285" i="107" a="1"/>
  <c r="AI285" i="107" s="1"/>
  <c r="AY28" i="106"/>
  <c r="AY295" i="106" s="1"/>
  <c r="AG292" i="105"/>
  <c r="AZ287" i="104" a="1"/>
  <c r="AZ287" i="104" s="1"/>
  <c r="AT28" i="106"/>
  <c r="AT295" i="106" s="1"/>
  <c r="W292" i="106"/>
  <c r="AI14" i="106"/>
  <c r="AH190" i="103"/>
  <c r="BF205" i="104"/>
  <c r="BF207" i="104" s="1"/>
  <c r="AC28" i="106"/>
  <c r="AC295" i="106" s="1"/>
  <c r="BF190" i="103"/>
  <c r="AE285" i="107" a="1"/>
  <c r="AE285" i="107" s="1"/>
  <c r="AT190" i="106"/>
  <c r="BD298" i="104"/>
  <c r="BD297" i="104" s="1"/>
  <c r="V190" i="104"/>
  <c r="V190" i="107"/>
  <c r="AI190" i="105"/>
  <c r="BD301" i="106"/>
  <c r="AZ298" i="104"/>
  <c r="AZ300" i="104" s="1" a="1"/>
  <c r="AZ300" i="104" s="1"/>
  <c r="BG28" i="106"/>
  <c r="BG295" i="106" s="1"/>
  <c r="AG298" i="105"/>
  <c r="AG297" i="105" s="1"/>
  <c r="AZ292" i="104"/>
  <c r="AG285" i="105" a="1"/>
  <c r="AG285" i="105" s="1"/>
  <c r="AG301" i="105"/>
  <c r="T28" i="106"/>
  <c r="T295" i="106" s="1"/>
  <c r="AG286" i="105" a="1"/>
  <c r="AG286" i="105" s="1"/>
  <c r="AZ301" i="104"/>
  <c r="AZ285" i="104" a="1"/>
  <c r="AZ285" i="104" s="1"/>
  <c r="BD292" i="106"/>
  <c r="AE292" i="107"/>
  <c r="AE298" i="107"/>
  <c r="AE297" i="107" s="1"/>
  <c r="BD285" i="106" a="1"/>
  <c r="BD285" i="106" s="1"/>
  <c r="BD298" i="106"/>
  <c r="BD300" i="106" s="1" a="1"/>
  <c r="BD300" i="106" s="1"/>
  <c r="BD287" i="106" a="1"/>
  <c r="BD287" i="106" s="1"/>
  <c r="AE286" i="107" a="1"/>
  <c r="AE286" i="107" s="1"/>
  <c r="AE287" i="107" a="1"/>
  <c r="AE287" i="107" s="1"/>
  <c r="BA28" i="106"/>
  <c r="BA295" i="106" s="1"/>
  <c r="BD286" i="104" a="1"/>
  <c r="BD286" i="104" s="1"/>
  <c r="BD287" i="104" a="1"/>
  <c r="BD287" i="104" s="1"/>
  <c r="BD292" i="104"/>
  <c r="BD285" i="104" a="1"/>
  <c r="BD285" i="104" s="1"/>
  <c r="AT190" i="107"/>
  <c r="AD298" i="106"/>
  <c r="AD300" i="106" s="1" a="1"/>
  <c r="AD300" i="106" s="1"/>
  <c r="AT286" i="106" a="1"/>
  <c r="AT286" i="106" s="1"/>
  <c r="AD301" i="106"/>
  <c r="AD285" i="106" a="1"/>
  <c r="AD285" i="106" s="1"/>
  <c r="AT287" i="106" a="1"/>
  <c r="AT287" i="106" s="1"/>
  <c r="AT292" i="106"/>
  <c r="AD286" i="106" a="1"/>
  <c r="AD286" i="106" s="1"/>
  <c r="AD287" i="106" a="1"/>
  <c r="AD287" i="106" s="1"/>
  <c r="AT285" i="106" a="1"/>
  <c r="AT285" i="106" s="1"/>
  <c r="S290" i="107"/>
  <c r="S290" i="106"/>
  <c r="S290" i="105"/>
  <c r="S290" i="104"/>
  <c r="S290" i="103"/>
  <c r="AU14" i="107"/>
  <c r="S62" i="106"/>
  <c r="S62" i="105"/>
  <c r="S62" i="104"/>
  <c r="S62" i="103"/>
  <c r="S62" i="107"/>
  <c r="W14" i="104"/>
  <c r="BG285" i="104" a="1"/>
  <c r="BG285" i="104" s="1"/>
  <c r="AT301" i="106"/>
  <c r="W301" i="106"/>
  <c r="W285" i="106" a="1"/>
  <c r="W285" i="106" s="1"/>
  <c r="W287" i="106" a="1"/>
  <c r="W287" i="106" s="1"/>
  <c r="AH285" i="103" a="1"/>
  <c r="AH285" i="103" s="1"/>
  <c r="AH298" i="103"/>
  <c r="AH297" i="103" s="1"/>
  <c r="AH287" i="103" a="1"/>
  <c r="AH287" i="103" s="1"/>
  <c r="AU292" i="106"/>
  <c r="AD285" i="107" a="1"/>
  <c r="AD285" i="107" s="1"/>
  <c r="AH205" i="104"/>
  <c r="AH207" i="104" s="1"/>
  <c r="AI285" i="105" a="1"/>
  <c r="AI285" i="105" s="1"/>
  <c r="T292" i="103"/>
  <c r="AH205" i="107"/>
  <c r="AH207" i="107" s="1"/>
  <c r="BG292" i="107"/>
  <c r="AH301" i="103"/>
  <c r="AH286" i="103" a="1"/>
  <c r="AH286" i="103" s="1"/>
  <c r="AH292" i="105"/>
  <c r="BC287" i="104" a="1"/>
  <c r="BC287" i="104" s="1"/>
  <c r="AU292" i="105"/>
  <c r="U285" i="104" a="1"/>
  <c r="U285" i="104" s="1"/>
  <c r="AF298" i="104"/>
  <c r="AF297" i="104" s="1"/>
  <c r="W287" i="105" a="1"/>
  <c r="W287" i="105" s="1"/>
  <c r="W285" i="105" a="1"/>
  <c r="W285" i="105" s="1"/>
  <c r="AH286" i="105" a="1"/>
  <c r="AH286" i="105" s="1"/>
  <c r="AG285" i="103" a="1"/>
  <c r="AG285" i="103" s="1"/>
  <c r="AP292" i="103"/>
  <c r="AC301" i="104"/>
  <c r="AP285" i="103" a="1"/>
  <c r="AP285" i="103" s="1"/>
  <c r="AF286" i="104" a="1"/>
  <c r="AF286" i="104" s="1"/>
  <c r="AD287" i="107" a="1"/>
  <c r="AD287" i="107" s="1"/>
  <c r="AD298" i="107"/>
  <c r="AD297" i="107" s="1"/>
  <c r="AF287" i="104" a="1"/>
  <c r="AF287" i="104" s="1"/>
  <c r="BC298" i="104"/>
  <c r="BC300" i="104" s="1" a="1"/>
  <c r="BC300" i="104" s="1"/>
  <c r="AD292" i="107"/>
  <c r="BF298" i="107"/>
  <c r="BF300" i="107" s="1" a="1"/>
  <c r="BF300" i="107" s="1"/>
  <c r="AD301" i="107"/>
  <c r="BC301" i="104"/>
  <c r="AH12" i="103"/>
  <c r="AF292" i="104"/>
  <c r="BF286" i="107" a="1"/>
  <c r="BF286" i="107" s="1"/>
  <c r="W298" i="106"/>
  <c r="W300" i="106" s="1" a="1"/>
  <c r="W300" i="106" s="1"/>
  <c r="AZ300" i="103" a="1"/>
  <c r="AZ300" i="103" s="1"/>
  <c r="U286" i="104" a="1"/>
  <c r="U286" i="104" s="1"/>
  <c r="AC286" i="104" a="1"/>
  <c r="AC286" i="104" s="1"/>
  <c r="BG286" i="104" a="1"/>
  <c r="BG286" i="104" s="1"/>
  <c r="BD287" i="105" a="1"/>
  <c r="BD287" i="105" s="1"/>
  <c r="BC285" i="104" a="1"/>
  <c r="BC285" i="104" s="1"/>
  <c r="BF292" i="107"/>
  <c r="BD285" i="105" a="1"/>
  <c r="BD285" i="105" s="1"/>
  <c r="BF285" i="107" a="1"/>
  <c r="BF285" i="107" s="1"/>
  <c r="BC292" i="104"/>
  <c r="AF285" i="104" a="1"/>
  <c r="AF285" i="104" s="1"/>
  <c r="U287" i="104" a="1"/>
  <c r="U287" i="104" s="1"/>
  <c r="AC287" i="104" a="1"/>
  <c r="AC287" i="104" s="1"/>
  <c r="BG287" i="104" a="1"/>
  <c r="BG287" i="104" s="1"/>
  <c r="BD292" i="105"/>
  <c r="BF287" i="107" a="1"/>
  <c r="BF287" i="107" s="1"/>
  <c r="AC285" i="104" a="1"/>
  <c r="AC285" i="104" s="1"/>
  <c r="U301" i="104"/>
  <c r="U292" i="104"/>
  <c r="AC292" i="104"/>
  <c r="BG292" i="104"/>
  <c r="BD286" i="105" a="1"/>
  <c r="BD286" i="105" s="1"/>
  <c r="BG298" i="104"/>
  <c r="BG300" i="104" s="1" a="1"/>
  <c r="BG300" i="104" s="1"/>
  <c r="AG285" i="106" a="1"/>
  <c r="AG285" i="106" s="1"/>
  <c r="AH285" i="106" a="1"/>
  <c r="AH285" i="106" s="1"/>
  <c r="AH287" i="106" a="1"/>
  <c r="AH287" i="106" s="1"/>
  <c r="BF301" i="103"/>
  <c r="AZ298" i="106"/>
  <c r="AZ297" i="106" s="1"/>
  <c r="BF285" i="103" a="1"/>
  <c r="BF285" i="103" s="1"/>
  <c r="BF298" i="103"/>
  <c r="BF300" i="103" s="1" a="1"/>
  <c r="BF300" i="103" s="1"/>
  <c r="BF287" i="103" a="1"/>
  <c r="BF287" i="103" s="1"/>
  <c r="AZ286" i="106" a="1"/>
  <c r="AZ286" i="106" s="1"/>
  <c r="AZ285" i="106" a="1"/>
  <c r="AZ285" i="106" s="1"/>
  <c r="BF286" i="103" a="1"/>
  <c r="BF286" i="103" s="1"/>
  <c r="AZ292" i="106"/>
  <c r="AD287" i="103" a="1"/>
  <c r="AD287" i="103" s="1"/>
  <c r="AH301" i="106"/>
  <c r="AD292" i="103"/>
  <c r="AT300" i="106" a="1"/>
  <c r="AT300" i="106" s="1"/>
  <c r="AG292" i="106"/>
  <c r="AG286" i="106" a="1"/>
  <c r="AG286" i="106" s="1"/>
  <c r="V285" i="104" a="1"/>
  <c r="V285" i="104" s="1"/>
  <c r="AD301" i="103"/>
  <c r="AG287" i="106" a="1"/>
  <c r="AG287" i="106" s="1"/>
  <c r="AD286" i="103" a="1"/>
  <c r="AD286" i="103" s="1"/>
  <c r="AD285" i="103" a="1"/>
  <c r="AD285" i="103" s="1"/>
  <c r="T301" i="103"/>
  <c r="AH287" i="105" a="1"/>
  <c r="AH287" i="105" s="1"/>
  <c r="W292" i="105"/>
  <c r="AZ287" i="106" a="1"/>
  <c r="AZ287" i="106" s="1"/>
  <c r="W286" i="105" a="1"/>
  <c r="W286" i="105" s="1"/>
  <c r="V287" i="105" a="1"/>
  <c r="V287" i="105" s="1"/>
  <c r="AU285" i="106" a="1"/>
  <c r="AU285" i="106" s="1"/>
  <c r="AH286" i="106" a="1"/>
  <c r="AH286" i="106" s="1"/>
  <c r="V301" i="104"/>
  <c r="V286" i="104" a="1"/>
  <c r="V286" i="104" s="1"/>
  <c r="W301" i="105"/>
  <c r="AH292" i="106"/>
  <c r="AI286" i="103" a="1"/>
  <c r="AI286" i="103" s="1"/>
  <c r="V287" i="104" a="1"/>
  <c r="V287" i="104" s="1"/>
  <c r="AH297" i="105"/>
  <c r="V298" i="104"/>
  <c r="V300" i="104" s="1" a="1"/>
  <c r="V300" i="104" s="1"/>
  <c r="T301" i="107"/>
  <c r="T286" i="103" a="1"/>
  <c r="T286" i="103" s="1"/>
  <c r="T298" i="103"/>
  <c r="T300" i="103" s="1" a="1"/>
  <c r="T300" i="103" s="1"/>
  <c r="V301" i="105"/>
  <c r="T287" i="103" a="1"/>
  <c r="T287" i="103" s="1"/>
  <c r="AU287" i="106" a="1"/>
  <c r="AU287" i="106" s="1"/>
  <c r="BB297" i="107"/>
  <c r="BA298" i="103"/>
  <c r="BA297" i="103" s="1"/>
  <c r="BD298" i="105"/>
  <c r="Q202" i="105"/>
  <c r="AZ300" i="105" a="1"/>
  <c r="AZ300" i="105" s="1"/>
  <c r="AF286" i="105" a="1"/>
  <c r="AF286" i="105" s="1"/>
  <c r="AC286" i="105" a="1"/>
  <c r="AC286" i="105" s="1"/>
  <c r="AH285" i="105" a="1"/>
  <c r="AH285" i="105" s="1"/>
  <c r="AC301" i="105"/>
  <c r="AC298" i="105"/>
  <c r="AC297" i="105" s="1"/>
  <c r="AC292" i="105"/>
  <c r="AC285" i="105" a="1"/>
  <c r="AC285" i="105" s="1"/>
  <c r="AF298" i="103"/>
  <c r="AF300" i="103" s="1" a="1"/>
  <c r="AF300" i="103" s="1"/>
  <c r="AF286" i="103" a="1"/>
  <c r="AF286" i="103" s="1"/>
  <c r="AF287" i="103" a="1"/>
  <c r="AF287" i="103" s="1"/>
  <c r="AF292" i="103"/>
  <c r="AF285" i="103" a="1"/>
  <c r="AF285" i="103" s="1"/>
  <c r="AH301" i="105"/>
  <c r="AG285" i="104" a="1"/>
  <c r="AG285" i="104" s="1"/>
  <c r="AF286" i="107" a="1"/>
  <c r="AF286" i="107" s="1"/>
  <c r="AF292" i="107"/>
  <c r="AF287" i="107" a="1"/>
  <c r="AF287" i="107" s="1"/>
  <c r="AG298" i="104"/>
  <c r="AG297" i="104" s="1"/>
  <c r="AG286" i="104" a="1"/>
  <c r="AG286" i="104" s="1"/>
  <c r="AG301" i="104"/>
  <c r="AG287" i="104" a="1"/>
  <c r="AG287" i="104" s="1"/>
  <c r="BA285" i="104" a="1"/>
  <c r="BA285" i="104" s="1"/>
  <c r="BB285" i="105" a="1"/>
  <c r="BB285" i="105" s="1"/>
  <c r="AF301" i="107"/>
  <c r="AF285" i="107" a="1"/>
  <c r="AF285" i="107" s="1"/>
  <c r="BA292" i="106"/>
  <c r="AS292" i="106"/>
  <c r="AE301" i="104"/>
  <c r="AS287" i="106" a="1"/>
  <c r="AS287" i="106" s="1"/>
  <c r="AS286" i="106" a="1"/>
  <c r="AS286" i="106" s="1"/>
  <c r="AE292" i="104"/>
  <c r="AE285" i="104" a="1"/>
  <c r="AE285" i="104" s="1"/>
  <c r="AI292" i="103"/>
  <c r="AE298" i="104"/>
  <c r="AE300" i="104" s="1" a="1"/>
  <c r="AE300" i="104" s="1"/>
  <c r="AE286" i="104" a="1"/>
  <c r="AE286" i="104" s="1"/>
  <c r="AS298" i="106"/>
  <c r="AS300" i="106" s="1" a="1"/>
  <c r="AS300" i="106" s="1"/>
  <c r="U292" i="103"/>
  <c r="AI301" i="103"/>
  <c r="AF300" i="106" a="1"/>
  <c r="AF300" i="106" s="1"/>
  <c r="AO301" i="106"/>
  <c r="BG301" i="107"/>
  <c r="AI285" i="103" a="1"/>
  <c r="AI285" i="103" s="1"/>
  <c r="AI287" i="103" a="1"/>
  <c r="AI287" i="103" s="1"/>
  <c r="AS285" i="106" a="1"/>
  <c r="AS285" i="106" s="1"/>
  <c r="AO285" i="107" a="1"/>
  <c r="AO285" i="107" s="1"/>
  <c r="BG285" i="107" a="1"/>
  <c r="BG285" i="107" s="1"/>
  <c r="AC297" i="104"/>
  <c r="AF300" i="107" a="1"/>
  <c r="AF300" i="107" s="1"/>
  <c r="AC298" i="103"/>
  <c r="AC300" i="103" s="1" a="1"/>
  <c r="AC300" i="103" s="1"/>
  <c r="AC285" i="103" a="1"/>
  <c r="AC285" i="103" s="1"/>
  <c r="AC285" i="107" a="1"/>
  <c r="AC285" i="107" s="1"/>
  <c r="W301" i="103"/>
  <c r="W298" i="103"/>
  <c r="W300" i="103" s="1" a="1"/>
  <c r="W300" i="103" s="1"/>
  <c r="W301" i="107"/>
  <c r="AI297" i="104"/>
  <c r="AG301" i="103"/>
  <c r="AP298" i="103"/>
  <c r="AP300" i="103" s="1" a="1"/>
  <c r="AP300" i="103" s="1"/>
  <c r="AU286" i="106" a="1"/>
  <c r="AU286" i="106" s="1"/>
  <c r="AU301" i="106"/>
  <c r="AC298" i="107"/>
  <c r="AC297" i="107" s="1"/>
  <c r="AZ285" i="107" a="1"/>
  <c r="AZ285" i="107" s="1"/>
  <c r="W14" i="107"/>
  <c r="AG28" i="107"/>
  <c r="AG295" i="107" s="1"/>
  <c r="AD28" i="107"/>
  <c r="AD295" i="107" s="1"/>
  <c r="T286" i="107" a="1"/>
  <c r="T286" i="107" s="1"/>
  <c r="AP28" i="107"/>
  <c r="AP295" i="107" s="1"/>
  <c r="AZ286" i="107" a="1"/>
  <c r="AZ286" i="107" s="1"/>
  <c r="BE285" i="107" a="1"/>
  <c r="BE285" i="107" s="1"/>
  <c r="T285" i="107" a="1"/>
  <c r="T285" i="107" s="1"/>
  <c r="T287" i="107" a="1"/>
  <c r="T287" i="107" s="1"/>
  <c r="AZ287" i="107" a="1"/>
  <c r="AZ287" i="107" s="1"/>
  <c r="T298" i="107"/>
  <c r="T300" i="107" s="1" a="1"/>
  <c r="T300" i="107" s="1"/>
  <c r="AZ292" i="107"/>
  <c r="AZ298" i="107"/>
  <c r="AZ300" i="107" s="1" a="1"/>
  <c r="AZ300" i="107" s="1"/>
  <c r="BC298" i="107"/>
  <c r="BC297" i="107" s="1"/>
  <c r="AN28" i="107"/>
  <c r="AN295" i="107" s="1"/>
  <c r="BG298" i="107"/>
  <c r="BG297" i="107" s="1"/>
  <c r="BG286" i="107" a="1"/>
  <c r="BG286" i="107" s="1"/>
  <c r="V28" i="107"/>
  <c r="V295" i="107" s="1"/>
  <c r="BA286" i="106" a="1"/>
  <c r="BA286" i="106" s="1"/>
  <c r="BA287" i="106" a="1"/>
  <c r="BA287" i="106" s="1"/>
  <c r="BA298" i="106"/>
  <c r="BA300" i="106" s="1" a="1"/>
  <c r="BA300" i="106" s="1"/>
  <c r="BA285" i="106" a="1"/>
  <c r="BA285" i="106" s="1"/>
  <c r="AF292" i="105"/>
  <c r="AF298" i="105"/>
  <c r="AF297" i="105" s="1"/>
  <c r="AF301" i="105"/>
  <c r="BC301" i="105"/>
  <c r="AH190" i="105"/>
  <c r="AF287" i="105" a="1"/>
  <c r="AF287" i="105" s="1"/>
  <c r="V285" i="105" a="1"/>
  <c r="V285" i="105" s="1"/>
  <c r="V298" i="105"/>
  <c r="V297" i="105" s="1"/>
  <c r="BC298" i="105"/>
  <c r="BC300" i="105" s="1" a="1"/>
  <c r="BC300" i="105" s="1"/>
  <c r="AS28" i="105"/>
  <c r="AS295" i="105" s="1"/>
  <c r="V286" i="105" a="1"/>
  <c r="V286" i="105" s="1"/>
  <c r="P28" i="105"/>
  <c r="P295" i="105" s="1"/>
  <c r="AU285" i="105" a="1"/>
  <c r="AU285" i="105" s="1"/>
  <c r="W285" i="104" a="1"/>
  <c r="W285" i="104" s="1"/>
  <c r="U298" i="103"/>
  <c r="U300" i="103" s="1" a="1"/>
  <c r="U300" i="103" s="1"/>
  <c r="U301" i="103"/>
  <c r="U286" i="103" a="1"/>
  <c r="U286" i="103" s="1"/>
  <c r="U285" i="103" a="1"/>
  <c r="U285" i="103" s="1"/>
  <c r="AZ28" i="103"/>
  <c r="AZ295" i="103" s="1"/>
  <c r="J51" i="107"/>
  <c r="AH28" i="107"/>
  <c r="AH295" i="107" s="1"/>
  <c r="BE298" i="107"/>
  <c r="BE300" i="107" s="1" a="1"/>
  <c r="BE300" i="107" s="1"/>
  <c r="AO28" i="107"/>
  <c r="AO295" i="107" s="1"/>
  <c r="AU28" i="107"/>
  <c r="AU295" i="107" s="1"/>
  <c r="BD285" i="107" a="1"/>
  <c r="BD285" i="107" s="1"/>
  <c r="BA301" i="107"/>
  <c r="AZ28" i="107"/>
  <c r="AZ295" i="107" s="1"/>
  <c r="P28" i="107"/>
  <c r="P295" i="107" s="1"/>
  <c r="BE28" i="107"/>
  <c r="BE295" i="107" s="1"/>
  <c r="T28" i="107"/>
  <c r="T295" i="107" s="1"/>
  <c r="AW26" i="106"/>
  <c r="BB300" i="106" a="1"/>
  <c r="BB300" i="106" s="1"/>
  <c r="U28" i="106"/>
  <c r="U295" i="106" s="1"/>
  <c r="J51" i="105"/>
  <c r="AD300" i="103" a="1"/>
  <c r="AD300" i="103" s="1"/>
  <c r="AD297" i="103"/>
  <c r="AU297" i="106"/>
  <c r="AU300" i="106" a="1"/>
  <c r="AU300" i="106" s="1"/>
  <c r="BD28" i="103"/>
  <c r="BD295" i="103" s="1"/>
  <c r="BB28" i="105"/>
  <c r="BB295" i="105" s="1"/>
  <c r="AS28" i="106"/>
  <c r="AS295" i="106" s="1"/>
  <c r="AR28" i="107"/>
  <c r="AR295" i="107" s="1"/>
  <c r="AE28" i="107"/>
  <c r="AE295" i="107" s="1"/>
  <c r="AC28" i="107"/>
  <c r="AC295" i="107" s="1"/>
  <c r="R28" i="107"/>
  <c r="R295" i="107" s="1"/>
  <c r="BF28" i="107"/>
  <c r="BF295" i="107" s="1"/>
  <c r="AG301" i="106"/>
  <c r="Q28" i="105"/>
  <c r="Q295" i="105" s="1"/>
  <c r="AO28" i="105"/>
  <c r="AO295" i="105" s="1"/>
  <c r="W28" i="105"/>
  <c r="W295" i="105" s="1"/>
  <c r="BC28" i="106"/>
  <c r="BC295" i="106" s="1"/>
  <c r="AO285" i="106" a="1"/>
  <c r="AO285" i="106" s="1"/>
  <c r="AW26" i="107"/>
  <c r="AU28" i="104"/>
  <c r="AU295" i="104" s="1"/>
  <c r="W301" i="104"/>
  <c r="AG28" i="105"/>
  <c r="AG295" i="105" s="1"/>
  <c r="BD28" i="107"/>
  <c r="BD295" i="107" s="1"/>
  <c r="BF12" i="103"/>
  <c r="BF205" i="103"/>
  <c r="BF207" i="103" s="1"/>
  <c r="BB301" i="105"/>
  <c r="AS28" i="107"/>
  <c r="AS295" i="107" s="1"/>
  <c r="U28" i="107"/>
  <c r="U295" i="107" s="1"/>
  <c r="AG297" i="106"/>
  <c r="AG300" i="106" a="1"/>
  <c r="AG300" i="106" s="1"/>
  <c r="AZ189" i="107"/>
  <c r="AZ14" i="107" s="1"/>
  <c r="AG14" i="107"/>
  <c r="AP292" i="107"/>
  <c r="AP287" i="107" a="1"/>
  <c r="AP287" i="107" s="1"/>
  <c r="AP286" i="107" a="1"/>
  <c r="AP286" i="107" s="1"/>
  <c r="M26" i="107"/>
  <c r="U300" i="107" a="1"/>
  <c r="U300" i="107" s="1"/>
  <c r="U297" i="107"/>
  <c r="AP301" i="107"/>
  <c r="AQ287" i="107" a="1"/>
  <c r="AQ287" i="107" s="1"/>
  <c r="AQ292" i="107"/>
  <c r="AQ286" i="107" a="1"/>
  <c r="AQ286" i="107" s="1"/>
  <c r="AQ298" i="107"/>
  <c r="AH292" i="107"/>
  <c r="AH287" i="107" a="1"/>
  <c r="AH287" i="107" s="1"/>
  <c r="AH286" i="107" a="1"/>
  <c r="AH286" i="107" s="1"/>
  <c r="AH298" i="107"/>
  <c r="M218" i="107"/>
  <c r="J218" i="107" s="1"/>
  <c r="W219" i="107"/>
  <c r="BB285" i="104" a="1"/>
  <c r="BB285" i="104" s="1"/>
  <c r="BB28" i="104"/>
  <c r="BB295" i="104" s="1"/>
  <c r="AU298" i="105"/>
  <c r="AU297" i="105" s="1"/>
  <c r="BF28" i="106"/>
  <c r="BF295" i="106" s="1"/>
  <c r="W28" i="106"/>
  <c r="W295" i="106" s="1"/>
  <c r="AQ28" i="106"/>
  <c r="AQ295" i="106" s="1"/>
  <c r="AZ28" i="106"/>
  <c r="AZ295" i="106" s="1"/>
  <c r="BC14" i="107"/>
  <c r="BE14" i="107"/>
  <c r="AS292" i="107"/>
  <c r="AS287" i="107" a="1"/>
  <c r="AS287" i="107" s="1"/>
  <c r="AS286" i="107" a="1"/>
  <c r="AS286" i="107" s="1"/>
  <c r="AS285" i="107" a="1"/>
  <c r="AS285" i="107" s="1"/>
  <c r="AS301" i="107"/>
  <c r="W28" i="107"/>
  <c r="W295" i="107" s="1"/>
  <c r="V12" i="107"/>
  <c r="V205" i="107"/>
  <c r="V207" i="107" s="1"/>
  <c r="AW27" i="107"/>
  <c r="AY28" i="107"/>
  <c r="W300" i="107" a="1"/>
  <c r="W300" i="107" s="1"/>
  <c r="W297" i="107"/>
  <c r="AO292" i="107"/>
  <c r="AO287" i="107" a="1"/>
  <c r="AO287" i="107" s="1"/>
  <c r="AO286" i="107" a="1"/>
  <c r="AO286" i="107" s="1"/>
  <c r="BD292" i="107"/>
  <c r="BD287" i="107" a="1"/>
  <c r="BD287" i="107" s="1"/>
  <c r="BD286" i="107" a="1"/>
  <c r="BD286" i="107" s="1"/>
  <c r="AI28" i="107"/>
  <c r="AI295" i="107" s="1"/>
  <c r="BC28" i="107"/>
  <c r="BC295" i="107" s="1"/>
  <c r="M27" i="107"/>
  <c r="O28" i="107"/>
  <c r="AO301" i="107"/>
  <c r="AF28" i="107"/>
  <c r="AF295" i="107" s="1"/>
  <c r="BB28" i="107"/>
  <c r="BB295" i="107" s="1"/>
  <c r="AC292" i="107"/>
  <c r="AC287" i="107" a="1"/>
  <c r="AC287" i="107" s="1"/>
  <c r="AC286" i="107" a="1"/>
  <c r="AC286" i="107" s="1"/>
  <c r="S28" i="107"/>
  <c r="S295" i="107" s="1"/>
  <c r="Q28" i="107"/>
  <c r="Q295" i="107" s="1"/>
  <c r="AP285" i="107" a="1"/>
  <c r="AP285" i="107" s="1"/>
  <c r="BA298" i="107"/>
  <c r="W292" i="107"/>
  <c r="W287" i="107" a="1"/>
  <c r="W287" i="107" s="1"/>
  <c r="W286" i="107" a="1"/>
  <c r="W286" i="107" s="1"/>
  <c r="W285" i="107" a="1"/>
  <c r="W285" i="107" s="1"/>
  <c r="AT12" i="107"/>
  <c r="AT205" i="107"/>
  <c r="AT207" i="107" s="1"/>
  <c r="V297" i="107"/>
  <c r="V300" i="107" a="1"/>
  <c r="V300" i="107" s="1"/>
  <c r="AR297" i="107"/>
  <c r="AR300" i="107" a="1"/>
  <c r="AR300" i="107" s="1"/>
  <c r="AP298" i="107"/>
  <c r="Y27" i="107"/>
  <c r="AA28" i="107"/>
  <c r="AP286" i="103" a="1"/>
  <c r="AP286" i="103" s="1"/>
  <c r="S28" i="103"/>
  <c r="S295" i="103" s="1"/>
  <c r="BF298" i="104"/>
  <c r="BF297" i="104" s="1"/>
  <c r="AU287" i="105" a="1"/>
  <c r="AU287" i="105" s="1"/>
  <c r="AF28" i="106"/>
  <c r="AF295" i="106" s="1"/>
  <c r="BG190" i="107"/>
  <c r="BG14" i="107"/>
  <c r="BB14" i="107"/>
  <c r="BA28" i="107"/>
  <c r="BA295" i="107" s="1"/>
  <c r="AQ28" i="107"/>
  <c r="AQ295" i="107" s="1"/>
  <c r="AE14" i="107"/>
  <c r="AD14" i="107"/>
  <c r="AO300" i="107" a="1"/>
  <c r="AO300" i="107" s="1"/>
  <c r="AO297" i="107"/>
  <c r="BD300" i="107" a="1"/>
  <c r="BD300" i="107" s="1"/>
  <c r="BD297" i="107"/>
  <c r="AH301" i="107"/>
  <c r="AT28" i="107"/>
  <c r="AT295" i="107" s="1"/>
  <c r="AT292" i="107"/>
  <c r="AT287" i="107" a="1"/>
  <c r="AT287" i="107" s="1"/>
  <c r="AT286" i="107" a="1"/>
  <c r="AT286" i="107" s="1"/>
  <c r="AT301" i="107"/>
  <c r="J171" i="107"/>
  <c r="AG292" i="107"/>
  <c r="AG287" i="107" a="1"/>
  <c r="AG287" i="107" s="1"/>
  <c r="AG286" i="107" a="1"/>
  <c r="AG286" i="107" s="1"/>
  <c r="AG298" i="107"/>
  <c r="BC292" i="107"/>
  <c r="BC287" i="107" a="1"/>
  <c r="BC287" i="107" s="1"/>
  <c r="BC286" i="107" a="1"/>
  <c r="BC286" i="107" s="1"/>
  <c r="BC285" i="107" a="1"/>
  <c r="BC285" i="107" s="1"/>
  <c r="AQ301" i="107"/>
  <c r="BE292" i="107"/>
  <c r="BE287" i="107" a="1"/>
  <c r="BE287" i="107" s="1"/>
  <c r="BE286" i="107" a="1"/>
  <c r="BE286" i="107" s="1"/>
  <c r="AK26" i="107"/>
  <c r="AB28" i="107"/>
  <c r="AB295" i="107" s="1"/>
  <c r="AT298" i="107"/>
  <c r="AP287" i="103" a="1"/>
  <c r="AP287" i="103" s="1"/>
  <c r="J51" i="104"/>
  <c r="AU286" i="105" a="1"/>
  <c r="AU286" i="105" s="1"/>
  <c r="U28" i="105"/>
  <c r="U295" i="105" s="1"/>
  <c r="AG28" i="106"/>
  <c r="AG295" i="106" s="1"/>
  <c r="Y26" i="106"/>
  <c r="AW27" i="106"/>
  <c r="BB28" i="106"/>
  <c r="BB295" i="106" s="1"/>
  <c r="AH28" i="106"/>
  <c r="AH295" i="106" s="1"/>
  <c r="BF190" i="107"/>
  <c r="BF14" i="107"/>
  <c r="AI190" i="107"/>
  <c r="AI14" i="107"/>
  <c r="AH190" i="107"/>
  <c r="AH14" i="107"/>
  <c r="U287" i="107" a="1"/>
  <c r="U287" i="107" s="1"/>
  <c r="U292" i="107"/>
  <c r="U286" i="107" a="1"/>
  <c r="U286" i="107" s="1"/>
  <c r="U285" i="107" a="1"/>
  <c r="U285" i="107" s="1"/>
  <c r="U301" i="107"/>
  <c r="Y26" i="107"/>
  <c r="AU287" i="107" a="1"/>
  <c r="AU287" i="107" s="1"/>
  <c r="AU292" i="107"/>
  <c r="AU286" i="107" a="1"/>
  <c r="AU286" i="107" s="1"/>
  <c r="AU298" i="107"/>
  <c r="AU301" i="107"/>
  <c r="AU285" i="107" a="1"/>
  <c r="AU285" i="107" s="1"/>
  <c r="BG28" i="107"/>
  <c r="BG295" i="107" s="1"/>
  <c r="AQ285" i="107" a="1"/>
  <c r="AQ285" i="107" s="1"/>
  <c r="AS298" i="107"/>
  <c r="AK27" i="107"/>
  <c r="AM28" i="107"/>
  <c r="AG301" i="107"/>
  <c r="BA292" i="107"/>
  <c r="BA287" i="107" a="1"/>
  <c r="BA287" i="107" s="1"/>
  <c r="BA286" i="107" a="1"/>
  <c r="BA286" i="107" s="1"/>
  <c r="BD301" i="107"/>
  <c r="T300" i="106" a="1"/>
  <c r="T300" i="106" s="1"/>
  <c r="T297" i="106"/>
  <c r="AC300" i="106" a="1"/>
  <c r="AC300" i="106" s="1"/>
  <c r="AC297" i="106"/>
  <c r="M26" i="104"/>
  <c r="BD28" i="104"/>
  <c r="BD295" i="104" s="1"/>
  <c r="BC28" i="104"/>
  <c r="BC295" i="104" s="1"/>
  <c r="AH301" i="104"/>
  <c r="V12" i="106"/>
  <c r="V205" i="106"/>
  <c r="V207" i="106" s="1"/>
  <c r="J171" i="106"/>
  <c r="BE298" i="106"/>
  <c r="AK27" i="106"/>
  <c r="AM28" i="106"/>
  <c r="BF190" i="106"/>
  <c r="BF14" i="106"/>
  <c r="BG190" i="106"/>
  <c r="BG14" i="106"/>
  <c r="BF297" i="106"/>
  <c r="BF300" i="106" a="1"/>
  <c r="BF300" i="106" s="1"/>
  <c r="T301" i="106"/>
  <c r="AQ298" i="106"/>
  <c r="M27" i="106"/>
  <c r="O28" i="106"/>
  <c r="AO292" i="106"/>
  <c r="AO287" i="106" a="1"/>
  <c r="AO287" i="106" s="1"/>
  <c r="AO286" i="106" a="1"/>
  <c r="AO286" i="106" s="1"/>
  <c r="AQ28" i="103"/>
  <c r="AQ295" i="103" s="1"/>
  <c r="AQ285" i="104" a="1"/>
  <c r="AQ285" i="104" s="1"/>
  <c r="BE301" i="104"/>
  <c r="AD28" i="105"/>
  <c r="AD295" i="105" s="1"/>
  <c r="AH28" i="105"/>
  <c r="AH295" i="105" s="1"/>
  <c r="AR28" i="105"/>
  <c r="AR295" i="105" s="1"/>
  <c r="AB28" i="106"/>
  <c r="Y27" i="106"/>
  <c r="AR28" i="106"/>
  <c r="AR295" i="106" s="1"/>
  <c r="AC292" i="106"/>
  <c r="AC287" i="106" a="1"/>
  <c r="AC287" i="106" s="1"/>
  <c r="AC286" i="106" a="1"/>
  <c r="AC286" i="106" s="1"/>
  <c r="AC301" i="106"/>
  <c r="AC285" i="106" a="1"/>
  <c r="AC285" i="106" s="1"/>
  <c r="BG292" i="106"/>
  <c r="BG286" i="106" a="1"/>
  <c r="BG286" i="106" s="1"/>
  <c r="BG287" i="106" a="1"/>
  <c r="BG287" i="106" s="1"/>
  <c r="BF12" i="106"/>
  <c r="BF205" i="106"/>
  <c r="BF207" i="106" s="1"/>
  <c r="BE14" i="106"/>
  <c r="AZ189" i="106"/>
  <c r="AZ14" i="106" s="1"/>
  <c r="BC287" i="106" a="1"/>
  <c r="BC287" i="106" s="1"/>
  <c r="BC286" i="106" a="1"/>
  <c r="BC286" i="106" s="1"/>
  <c r="BC292" i="106"/>
  <c r="BC285" i="106" a="1"/>
  <c r="BC285" i="106" s="1"/>
  <c r="AD28" i="106"/>
  <c r="AD295" i="106" s="1"/>
  <c r="AQ285" i="106" a="1"/>
  <c r="AQ285" i="106" s="1"/>
  <c r="AO28" i="106"/>
  <c r="AO295" i="106" s="1"/>
  <c r="AS285" i="103" a="1"/>
  <c r="AS285" i="103" s="1"/>
  <c r="AC28" i="103"/>
  <c r="AC295" i="103" s="1"/>
  <c r="AO298" i="104"/>
  <c r="AO297" i="104" s="1"/>
  <c r="BE292" i="106"/>
  <c r="BE287" i="106" a="1"/>
  <c r="BE287" i="106" s="1"/>
  <c r="BE286" i="106" a="1"/>
  <c r="BE286" i="106" s="1"/>
  <c r="AR292" i="106"/>
  <c r="AR287" i="106" a="1"/>
  <c r="AR287" i="106" s="1"/>
  <c r="AR286" i="106" a="1"/>
  <c r="AR286" i="106" s="1"/>
  <c r="AR298" i="106"/>
  <c r="T292" i="106"/>
  <c r="T287" i="106" a="1"/>
  <c r="T287" i="106" s="1"/>
  <c r="T286" i="106" a="1"/>
  <c r="T286" i="106" s="1"/>
  <c r="T285" i="106" a="1"/>
  <c r="T285" i="106" s="1"/>
  <c r="AE287" i="106" a="1"/>
  <c r="AE287" i="106" s="1"/>
  <c r="AE286" i="106" a="1"/>
  <c r="AE286" i="106" s="1"/>
  <c r="AE292" i="106"/>
  <c r="AE301" i="106"/>
  <c r="AE298" i="106"/>
  <c r="AE285" i="106" a="1"/>
  <c r="AE285" i="106" s="1"/>
  <c r="BE301" i="106"/>
  <c r="BG301" i="106"/>
  <c r="Q28" i="106"/>
  <c r="Q295" i="106" s="1"/>
  <c r="AH205" i="106"/>
  <c r="AH207" i="106" s="1"/>
  <c r="AH12" i="106"/>
  <c r="AI292" i="106"/>
  <c r="AI287" i="106" a="1"/>
  <c r="AI287" i="106" s="1"/>
  <c r="AI286" i="106" a="1"/>
  <c r="AI286" i="106" s="1"/>
  <c r="AI285" i="106" a="1"/>
  <c r="AI285" i="106" s="1"/>
  <c r="AI298" i="106"/>
  <c r="AI301" i="106"/>
  <c r="BC298" i="106"/>
  <c r="V28" i="106"/>
  <c r="V295" i="106" s="1"/>
  <c r="U292" i="106"/>
  <c r="U287" i="106" a="1"/>
  <c r="U287" i="106" s="1"/>
  <c r="U286" i="106" a="1"/>
  <c r="U286" i="106" s="1"/>
  <c r="BC301" i="106"/>
  <c r="U298" i="106"/>
  <c r="BD28" i="106"/>
  <c r="BD295" i="106" s="1"/>
  <c r="AP300" i="106" a="1"/>
  <c r="AP300" i="106" s="1"/>
  <c r="AP297" i="106"/>
  <c r="S28" i="106"/>
  <c r="S295" i="106" s="1"/>
  <c r="W219" i="106"/>
  <c r="M218" i="106"/>
  <c r="J218" i="106" s="1"/>
  <c r="BA202" i="106"/>
  <c r="AF28" i="105"/>
  <c r="AF295" i="105" s="1"/>
  <c r="AQ28" i="105"/>
  <c r="AQ295" i="105" s="1"/>
  <c r="AU28" i="106"/>
  <c r="AU295" i="106" s="1"/>
  <c r="AT12" i="106"/>
  <c r="AT205" i="106"/>
  <c r="AT207" i="106" s="1"/>
  <c r="V292" i="106"/>
  <c r="V287" i="106" a="1"/>
  <c r="V287" i="106" s="1"/>
  <c r="V286" i="106" a="1"/>
  <c r="V286" i="106" s="1"/>
  <c r="V285" i="106" a="1"/>
  <c r="V285" i="106" s="1"/>
  <c r="V298" i="106"/>
  <c r="V301" i="106"/>
  <c r="AR301" i="106"/>
  <c r="AQ292" i="106"/>
  <c r="AQ287" i="106" a="1"/>
  <c r="AQ287" i="106" s="1"/>
  <c r="AQ286" i="106" a="1"/>
  <c r="AQ286" i="106" s="1"/>
  <c r="AK26" i="106"/>
  <c r="BB14" i="106"/>
  <c r="BC14" i="106"/>
  <c r="BG298" i="106"/>
  <c r="U301" i="106"/>
  <c r="AH300" i="106" a="1"/>
  <c r="AH300" i="106" s="1"/>
  <c r="AH297" i="106"/>
  <c r="M26" i="106"/>
  <c r="AO300" i="106" a="1"/>
  <c r="AO300" i="106" s="1"/>
  <c r="AO297" i="106"/>
  <c r="J51" i="106"/>
  <c r="AP297" i="105"/>
  <c r="AP300" i="105" a="1"/>
  <c r="AP300" i="105" s="1"/>
  <c r="BE297" i="105"/>
  <c r="BE300" i="105" a="1"/>
  <c r="BE300" i="105" s="1"/>
  <c r="BB297" i="105"/>
  <c r="BB300" i="105" a="1"/>
  <c r="BB300" i="105" s="1"/>
  <c r="AT297" i="105"/>
  <c r="AT300" i="105" a="1"/>
  <c r="AT300" i="105" s="1"/>
  <c r="AU190" i="105"/>
  <c r="AU14" i="105"/>
  <c r="AA28" i="105"/>
  <c r="Y27" i="105"/>
  <c r="U14" i="105"/>
  <c r="V190" i="105"/>
  <c r="V14" i="105"/>
  <c r="BG292" i="105"/>
  <c r="BG287" i="105" a="1"/>
  <c r="BG287" i="105" s="1"/>
  <c r="BG286" i="105" a="1"/>
  <c r="BG286" i="105" s="1"/>
  <c r="BG301" i="105"/>
  <c r="AS286" i="105" a="1"/>
  <c r="AS286" i="105" s="1"/>
  <c r="AS287" i="105" a="1"/>
  <c r="AS287" i="105" s="1"/>
  <c r="AS292" i="105"/>
  <c r="AS285" i="105" a="1"/>
  <c r="AS285" i="105" s="1"/>
  <c r="AS298" i="105"/>
  <c r="AS301" i="105"/>
  <c r="BA292" i="105"/>
  <c r="BA287" i="105" a="1"/>
  <c r="BA287" i="105" s="1"/>
  <c r="BA286" i="105" a="1"/>
  <c r="BA286" i="105" s="1"/>
  <c r="AQ292" i="105"/>
  <c r="AQ286" i="105" a="1"/>
  <c r="AQ286" i="105" s="1"/>
  <c r="AQ287" i="105" a="1"/>
  <c r="AQ287" i="105" s="1"/>
  <c r="BG298" i="105"/>
  <c r="AQ298" i="105"/>
  <c r="AQ285" i="105" a="1"/>
  <c r="AQ285" i="105" s="1"/>
  <c r="AN28" i="103"/>
  <c r="AN295" i="103" s="1"/>
  <c r="T28" i="103"/>
  <c r="T295" i="103" s="1"/>
  <c r="P28" i="104"/>
  <c r="P295" i="104" s="1"/>
  <c r="U28" i="104"/>
  <c r="U295" i="104" s="1"/>
  <c r="AH285" i="104" a="1"/>
  <c r="AH285" i="104" s="1"/>
  <c r="AS28" i="104"/>
  <c r="AS295" i="104" s="1"/>
  <c r="AP301" i="104"/>
  <c r="BE298" i="104"/>
  <c r="BE300" i="104" s="1" a="1"/>
  <c r="BE300" i="104" s="1"/>
  <c r="AF28" i="104"/>
  <c r="AF295" i="104" s="1"/>
  <c r="AP28" i="105"/>
  <c r="AP295" i="105" s="1"/>
  <c r="AP14" i="105"/>
  <c r="AT12" i="105"/>
  <c r="AT205" i="105"/>
  <c r="AT207" i="105" s="1"/>
  <c r="AU28" i="105"/>
  <c r="AU295" i="105" s="1"/>
  <c r="AC28" i="105"/>
  <c r="AC295" i="105" s="1"/>
  <c r="AZ28" i="105"/>
  <c r="AZ295" i="105" s="1"/>
  <c r="AP292" i="105"/>
  <c r="AP287" i="105" a="1"/>
  <c r="AP287" i="105" s="1"/>
  <c r="AP286" i="105" a="1"/>
  <c r="AP286" i="105" s="1"/>
  <c r="S14" i="105"/>
  <c r="BF297" i="105"/>
  <c r="BF300" i="105" a="1"/>
  <c r="BF300" i="105" s="1"/>
  <c r="T292" i="105"/>
  <c r="T287" i="105" a="1"/>
  <c r="T287" i="105" s="1"/>
  <c r="T286" i="105" a="1"/>
  <c r="T286" i="105" s="1"/>
  <c r="T301" i="105"/>
  <c r="T285" i="105" a="1"/>
  <c r="T285" i="105" s="1"/>
  <c r="BA28" i="105"/>
  <c r="BA295" i="105" s="1"/>
  <c r="AK26" i="105"/>
  <c r="AR287" i="105" a="1"/>
  <c r="AR287" i="105" s="1"/>
  <c r="AR292" i="105"/>
  <c r="AR286" i="105" a="1"/>
  <c r="AR286" i="105" s="1"/>
  <c r="AR301" i="105"/>
  <c r="BA202" i="105"/>
  <c r="AE292" i="105"/>
  <c r="AE287" i="105" a="1"/>
  <c r="AE287" i="105" s="1"/>
  <c r="AE286" i="105" a="1"/>
  <c r="AE286" i="105" s="1"/>
  <c r="AE301" i="105"/>
  <c r="AE285" i="105" a="1"/>
  <c r="AE285" i="105" s="1"/>
  <c r="BE28" i="105"/>
  <c r="BE295" i="105" s="1"/>
  <c r="AI292" i="105"/>
  <c r="AI287" i="105" a="1"/>
  <c r="AI287" i="105" s="1"/>
  <c r="AI286" i="105" a="1"/>
  <c r="AI286" i="105" s="1"/>
  <c r="W300" i="105" a="1"/>
  <c r="W300" i="105" s="1"/>
  <c r="W297" i="105"/>
  <c r="BE28" i="103"/>
  <c r="BE295" i="103" s="1"/>
  <c r="AO28" i="103"/>
  <c r="AO295" i="103" s="1"/>
  <c r="J51" i="103"/>
  <c r="U28" i="103"/>
  <c r="U295" i="103" s="1"/>
  <c r="AH28" i="104"/>
  <c r="AH295" i="104" s="1"/>
  <c r="AO28" i="104"/>
  <c r="AO295" i="104" s="1"/>
  <c r="AQ301" i="104"/>
  <c r="BB301" i="104"/>
  <c r="AP298" i="104"/>
  <c r="AP300" i="104" s="1" a="1"/>
  <c r="AP300" i="104" s="1"/>
  <c r="BE292" i="105"/>
  <c r="BE287" i="105" a="1"/>
  <c r="BE287" i="105" s="1"/>
  <c r="BE286" i="105" a="1"/>
  <c r="BE286" i="105" s="1"/>
  <c r="T28" i="105"/>
  <c r="T295" i="105" s="1"/>
  <c r="AN189" i="105"/>
  <c r="AN14" i="105" s="1"/>
  <c r="AS14" i="105"/>
  <c r="AT190" i="105"/>
  <c r="AT14" i="105"/>
  <c r="V205" i="105"/>
  <c r="V207" i="105" s="1"/>
  <c r="V12" i="105"/>
  <c r="AW26" i="105"/>
  <c r="AI297" i="105"/>
  <c r="AI300" i="105" a="1"/>
  <c r="AI300" i="105" s="1"/>
  <c r="AT28" i="105"/>
  <c r="AT295" i="105" s="1"/>
  <c r="W190" i="105"/>
  <c r="W14" i="105"/>
  <c r="BC28" i="105"/>
  <c r="BC295" i="105" s="1"/>
  <c r="M26" i="105"/>
  <c r="BE285" i="105" a="1"/>
  <c r="BE285" i="105" s="1"/>
  <c r="BF12" i="105"/>
  <c r="BF205" i="105"/>
  <c r="BF207" i="105" s="1"/>
  <c r="AK27" i="105"/>
  <c r="AM28" i="105"/>
  <c r="W219" i="105"/>
  <c r="M218" i="105"/>
  <c r="J218" i="105" s="1"/>
  <c r="BG285" i="105" a="1"/>
  <c r="BG285" i="105" s="1"/>
  <c r="R28" i="105"/>
  <c r="R295" i="105" s="1"/>
  <c r="BG28" i="105"/>
  <c r="BG295" i="105" s="1"/>
  <c r="AD287" i="105" a="1"/>
  <c r="AD287" i="105" s="1"/>
  <c r="AD286" i="105" a="1"/>
  <c r="AD286" i="105" s="1"/>
  <c r="AD292" i="105"/>
  <c r="AD298" i="105"/>
  <c r="AD285" i="105" a="1"/>
  <c r="AD285" i="105" s="1"/>
  <c r="AD301" i="105"/>
  <c r="S28" i="105"/>
  <c r="S295" i="105" s="1"/>
  <c r="AP301" i="105"/>
  <c r="BA301" i="105"/>
  <c r="AO287" i="105" a="1"/>
  <c r="AO287" i="105" s="1"/>
  <c r="AO286" i="105" a="1"/>
  <c r="AO286" i="105" s="1"/>
  <c r="AO292" i="105"/>
  <c r="AO301" i="105"/>
  <c r="AO298" i="105"/>
  <c r="AO285" i="105" a="1"/>
  <c r="AO285" i="105" s="1"/>
  <c r="BA298" i="105"/>
  <c r="T298" i="105"/>
  <c r="AQ301" i="105"/>
  <c r="P28" i="103"/>
  <c r="P295" i="103" s="1"/>
  <c r="AS301" i="103"/>
  <c r="AI28" i="104"/>
  <c r="AI295" i="104" s="1"/>
  <c r="BA28" i="104"/>
  <c r="BA295" i="104" s="1"/>
  <c r="AQ14" i="105"/>
  <c r="AB28" i="105"/>
  <c r="AB295" i="105" s="1"/>
  <c r="AY28" i="105"/>
  <c r="AW27" i="105"/>
  <c r="BE301" i="105"/>
  <c r="Y26" i="105"/>
  <c r="R14" i="105"/>
  <c r="U297" i="105"/>
  <c r="U300" i="105" a="1"/>
  <c r="U300" i="105" s="1"/>
  <c r="M27" i="105"/>
  <c r="O28" i="105"/>
  <c r="BD28" i="105"/>
  <c r="BD295" i="105" s="1"/>
  <c r="AE28" i="105"/>
  <c r="AE295" i="105" s="1"/>
  <c r="AH12" i="105"/>
  <c r="AH205" i="105"/>
  <c r="AH207" i="105" s="1"/>
  <c r="BB292" i="105"/>
  <c r="BB286" i="105" a="1"/>
  <c r="BB286" i="105" s="1"/>
  <c r="BB287" i="105" a="1"/>
  <c r="BB287" i="105" s="1"/>
  <c r="BF28" i="105"/>
  <c r="BF295" i="105" s="1"/>
  <c r="AN28" i="105"/>
  <c r="AN295" i="105" s="1"/>
  <c r="AP285" i="105" a="1"/>
  <c r="AP285" i="105" s="1"/>
  <c r="AT292" i="105"/>
  <c r="AT287" i="105" a="1"/>
  <c r="AT287" i="105" s="1"/>
  <c r="AT286" i="105" a="1"/>
  <c r="AT286" i="105" s="1"/>
  <c r="AT301" i="105"/>
  <c r="AT285" i="105" a="1"/>
  <c r="AT285" i="105" s="1"/>
  <c r="AI28" i="105"/>
  <c r="AI295" i="105" s="1"/>
  <c r="J171" i="105"/>
  <c r="V28" i="105"/>
  <c r="V295" i="105" s="1"/>
  <c r="BC292" i="105"/>
  <c r="BC287" i="105" a="1"/>
  <c r="BC287" i="105" s="1"/>
  <c r="BC286" i="105" a="1"/>
  <c r="BC286" i="105" s="1"/>
  <c r="AI301" i="105"/>
  <c r="AE298" i="105"/>
  <c r="AR298" i="105"/>
  <c r="AU297" i="104"/>
  <c r="AU300" i="104" a="1"/>
  <c r="AU300" i="104" s="1"/>
  <c r="W300" i="104" a="1"/>
  <c r="W300" i="104" s="1"/>
  <c r="W297" i="104"/>
  <c r="AQ297" i="104"/>
  <c r="AQ300" i="104" a="1"/>
  <c r="AQ300" i="104" s="1"/>
  <c r="BB297" i="104"/>
  <c r="BB300" i="104" a="1"/>
  <c r="BB300" i="104" s="1"/>
  <c r="AH297" i="104"/>
  <c r="AH300" i="104" a="1"/>
  <c r="AH300" i="104" s="1"/>
  <c r="AS292" i="104"/>
  <c r="AS287" i="104" a="1"/>
  <c r="AS287" i="104" s="1"/>
  <c r="AS286" i="104" a="1"/>
  <c r="AS286" i="104" s="1"/>
  <c r="BB14" i="104"/>
  <c r="BC14" i="104"/>
  <c r="AY28" i="104"/>
  <c r="AW27" i="104"/>
  <c r="T287" i="104" a="1"/>
  <c r="T287" i="104" s="1"/>
  <c r="T286" i="104" a="1"/>
  <c r="T286" i="104" s="1"/>
  <c r="T292" i="104"/>
  <c r="AI28" i="103"/>
  <c r="AI295" i="103" s="1"/>
  <c r="AE28" i="103"/>
  <c r="AE295" i="103" s="1"/>
  <c r="Q28" i="103"/>
  <c r="Q295" i="103" s="1"/>
  <c r="T285" i="104" a="1"/>
  <c r="T285" i="104" s="1"/>
  <c r="BE28" i="104"/>
  <c r="BE295" i="104" s="1"/>
  <c r="AK26" i="104"/>
  <c r="W219" i="104"/>
  <c r="M218" i="104"/>
  <c r="J218" i="104" s="1"/>
  <c r="AC28" i="104"/>
  <c r="AC295" i="104" s="1"/>
  <c r="AD14" i="104"/>
  <c r="AD292" i="104"/>
  <c r="AD287" i="104" a="1"/>
  <c r="AD287" i="104" s="1"/>
  <c r="AD286" i="104" a="1"/>
  <c r="AD286" i="104" s="1"/>
  <c r="AO292" i="104"/>
  <c r="AO287" i="104" a="1"/>
  <c r="AO287" i="104" s="1"/>
  <c r="AO286" i="104" a="1"/>
  <c r="AO286" i="104" s="1"/>
  <c r="S28" i="104"/>
  <c r="S295" i="104" s="1"/>
  <c r="T298" i="104"/>
  <c r="AP28" i="104"/>
  <c r="AP295" i="104" s="1"/>
  <c r="AT287" i="104" a="1"/>
  <c r="AT287" i="104" s="1"/>
  <c r="AT286" i="104" a="1"/>
  <c r="AT286" i="104" s="1"/>
  <c r="AT292" i="104"/>
  <c r="AA28" i="104"/>
  <c r="Y27" i="104"/>
  <c r="AN28" i="104"/>
  <c r="AN295" i="104" s="1"/>
  <c r="AD28" i="104"/>
  <c r="AD295" i="104" s="1"/>
  <c r="J171" i="104"/>
  <c r="AT285" i="104" a="1"/>
  <c r="AT285" i="104" s="1"/>
  <c r="BA287" i="104" a="1"/>
  <c r="BA287" i="104" s="1"/>
  <c r="BA286" i="104" a="1"/>
  <c r="BA286" i="104" s="1"/>
  <c r="BA292" i="104"/>
  <c r="AE28" i="104"/>
  <c r="AE295" i="104" s="1"/>
  <c r="V28" i="104"/>
  <c r="V295" i="104" s="1"/>
  <c r="BF190" i="104"/>
  <c r="BF14" i="104"/>
  <c r="BG190" i="104"/>
  <c r="BG14" i="104"/>
  <c r="BA301" i="104"/>
  <c r="T301" i="104"/>
  <c r="AU292" i="104"/>
  <c r="AU287" i="104" a="1"/>
  <c r="AU287" i="104" s="1"/>
  <c r="AU286" i="104" a="1"/>
  <c r="AU286" i="104" s="1"/>
  <c r="Y26" i="104"/>
  <c r="AF28" i="103"/>
  <c r="AF295" i="103" s="1"/>
  <c r="BG28" i="103"/>
  <c r="BG295" i="103" s="1"/>
  <c r="V28" i="103"/>
  <c r="V295" i="103" s="1"/>
  <c r="AH190" i="104"/>
  <c r="AH14" i="104"/>
  <c r="AE14" i="104"/>
  <c r="BA300" i="104" a="1"/>
  <c r="BA300" i="104" s="1"/>
  <c r="BA297" i="104"/>
  <c r="AT12" i="104"/>
  <c r="AT205" i="104"/>
  <c r="AT207" i="104" s="1"/>
  <c r="AR292" i="104"/>
  <c r="AR287" i="104" a="1"/>
  <c r="AR287" i="104" s="1"/>
  <c r="AR286" i="104" a="1"/>
  <c r="AR286" i="104" s="1"/>
  <c r="AR298" i="104"/>
  <c r="AR285" i="104" a="1"/>
  <c r="AR285" i="104" s="1"/>
  <c r="AR301" i="104"/>
  <c r="AD298" i="104"/>
  <c r="U297" i="104"/>
  <c r="U300" i="104" a="1"/>
  <c r="U300" i="104" s="1"/>
  <c r="AU285" i="104" a="1"/>
  <c r="AU285" i="104" s="1"/>
  <c r="BF292" i="104"/>
  <c r="BF287" i="104" a="1"/>
  <c r="BF287" i="104" s="1"/>
  <c r="BF286" i="104" a="1"/>
  <c r="BF286" i="104" s="1"/>
  <c r="AZ189" i="104"/>
  <c r="AZ14" i="104" s="1"/>
  <c r="AT298" i="104"/>
  <c r="AK27" i="104"/>
  <c r="AM28" i="104"/>
  <c r="BA28" i="103"/>
  <c r="BA295" i="103" s="1"/>
  <c r="BF28" i="103"/>
  <c r="BF295" i="103" s="1"/>
  <c r="AU28" i="103"/>
  <c r="AU295" i="103" s="1"/>
  <c r="M27" i="104"/>
  <c r="O28" i="104"/>
  <c r="AU301" i="104"/>
  <c r="Q28" i="104"/>
  <c r="Q295" i="104" s="1"/>
  <c r="BF28" i="104"/>
  <c r="BF295" i="104" s="1"/>
  <c r="AW26" i="104"/>
  <c r="AG14" i="104"/>
  <c r="AI190" i="104"/>
  <c r="AI14" i="104"/>
  <c r="AP287" i="104" a="1"/>
  <c r="AP287" i="104" s="1"/>
  <c r="AP286" i="104" a="1"/>
  <c r="AP286" i="104" s="1"/>
  <c r="AP292" i="104"/>
  <c r="BE287" i="104" a="1"/>
  <c r="BE287" i="104" s="1"/>
  <c r="BE286" i="104" a="1"/>
  <c r="BE286" i="104" s="1"/>
  <c r="BE292" i="104"/>
  <c r="T28" i="104"/>
  <c r="T295" i="104" s="1"/>
  <c r="V12" i="104"/>
  <c r="V205" i="104"/>
  <c r="V207" i="104" s="1"/>
  <c r="AQ28" i="104"/>
  <c r="AQ295" i="104" s="1"/>
  <c r="AG28" i="104"/>
  <c r="AG295" i="104" s="1"/>
  <c r="AO301" i="104"/>
  <c r="W28" i="104"/>
  <c r="W295" i="104" s="1"/>
  <c r="AT28" i="104"/>
  <c r="AT295" i="104" s="1"/>
  <c r="AQ292" i="104"/>
  <c r="AQ287" i="104" a="1"/>
  <c r="AQ287" i="104" s="1"/>
  <c r="AQ286" i="104" a="1"/>
  <c r="AQ286" i="104" s="1"/>
  <c r="BB292" i="104"/>
  <c r="BB287" i="104" a="1"/>
  <c r="BB287" i="104" s="1"/>
  <c r="BB286" i="104" a="1"/>
  <c r="BB286" i="104" s="1"/>
  <c r="AB28" i="104"/>
  <c r="AB295" i="104" s="1"/>
  <c r="R28" i="104"/>
  <c r="R295" i="104" s="1"/>
  <c r="BG28" i="104"/>
  <c r="BG295" i="104" s="1"/>
  <c r="W292" i="104"/>
  <c r="W287" i="104" a="1"/>
  <c r="W287" i="104" s="1"/>
  <c r="W286" i="104" a="1"/>
  <c r="W286" i="104" s="1"/>
  <c r="AH292" i="104"/>
  <c r="AH287" i="104" a="1"/>
  <c r="AH287" i="104" s="1"/>
  <c r="AH286" i="104" a="1"/>
  <c r="AH286" i="104" s="1"/>
  <c r="AS301" i="104"/>
  <c r="AZ28" i="104"/>
  <c r="AZ295" i="104" s="1"/>
  <c r="BF285" i="104" a="1"/>
  <c r="BF285" i="104" s="1"/>
  <c r="AR28" i="104"/>
  <c r="AR295" i="104" s="1"/>
  <c r="BE14" i="104"/>
  <c r="AD301" i="104"/>
  <c r="AS298" i="104"/>
  <c r="BD292" i="103"/>
  <c r="BD287" i="103" a="1"/>
  <c r="BD287" i="103" s="1"/>
  <c r="BD286" i="103" a="1"/>
  <c r="BD286" i="103" s="1"/>
  <c r="AG28" i="103"/>
  <c r="AG295" i="103" s="1"/>
  <c r="AD28" i="103"/>
  <c r="AD295" i="103" s="1"/>
  <c r="AT12" i="103"/>
  <c r="AT205" i="103"/>
  <c r="AT207" i="103" s="1"/>
  <c r="V292" i="103"/>
  <c r="V287" i="103" a="1"/>
  <c r="V287" i="103" s="1"/>
  <c r="V286" i="103" a="1"/>
  <c r="V286" i="103" s="1"/>
  <c r="R28" i="103"/>
  <c r="R295" i="103" s="1"/>
  <c r="BD298" i="103"/>
  <c r="AH28" i="103"/>
  <c r="AH295" i="103" s="1"/>
  <c r="AN189" i="103"/>
  <c r="AN14" i="103" s="1"/>
  <c r="V301" i="103"/>
  <c r="AT28" i="103"/>
  <c r="AT295" i="103" s="1"/>
  <c r="W28" i="103"/>
  <c r="W295" i="103" s="1"/>
  <c r="AK27" i="103"/>
  <c r="AM28" i="103"/>
  <c r="AQ292" i="103"/>
  <c r="AQ287" i="103" a="1"/>
  <c r="AQ287" i="103" s="1"/>
  <c r="AQ286" i="103" a="1"/>
  <c r="AQ286" i="103" s="1"/>
  <c r="AQ298" i="103"/>
  <c r="AQ301" i="103"/>
  <c r="AQ285" i="103" a="1"/>
  <c r="AQ285" i="103" s="1"/>
  <c r="AO300" i="103" a="1"/>
  <c r="AO300" i="103" s="1"/>
  <c r="AO297" i="103"/>
  <c r="AB28" i="103"/>
  <c r="AB295" i="103" s="1"/>
  <c r="J171" i="103"/>
  <c r="AG292" i="103"/>
  <c r="AG287" i="103" a="1"/>
  <c r="AG287" i="103" s="1"/>
  <c r="AG286" i="103" a="1"/>
  <c r="AG286" i="103" s="1"/>
  <c r="M26" i="103"/>
  <c r="AQ14" i="103"/>
  <c r="AR292" i="103"/>
  <c r="AR287" i="103" a="1"/>
  <c r="AR287" i="103" s="1"/>
  <c r="AR286" i="103" a="1"/>
  <c r="AR286" i="103" s="1"/>
  <c r="AS300" i="103" a="1"/>
  <c r="AS300" i="103" s="1"/>
  <c r="AS297" i="103"/>
  <c r="W219" i="103"/>
  <c r="M218" i="103"/>
  <c r="J218" i="103" s="1"/>
  <c r="W292" i="103"/>
  <c r="W287" i="103" a="1"/>
  <c r="W287" i="103" s="1"/>
  <c r="W286" i="103" a="1"/>
  <c r="W286" i="103" s="1"/>
  <c r="AT300" i="103" a="1"/>
  <c r="AT300" i="103" s="1"/>
  <c r="AT297" i="103"/>
  <c r="AG300" i="103" a="1"/>
  <c r="AG300" i="103" s="1"/>
  <c r="AG297" i="103"/>
  <c r="AC292" i="103"/>
  <c r="AC287" i="103" a="1"/>
  <c r="AC287" i="103" s="1"/>
  <c r="AC286" i="103" a="1"/>
  <c r="AC286" i="103" s="1"/>
  <c r="BB300" i="103" a="1"/>
  <c r="BB300" i="103" s="1"/>
  <c r="BB297" i="103"/>
  <c r="BE300" i="103" a="1"/>
  <c r="BE300" i="103" s="1"/>
  <c r="BE297" i="103"/>
  <c r="V12" i="103"/>
  <c r="V205" i="103"/>
  <c r="V207" i="103" s="1"/>
  <c r="BC28" i="103"/>
  <c r="BC295" i="103" s="1"/>
  <c r="BB28" i="103"/>
  <c r="BB295" i="103" s="1"/>
  <c r="BC292" i="103"/>
  <c r="BC287" i="103" a="1"/>
  <c r="BC287" i="103" s="1"/>
  <c r="BC286" i="103" a="1"/>
  <c r="BC286" i="103" s="1"/>
  <c r="M27" i="103"/>
  <c r="O28" i="103"/>
  <c r="AP28" i="103"/>
  <c r="AP295" i="103" s="1"/>
  <c r="AP14" i="103"/>
  <c r="AU190" i="103"/>
  <c r="AU14" i="103"/>
  <c r="AR28" i="103"/>
  <c r="AR295" i="103" s="1"/>
  <c r="AS292" i="103"/>
  <c r="AS287" i="103" a="1"/>
  <c r="AS287" i="103" s="1"/>
  <c r="AS286" i="103" a="1"/>
  <c r="AS286" i="103" s="1"/>
  <c r="Y26" i="103"/>
  <c r="R14" i="103"/>
  <c r="S14" i="103"/>
  <c r="AR285" i="103" a="1"/>
  <c r="AR285" i="103" s="1"/>
  <c r="AW26" i="103"/>
  <c r="AS28" i="103"/>
  <c r="AS295" i="103" s="1"/>
  <c r="V298" i="103"/>
  <c r="BE292" i="103"/>
  <c r="BE287" i="103" a="1"/>
  <c r="BE287" i="103" s="1"/>
  <c r="BE286" i="103" a="1"/>
  <c r="BE286" i="103" s="1"/>
  <c r="BE285" i="103" a="1"/>
  <c r="BE285" i="103" s="1"/>
  <c r="BE301" i="103"/>
  <c r="BA202" i="103"/>
  <c r="BD301" i="103"/>
  <c r="AU292" i="103"/>
  <c r="AU286" i="103" a="1"/>
  <c r="AU286" i="103" s="1"/>
  <c r="AU287" i="103" a="1"/>
  <c r="AU287" i="103" s="1"/>
  <c r="AU298" i="103"/>
  <c r="AU285" i="103" a="1"/>
  <c r="AU285" i="103" s="1"/>
  <c r="AU301" i="103"/>
  <c r="AI300" i="103" a="1"/>
  <c r="AI300" i="103" s="1"/>
  <c r="AI297" i="103"/>
  <c r="BG292" i="103"/>
  <c r="BG286" i="103" a="1"/>
  <c r="BG286" i="103" s="1"/>
  <c r="BG287" i="103" a="1"/>
  <c r="BG287" i="103" s="1"/>
  <c r="AS14" i="103"/>
  <c r="AT190" i="103"/>
  <c r="AT14" i="103"/>
  <c r="BC285" i="103" a="1"/>
  <c r="BC285" i="103" s="1"/>
  <c r="Y27" i="103"/>
  <c r="AA28" i="103"/>
  <c r="U14" i="103"/>
  <c r="V190" i="103"/>
  <c r="V14" i="103"/>
  <c r="W190" i="103"/>
  <c r="W14" i="103"/>
  <c r="BC298" i="103"/>
  <c r="AW27" i="103"/>
  <c r="AY28" i="103"/>
  <c r="AR298" i="103"/>
  <c r="AK26" i="103"/>
  <c r="AE300" i="103" a="1"/>
  <c r="AE300" i="103" s="1"/>
  <c r="AE297" i="103"/>
  <c r="BA292" i="103"/>
  <c r="BA287" i="103" a="1"/>
  <c r="BA287" i="103" s="1"/>
  <c r="BA286" i="103" a="1"/>
  <c r="BA286" i="103" s="1"/>
  <c r="BA285" i="103" a="1"/>
  <c r="BA285" i="103" s="1"/>
  <c r="BG301" i="103"/>
  <c r="BG298" i="103"/>
  <c r="AO146" i="24"/>
  <c r="AI300" i="107" l="1" a="1"/>
  <c r="AI300" i="107" s="1"/>
  <c r="BC297" i="104"/>
  <c r="BD300" i="104" a="1"/>
  <c r="BD300" i="104" s="1"/>
  <c r="AZ297" i="104"/>
  <c r="AG300" i="105" a="1"/>
  <c r="AG300" i="105" s="1"/>
  <c r="AH300" i="103" a="1"/>
  <c r="AH300" i="103" s="1"/>
  <c r="AE300" i="107" a="1"/>
  <c r="AE300" i="107" s="1"/>
  <c r="BD297" i="106"/>
  <c r="AZ300" i="106" a="1"/>
  <c r="AZ300" i="106" s="1"/>
  <c r="AD297" i="106"/>
  <c r="AF300" i="104" a="1"/>
  <c r="AF300" i="104" s="1"/>
  <c r="BG297" i="104"/>
  <c r="T297" i="103"/>
  <c r="BF297" i="103"/>
  <c r="AP297" i="103"/>
  <c r="AD300" i="107" a="1"/>
  <c r="AD300" i="107" s="1"/>
  <c r="AC300" i="105" a="1"/>
  <c r="AC300" i="105" s="1"/>
  <c r="BF297" i="107"/>
  <c r="AF297" i="103"/>
  <c r="T297" i="107"/>
  <c r="BA300" i="103" a="1"/>
  <c r="BA300" i="103" s="1"/>
  <c r="V297" i="104"/>
  <c r="W297" i="106"/>
  <c r="AE297" i="104"/>
  <c r="W297" i="103"/>
  <c r="U297" i="103"/>
  <c r="AZ297" i="107"/>
  <c r="V300" i="105" a="1"/>
  <c r="V300" i="105" s="1"/>
  <c r="AC297" i="103"/>
  <c r="BC297" i="105"/>
  <c r="AS297" i="106"/>
  <c r="BC300" i="107" a="1"/>
  <c r="BC300" i="107" s="1"/>
  <c r="BD300" i="105" a="1"/>
  <c r="BD300" i="105" s="1"/>
  <c r="BD297" i="105"/>
  <c r="AG300" i="104" a="1"/>
  <c r="AG300" i="104" s="1"/>
  <c r="AF300" i="105" a="1"/>
  <c r="AF300" i="105" s="1"/>
  <c r="AP297" i="104"/>
  <c r="AC300" i="107" a="1"/>
  <c r="AC300" i="107" s="1"/>
  <c r="BG300" i="107" a="1"/>
  <c r="BG300" i="107" s="1"/>
  <c r="BE297" i="107"/>
  <c r="BA297" i="106"/>
  <c r="BF300" i="104" a="1"/>
  <c r="BF300" i="104" s="1"/>
  <c r="AO300" i="104" a="1"/>
  <c r="AO300" i="104" s="1"/>
  <c r="AU300" i="105" a="1"/>
  <c r="AU300" i="105" s="1"/>
  <c r="BE297" i="104"/>
  <c r="AP297" i="107"/>
  <c r="AP300" i="107" a="1"/>
  <c r="AP300" i="107" s="1"/>
  <c r="O295" i="107"/>
  <c r="M28" i="107"/>
  <c r="M29" i="107" s="1"/>
  <c r="AY295" i="107"/>
  <c r="AW28" i="107"/>
  <c r="AS300" i="107" a="1"/>
  <c r="AS300" i="107" s="1"/>
  <c r="AS297" i="107"/>
  <c r="J26" i="107"/>
  <c r="AM295" i="107"/>
  <c r="AK28" i="107"/>
  <c r="AO93" i="107" s="1"/>
  <c r="AO95" i="107" s="1"/>
  <c r="AU300" i="107" a="1"/>
  <c r="AU300" i="107" s="1"/>
  <c r="AU297" i="107"/>
  <c r="AT297" i="107"/>
  <c r="AT300" i="107" a="1"/>
  <c r="AT300" i="107" s="1"/>
  <c r="J27" i="107"/>
  <c r="BA93" i="107"/>
  <c r="BA95" i="107" s="1"/>
  <c r="BA297" i="107"/>
  <c r="BA300" i="107" a="1"/>
  <c r="BA300" i="107" s="1"/>
  <c r="AM93" i="107"/>
  <c r="AM95" i="107" s="1"/>
  <c r="AG297" i="107"/>
  <c r="AG300" i="107" a="1"/>
  <c r="AG300" i="107" s="1"/>
  <c r="AA295" i="107"/>
  <c r="Y28" i="107"/>
  <c r="AC93" i="107" s="1"/>
  <c r="AC95" i="107" s="1"/>
  <c r="AH300" i="107" a="1"/>
  <c r="AH300" i="107" s="1"/>
  <c r="AH297" i="107"/>
  <c r="AQ300" i="107" a="1"/>
  <c r="AQ300" i="107" s="1"/>
  <c r="AQ297" i="107"/>
  <c r="AY93" i="107"/>
  <c r="AY95" i="107" s="1"/>
  <c r="AR300" i="106" a="1"/>
  <c r="AR300" i="106" s="1"/>
  <c r="AR297" i="106"/>
  <c r="O295" i="106"/>
  <c r="M28" i="106"/>
  <c r="Q93" i="106" s="1"/>
  <c r="Q95" i="106" s="1"/>
  <c r="AQ297" i="106"/>
  <c r="AQ300" i="106" a="1"/>
  <c r="AQ300" i="106" s="1"/>
  <c r="AM295" i="106"/>
  <c r="AK28" i="106"/>
  <c r="AM93" i="106" s="1"/>
  <c r="AM95" i="106" s="1"/>
  <c r="BE300" i="106" a="1"/>
  <c r="BE300" i="106" s="1"/>
  <c r="BE297" i="106"/>
  <c r="AW28" i="106"/>
  <c r="BG300" i="106" a="1"/>
  <c r="BG300" i="106" s="1"/>
  <c r="BG297" i="106"/>
  <c r="V300" i="106" a="1"/>
  <c r="V300" i="106" s="1"/>
  <c r="V297" i="106"/>
  <c r="U297" i="106"/>
  <c r="U300" i="106" a="1"/>
  <c r="U300" i="106" s="1"/>
  <c r="BC300" i="106" a="1"/>
  <c r="BC300" i="106" s="1"/>
  <c r="BC297" i="106"/>
  <c r="AE300" i="106" a="1"/>
  <c r="AE300" i="106" s="1"/>
  <c r="AE297" i="106"/>
  <c r="J27" i="106"/>
  <c r="AI300" i="106" a="1"/>
  <c r="AI300" i="106" s="1"/>
  <c r="AI297" i="106"/>
  <c r="AB295" i="106"/>
  <c r="Y28" i="106"/>
  <c r="Y29" i="106" s="1"/>
  <c r="J27" i="105"/>
  <c r="J26" i="106"/>
  <c r="BA297" i="105"/>
  <c r="BA300" i="105" a="1"/>
  <c r="BA300" i="105" s="1"/>
  <c r="J26" i="105"/>
  <c r="AR297" i="105"/>
  <c r="AR300" i="105" a="1"/>
  <c r="AR300" i="105" s="1"/>
  <c r="O295" i="105"/>
  <c r="M28" i="105"/>
  <c r="O93" i="105" s="1"/>
  <c r="O95" i="105" s="1"/>
  <c r="AY295" i="105"/>
  <c r="AW28" i="105"/>
  <c r="BA93" i="105" s="1"/>
  <c r="BA95" i="105" s="1"/>
  <c r="AE297" i="105"/>
  <c r="AE300" i="105" a="1"/>
  <c r="AE300" i="105" s="1"/>
  <c r="T297" i="105"/>
  <c r="T300" i="105" a="1"/>
  <c r="T300" i="105" s="1"/>
  <c r="AO297" i="105"/>
  <c r="AO300" i="105" a="1"/>
  <c r="AO300" i="105" s="1"/>
  <c r="AD300" i="105" a="1"/>
  <c r="AD300" i="105" s="1"/>
  <c r="AD297" i="105"/>
  <c r="BG297" i="105"/>
  <c r="BG300" i="105" a="1"/>
  <c r="BG300" i="105" s="1"/>
  <c r="J27" i="104"/>
  <c r="AM295" i="105"/>
  <c r="AK28" i="105"/>
  <c r="AO93" i="105" s="1"/>
  <c r="AO95" i="105" s="1"/>
  <c r="AY93" i="105"/>
  <c r="AY95" i="105" s="1"/>
  <c r="AQ297" i="105"/>
  <c r="AQ300" i="105" a="1"/>
  <c r="AQ300" i="105" s="1"/>
  <c r="AS300" i="105" a="1"/>
  <c r="AS300" i="105" s="1"/>
  <c r="AS297" i="105"/>
  <c r="AA295" i="105"/>
  <c r="Y28" i="105"/>
  <c r="Y29" i="105" s="1"/>
  <c r="T300" i="104" a="1"/>
  <c r="T300" i="104" s="1"/>
  <c r="T297" i="104"/>
  <c r="AY295" i="104"/>
  <c r="AW28" i="104"/>
  <c r="AM295" i="104"/>
  <c r="AK28" i="104"/>
  <c r="AK29" i="104" s="1"/>
  <c r="AR300" i="104" a="1"/>
  <c r="AR300" i="104" s="1"/>
  <c r="AR297" i="104"/>
  <c r="AS300" i="104" a="1"/>
  <c r="AS300" i="104" s="1"/>
  <c r="AS297" i="104"/>
  <c r="AY93" i="104"/>
  <c r="AY95" i="104" s="1"/>
  <c r="BA93" i="104"/>
  <c r="BA95" i="104" s="1"/>
  <c r="O295" i="104"/>
  <c r="M28" i="104"/>
  <c r="Q93" i="104" s="1"/>
  <c r="Q95" i="104" s="1"/>
  <c r="AD300" i="104" a="1"/>
  <c r="AD300" i="104" s="1"/>
  <c r="AD297" i="104"/>
  <c r="AT300" i="104" a="1"/>
  <c r="AT300" i="104" s="1"/>
  <c r="AT297" i="104"/>
  <c r="AA295" i="104"/>
  <c r="Y28" i="104"/>
  <c r="Y29" i="104" s="1"/>
  <c r="J26" i="104"/>
  <c r="BG300" i="103" a="1"/>
  <c r="BG300" i="103" s="1"/>
  <c r="BG297" i="103"/>
  <c r="J27" i="103"/>
  <c r="AM295" i="103"/>
  <c r="AK28" i="103"/>
  <c r="AO93" i="103" s="1"/>
  <c r="AO95" i="103" s="1"/>
  <c r="AY295" i="103"/>
  <c r="AW28" i="103"/>
  <c r="AY93" i="103" s="1"/>
  <c r="AY95" i="103" s="1"/>
  <c r="AR300" i="103" a="1"/>
  <c r="AR300" i="103" s="1"/>
  <c r="AR297" i="103"/>
  <c r="BC300" i="103" a="1"/>
  <c r="BC300" i="103" s="1"/>
  <c r="BC297" i="103"/>
  <c r="AA295" i="103"/>
  <c r="Y28" i="103"/>
  <c r="Y29" i="103" s="1"/>
  <c r="AU300" i="103" a="1"/>
  <c r="AU300" i="103" s="1"/>
  <c r="AU297" i="103"/>
  <c r="V300" i="103" a="1"/>
  <c r="V300" i="103" s="1"/>
  <c r="V297" i="103"/>
  <c r="O295" i="103"/>
  <c r="M28" i="103"/>
  <c r="O93" i="103" s="1"/>
  <c r="J26" i="103"/>
  <c r="AQ300" i="103" a="1"/>
  <c r="AQ300" i="103" s="1"/>
  <c r="AQ297" i="103"/>
  <c r="BD300" i="103" a="1"/>
  <c r="BD300" i="103" s="1"/>
  <c r="BD297" i="103"/>
  <c r="O133" i="24"/>
  <c r="O145" i="24" s="1"/>
  <c r="O103" i="24"/>
  <c r="O77" i="24"/>
  <c r="O98" i="24" s="1"/>
  <c r="S133" i="24"/>
  <c r="S154" i="24" s="1"/>
  <c r="V77" i="24"/>
  <c r="V98" i="24" s="1"/>
  <c r="AA93" i="103" l="1"/>
  <c r="AA95" i="103" s="1"/>
  <c r="AC93" i="103"/>
  <c r="AC95" i="103" s="1"/>
  <c r="AA93" i="106"/>
  <c r="AA95" i="106" s="1"/>
  <c r="J28" i="103"/>
  <c r="O93" i="106"/>
  <c r="O95" i="106" s="1"/>
  <c r="AK29" i="107"/>
  <c r="M29" i="106"/>
  <c r="AK29" i="106"/>
  <c r="AO93" i="106"/>
  <c r="AO95" i="106" s="1"/>
  <c r="AC93" i="106"/>
  <c r="AC95" i="106" s="1"/>
  <c r="J28" i="107"/>
  <c r="Q93" i="103"/>
  <c r="Q95" i="103" s="1"/>
  <c r="AA93" i="107"/>
  <c r="AA95" i="107" s="1"/>
  <c r="O93" i="107"/>
  <c r="O95" i="107" s="1"/>
  <c r="Y29" i="107"/>
  <c r="Q93" i="107"/>
  <c r="Q95" i="107" s="1"/>
  <c r="BA93" i="103"/>
  <c r="BA95" i="103" s="1"/>
  <c r="J28" i="106"/>
  <c r="AY93" i="106"/>
  <c r="AY95" i="106" s="1"/>
  <c r="BA93" i="106"/>
  <c r="BA95" i="106" s="1"/>
  <c r="AC93" i="105"/>
  <c r="AC95" i="105" s="1"/>
  <c r="AM93" i="105"/>
  <c r="AM95" i="105" s="1"/>
  <c r="AM93" i="104"/>
  <c r="AM95" i="104" s="1"/>
  <c r="AA93" i="105"/>
  <c r="AA95" i="105" s="1"/>
  <c r="AK29" i="105"/>
  <c r="M29" i="105"/>
  <c r="M29" i="104"/>
  <c r="J28" i="105"/>
  <c r="Q93" i="105"/>
  <c r="Q95" i="105" s="1"/>
  <c r="O95" i="103"/>
  <c r="M29" i="103"/>
  <c r="O93" i="104"/>
  <c r="O95" i="104" s="1"/>
  <c r="AO93" i="104"/>
  <c r="AO95" i="104" s="1"/>
  <c r="AA93" i="104"/>
  <c r="AA95" i="104" s="1"/>
  <c r="J28" i="104"/>
  <c r="AC93" i="104"/>
  <c r="AC95" i="104" s="1"/>
  <c r="AM93" i="103"/>
  <c r="AM95" i="103" s="1"/>
  <c r="AK29" i="103"/>
  <c r="O154" i="24"/>
  <c r="O89" i="24"/>
  <c r="S145" i="24"/>
  <c r="V89" i="24"/>
  <c r="AF38" i="24"/>
  <c r="AG38" i="24" s="1"/>
  <c r="AF37" i="24"/>
  <c r="AG37" i="24" s="1"/>
  <c r="AD42" i="24"/>
  <c r="AG36" i="24"/>
  <c r="AH36" i="24"/>
  <c r="AI36" i="24" s="1"/>
  <c r="AH38" i="24" l="1"/>
  <c r="AI38" i="24" s="1"/>
  <c r="AH37" i="24"/>
  <c r="AI37" i="24" s="1"/>
  <c r="AI41" i="24" l="1"/>
  <c r="AH43" i="24" s="1"/>
  <c r="AG44" i="24" s="1"/>
  <c r="AE45" i="24" s="1"/>
  <c r="E3" i="23"/>
  <c r="AB225" i="24"/>
  <c r="AA225" i="24"/>
  <c r="AA227" i="24" s="1"/>
  <c r="Z225" i="24"/>
  <c r="AB224" i="24"/>
  <c r="AA224" i="24"/>
  <c r="Z224" i="24"/>
  <c r="AI232" i="24"/>
  <c r="AI235" i="24" s="1"/>
  <c r="AH232" i="24"/>
  <c r="AH235" i="24" s="1"/>
  <c r="AG232" i="24"/>
  <c r="AG235" i="24" s="1"/>
  <c r="AF232" i="24"/>
  <c r="AF235" i="24" s="1"/>
  <c r="AE232" i="24"/>
  <c r="AE235" i="24" s="1"/>
  <c r="AI231" i="24"/>
  <c r="AI234" i="24" s="1"/>
  <c r="AH231" i="24"/>
  <c r="AH234" i="24" s="1"/>
  <c r="AG231" i="24"/>
  <c r="AG234" i="24" s="1"/>
  <c r="AF231" i="24"/>
  <c r="AF234" i="24" s="1"/>
  <c r="AE231" i="24"/>
  <c r="AE234" i="24" s="1"/>
  <c r="AI230" i="24"/>
  <c r="AI233" i="24" s="1"/>
  <c r="AH230" i="24"/>
  <c r="AH233" i="24" s="1"/>
  <c r="AG230" i="24"/>
  <c r="AG233" i="24" s="1"/>
  <c r="AF230" i="24"/>
  <c r="AF233" i="24" s="1"/>
  <c r="AE230" i="24"/>
  <c r="AE233" i="24" s="1"/>
  <c r="AI227" i="24"/>
  <c r="AH227" i="24"/>
  <c r="AG227" i="24"/>
  <c r="AF227" i="24"/>
  <c r="AE227" i="24"/>
  <c r="AI226" i="24"/>
  <c r="AH226" i="24"/>
  <c r="AG226" i="24"/>
  <c r="AF226" i="24"/>
  <c r="AE226" i="24"/>
  <c r="AI225" i="24"/>
  <c r="AH225" i="24"/>
  <c r="AG225" i="24"/>
  <c r="AF225" i="24"/>
  <c r="AE225" i="24"/>
  <c r="AI224" i="24"/>
  <c r="AH224" i="24"/>
  <c r="AG224" i="24"/>
  <c r="AF224" i="24"/>
  <c r="AE224" i="24"/>
  <c r="AI220" i="24"/>
  <c r="AH220" i="24"/>
  <c r="AG220" i="24"/>
  <c r="AF220" i="24"/>
  <c r="AE220" i="24"/>
  <c r="AI219" i="24"/>
  <c r="AH219" i="24"/>
  <c r="AG219" i="24"/>
  <c r="AF219" i="24"/>
  <c r="AE219" i="24"/>
  <c r="AI218" i="24"/>
  <c r="AH218" i="24"/>
  <c r="AG218" i="24"/>
  <c r="AF218" i="24"/>
  <c r="AE218" i="24"/>
  <c r="AJ218" i="24"/>
  <c r="AJ219" i="24"/>
  <c r="AJ220" i="24"/>
  <c r="AJ224" i="24"/>
  <c r="AJ225" i="24"/>
  <c r="AJ226" i="24"/>
  <c r="AJ227" i="24"/>
  <c r="AJ230" i="24"/>
  <c r="AJ233" i="24" s="1"/>
  <c r="AJ231" i="24"/>
  <c r="AJ234" i="24" s="1"/>
  <c r="AJ232" i="24"/>
  <c r="AJ235" i="24" s="1"/>
  <c r="AA235" i="24"/>
  <c r="AA234" i="24"/>
  <c r="AA233" i="24"/>
  <c r="H6" i="55"/>
  <c r="AR146" i="24" l="1"/>
  <c r="AR145" i="24"/>
  <c r="AM232" i="24"/>
  <c r="AM235" i="24" s="1"/>
  <c r="AL232" i="24"/>
  <c r="AL235" i="24" s="1"/>
  <c r="AK232" i="24"/>
  <c r="AK235" i="24" s="1"/>
  <c r="AD232" i="24"/>
  <c r="AD235" i="24" s="1"/>
  <c r="AM231" i="24"/>
  <c r="AM234" i="24" s="1"/>
  <c r="AL231" i="24"/>
  <c r="AL234" i="24" s="1"/>
  <c r="AK231" i="24"/>
  <c r="AK234" i="24" s="1"/>
  <c r="AD231" i="24"/>
  <c r="AD234" i="24" s="1"/>
  <c r="AM230" i="24"/>
  <c r="AM233" i="24" s="1"/>
  <c r="AL230" i="24"/>
  <c r="AL233" i="24" s="1"/>
  <c r="AK230" i="24"/>
  <c r="AK233" i="24" s="1"/>
  <c r="AD230" i="24"/>
  <c r="AD233" i="24" s="1"/>
  <c r="AC230" i="24"/>
  <c r="AC233" i="24" s="1"/>
  <c r="AC231" i="24"/>
  <c r="AC234" i="24" s="1"/>
  <c r="AC232" i="24"/>
  <c r="AC235" i="24" s="1"/>
  <c r="AB235" i="24"/>
  <c r="Z235" i="24"/>
  <c r="Y235" i="24"/>
  <c r="X235" i="24"/>
  <c r="W235" i="24"/>
  <c r="V235" i="24"/>
  <c r="U235" i="24"/>
  <c r="T235" i="24"/>
  <c r="S235" i="24"/>
  <c r="R235" i="24"/>
  <c r="Q235" i="24"/>
  <c r="P235" i="24"/>
  <c r="O235" i="24"/>
  <c r="N235" i="24"/>
  <c r="M235" i="24"/>
  <c r="L235" i="24"/>
  <c r="K235" i="24"/>
  <c r="J235" i="24"/>
  <c r="AB234" i="24"/>
  <c r="Z234" i="24"/>
  <c r="Y234" i="24"/>
  <c r="X234" i="24"/>
  <c r="W234" i="24"/>
  <c r="V234" i="24"/>
  <c r="U234" i="24"/>
  <c r="T234" i="24"/>
  <c r="S234" i="24"/>
  <c r="R234" i="24"/>
  <c r="Q234" i="24"/>
  <c r="P234" i="24"/>
  <c r="O234" i="24"/>
  <c r="N234" i="24"/>
  <c r="M234" i="24"/>
  <c r="L234" i="24"/>
  <c r="K234" i="24"/>
  <c r="J234" i="24"/>
  <c r="AB233" i="24"/>
  <c r="Z233" i="24"/>
  <c r="Y233" i="24"/>
  <c r="X233" i="24"/>
  <c r="W233" i="24"/>
  <c r="V233" i="24"/>
  <c r="U233" i="24"/>
  <c r="T233" i="24"/>
  <c r="S233" i="24"/>
  <c r="R233" i="24"/>
  <c r="Q233" i="24"/>
  <c r="P233" i="24"/>
  <c r="O233" i="24"/>
  <c r="N233" i="24"/>
  <c r="M233" i="24"/>
  <c r="L233" i="24"/>
  <c r="K233" i="24"/>
  <c r="J233" i="24"/>
  <c r="I234" i="24"/>
  <c r="I235" i="24"/>
  <c r="I233" i="24"/>
  <c r="AM220" i="24"/>
  <c r="AL220" i="24"/>
  <c r="AK220" i="24"/>
  <c r="AD220" i="24"/>
  <c r="AC220" i="24"/>
  <c r="AM226" i="24"/>
  <c r="AL226" i="24"/>
  <c r="AK226" i="24"/>
  <c r="AD226" i="24"/>
  <c r="AC226" i="24"/>
  <c r="AM225" i="24"/>
  <c r="AL225" i="24"/>
  <c r="AK225" i="24"/>
  <c r="AD225" i="24"/>
  <c r="AM224" i="24"/>
  <c r="AL224" i="24"/>
  <c r="AK224" i="24"/>
  <c r="AD224" i="24"/>
  <c r="AC225" i="24"/>
  <c r="AC224" i="24"/>
  <c r="AM219" i="24"/>
  <c r="AL219" i="24"/>
  <c r="AK219" i="24"/>
  <c r="AD219" i="24"/>
  <c r="AC219" i="24"/>
  <c r="AM227" i="24"/>
  <c r="AL227" i="24"/>
  <c r="AK227" i="24"/>
  <c r="AD227" i="24"/>
  <c r="AC227" i="24"/>
  <c r="AD218" i="24"/>
  <c r="AK218" i="24"/>
  <c r="AL218" i="24"/>
  <c r="AM218" i="24"/>
  <c r="AC218" i="24"/>
  <c r="I240" i="24"/>
  <c r="J240" i="24" s="1"/>
  <c r="K240" i="24" s="1"/>
  <c r="L240" i="24" s="1"/>
  <c r="M240" i="24" s="1"/>
  <c r="N240" i="24" s="1"/>
  <c r="O240" i="24" s="1"/>
  <c r="P240" i="24" s="1"/>
  <c r="Q240" i="24" s="1"/>
  <c r="R240" i="24" s="1"/>
  <c r="S240" i="24" s="1"/>
  <c r="T240" i="24" s="1"/>
  <c r="U240" i="24" s="1"/>
  <c r="V240" i="24" s="1"/>
  <c r="W240" i="24" s="1"/>
  <c r="X240" i="24" s="1"/>
  <c r="Y240" i="24" s="1"/>
  <c r="Z240" i="24" s="1"/>
  <c r="AA240" i="24" s="1"/>
  <c r="AB240" i="24" s="1"/>
  <c r="AC240" i="24" s="1"/>
  <c r="AD240" i="24" s="1"/>
  <c r="AE240" i="24" s="1"/>
  <c r="AF240" i="24" s="1"/>
  <c r="AG240" i="24" s="1"/>
  <c r="AH240" i="24" s="1"/>
  <c r="AI240" i="24" s="1"/>
  <c r="AJ240" i="24" s="1"/>
  <c r="AK240" i="24" s="1"/>
  <c r="AL240" i="24" s="1"/>
  <c r="AM240" i="24" s="1"/>
  <c r="AN240" i="24" s="1"/>
  <c r="AO240" i="24" s="1"/>
  <c r="AP240" i="24" s="1"/>
  <c r="AQ240" i="24" s="1"/>
  <c r="AR240" i="24" s="1"/>
  <c r="AS240" i="24" s="1"/>
  <c r="AT240" i="24" s="1"/>
  <c r="AU240" i="24" s="1"/>
  <c r="AV240" i="24" s="1"/>
  <c r="AW240" i="24" s="1"/>
  <c r="AX240" i="24" s="1"/>
  <c r="AY240" i="24" s="1"/>
  <c r="AZ240" i="24" s="1"/>
  <c r="BA240" i="24" s="1"/>
  <c r="BB240" i="24" s="1"/>
  <c r="BC240" i="24" s="1"/>
  <c r="BD240" i="24" s="1"/>
  <c r="BE240" i="24" s="1"/>
  <c r="BF240" i="24" s="1"/>
  <c r="BG240" i="24" s="1"/>
  <c r="BH240" i="24" l="1"/>
  <c r="BI240" i="24" s="1"/>
  <c r="BJ240" i="24" s="1"/>
  <c r="BK240" i="24" s="1"/>
  <c r="BL240" i="24" s="1"/>
  <c r="BM240" i="24" s="1"/>
  <c r="BN240" i="24" s="1"/>
  <c r="BO240" i="24" s="1"/>
  <c r="BP240" i="24" s="1"/>
  <c r="BQ240" i="24" s="1"/>
  <c r="BR240" i="24" s="1"/>
  <c r="BS240" i="24" s="1"/>
  <c r="BT240" i="24" s="1"/>
  <c r="BU240" i="24" s="1"/>
  <c r="BV240" i="24" s="1"/>
  <c r="BW240" i="24" s="1"/>
  <c r="BX240" i="24" s="1"/>
  <c r="BY240" i="24" s="1"/>
  <c r="BZ240" i="24" s="1"/>
  <c r="CA240" i="24" s="1"/>
  <c r="CB240" i="24" s="1"/>
  <c r="CC240" i="24" s="1"/>
  <c r="CD240" i="24" s="1"/>
  <c r="CE240" i="24" s="1"/>
  <c r="CF240" i="24" s="1"/>
  <c r="CG240" i="24" s="1"/>
  <c r="CH240" i="24" s="1"/>
  <c r="CI240" i="24" s="1"/>
  <c r="CJ240" i="24" s="1"/>
  <c r="CK240" i="24" s="1"/>
  <c r="CL240" i="24" s="1"/>
  <c r="CM240" i="24" s="1"/>
  <c r="CN240" i="24" s="1"/>
  <c r="CO240" i="24" s="1"/>
  <c r="CP240" i="24" s="1"/>
  <c r="CQ240" i="24" s="1"/>
  <c r="CR240" i="24" s="1"/>
  <c r="CS240" i="24" s="1"/>
  <c r="CT240" i="24" s="1"/>
  <c r="CU240" i="24" s="1"/>
  <c r="CV240" i="24" s="1"/>
  <c r="CW240" i="24" s="1"/>
  <c r="CX240" i="24" s="1"/>
  <c r="CY240" i="24" s="1"/>
  <c r="CZ240" i="24" s="1"/>
  <c r="DA240" i="24" s="1"/>
  <c r="DB240" i="24" s="1"/>
  <c r="DC240" i="24" s="1"/>
  <c r="DD240" i="24" s="1"/>
  <c r="AO145" i="24"/>
  <c r="AN154" i="24"/>
  <c r="AM154" i="24"/>
  <c r="AN145" i="24"/>
  <c r="AM145" i="24"/>
  <c r="AQ154" i="24"/>
  <c r="AP154" i="24"/>
  <c r="AQ145" i="24"/>
  <c r="AP145" i="24"/>
  <c r="AX154" i="24"/>
  <c r="AW154" i="24"/>
  <c r="AV154" i="24"/>
  <c r="AU154" i="24"/>
  <c r="AT154" i="24"/>
  <c r="AX145" i="24"/>
  <c r="AW145" i="24"/>
  <c r="AV145" i="24"/>
  <c r="AU145" i="24"/>
  <c r="AT145" i="24"/>
  <c r="J418" i="24" l="1"/>
  <c r="L418" i="24"/>
  <c r="K418" i="24"/>
  <c r="I418" i="24"/>
  <c r="J39" i="24"/>
  <c r="J40" i="24" s="1"/>
  <c r="K39" i="24"/>
  <c r="K40" i="24" s="1"/>
  <c r="J41" i="24"/>
  <c r="K41" i="24"/>
  <c r="J42" i="24"/>
  <c r="K42" i="24"/>
  <c r="J43" i="24"/>
  <c r="K43" i="24"/>
  <c r="AS145" i="24" l="1"/>
  <c r="AL154" i="24" l="1"/>
  <c r="AK154" i="24"/>
  <c r="AL98" i="24"/>
  <c r="AK98" i="24"/>
  <c r="V227" i="24"/>
  <c r="V225" i="24"/>
  <c r="V224" i="24"/>
  <c r="W224" i="24"/>
  <c r="X224" i="24"/>
  <c r="Y224" i="24"/>
  <c r="W225" i="24"/>
  <c r="W227" i="24" s="1"/>
  <c r="X225" i="24"/>
  <c r="X227" i="24" s="1"/>
  <c r="Y225" i="24"/>
  <c r="Y227" i="24"/>
  <c r="Z227" i="24"/>
  <c r="W222" i="55" l="1"/>
  <c r="V222" i="55"/>
  <c r="U222" i="55"/>
  <c r="T222" i="55"/>
  <c r="S222" i="55"/>
  <c r="R222" i="55"/>
  <c r="Q222" i="55"/>
  <c r="P222" i="55"/>
  <c r="O222" i="55"/>
  <c r="P111" i="55" l="1"/>
  <c r="V9" i="61" l="1"/>
  <c r="U9" i="61"/>
  <c r="T9" i="61"/>
  <c r="R9" i="61"/>
  <c r="Q9" i="61"/>
  <c r="P9" i="61"/>
  <c r="M14" i="61"/>
  <c r="Q17" i="61" l="1"/>
  <c r="Q18" i="61"/>
  <c r="Q13" i="61"/>
  <c r="Q14" i="61"/>
  <c r="Q15" i="61"/>
  <c r="Q16" i="61"/>
  <c r="P17" i="61"/>
  <c r="P18" i="61"/>
  <c r="P13" i="61"/>
  <c r="P14" i="61"/>
  <c r="P15" i="61"/>
  <c r="P16" i="61"/>
  <c r="R17" i="61"/>
  <c r="R18" i="61"/>
  <c r="R15" i="61"/>
  <c r="R13" i="61"/>
  <c r="R14" i="61"/>
  <c r="R16" i="61"/>
  <c r="T14" i="61"/>
  <c r="T15" i="61"/>
  <c r="T18" i="61"/>
  <c r="T13" i="61"/>
  <c r="T16" i="61"/>
  <c r="T17" i="61"/>
  <c r="U18" i="61"/>
  <c r="U15" i="61"/>
  <c r="U16" i="61"/>
  <c r="U17" i="61"/>
  <c r="U14" i="61"/>
  <c r="U13" i="61"/>
  <c r="V18" i="61"/>
  <c r="V16" i="61"/>
  <c r="V13" i="61"/>
  <c r="V17" i="61"/>
  <c r="V14" i="61"/>
  <c r="V15" i="61"/>
  <c r="M15" i="61"/>
  <c r="AI14" i="61"/>
  <c r="AI15" i="61" s="1"/>
  <c r="X14" i="61"/>
  <c r="B14" i="61"/>
  <c r="X15" i="61" l="1"/>
  <c r="B15" i="61"/>
  <c r="E1" i="43" l="1"/>
  <c r="E1" i="15"/>
  <c r="E1" i="30"/>
  <c r="E1" i="23"/>
  <c r="E1" i="51"/>
  <c r="E1" i="24"/>
  <c r="AX98" i="24" l="1"/>
  <c r="E1" i="55" l="1"/>
  <c r="E3" i="55"/>
  <c r="H5" i="55"/>
  <c r="T164" i="55" s="1"/>
  <c r="AY164" i="55" l="1"/>
  <c r="AB164" i="55"/>
  <c r="AZ164" i="55"/>
  <c r="AR164" i="55"/>
  <c r="U164" i="55"/>
  <c r="AC164" i="55"/>
  <c r="AD164" i="55"/>
  <c r="AF164" i="55"/>
  <c r="BD164" i="55"/>
  <c r="AO164" i="55"/>
  <c r="S164" i="55"/>
  <c r="AS164" i="55"/>
  <c r="BB164" i="55"/>
  <c r="BC164" i="55"/>
  <c r="AG164" i="55"/>
  <c r="BE164" i="55"/>
  <c r="AE164" i="55"/>
  <c r="AH164" i="55"/>
  <c r="BF164" i="55"/>
  <c r="O164" i="55"/>
  <c r="AM164" i="55"/>
  <c r="M182" i="55"/>
  <c r="V164" i="55"/>
  <c r="AT164" i="55"/>
  <c r="AA164" i="55"/>
  <c r="BA164" i="55"/>
  <c r="P164" i="55"/>
  <c r="AN164" i="55"/>
  <c r="Y182" i="55"/>
  <c r="R164" i="55"/>
  <c r="AP164" i="55"/>
  <c r="AW182" i="55"/>
  <c r="AQ164" i="55"/>
  <c r="Q164" i="55"/>
  <c r="AK182" i="55"/>
  <c r="U219" i="24"/>
  <c r="I225" i="24" l="1"/>
  <c r="I227" i="24" s="1"/>
  <c r="J225" i="24"/>
  <c r="J227" i="24" s="1"/>
  <c r="K225" i="24"/>
  <c r="K227" i="24" s="1"/>
  <c r="L225" i="24"/>
  <c r="L227" i="24" s="1"/>
  <c r="M225" i="24"/>
  <c r="M227" i="24" s="1"/>
  <c r="N225" i="24"/>
  <c r="N227" i="24" s="1"/>
  <c r="O225" i="24"/>
  <c r="O227" i="24" s="1"/>
  <c r="P225" i="24"/>
  <c r="P227" i="24" s="1"/>
  <c r="Q225" i="24"/>
  <c r="Q227" i="24" s="1"/>
  <c r="R225" i="24"/>
  <c r="R227" i="24" s="1"/>
  <c r="S225" i="24"/>
  <c r="S227" i="24" s="1"/>
  <c r="T225" i="24"/>
  <c r="T227" i="24" s="1"/>
  <c r="U225" i="24"/>
  <c r="U227" i="24" s="1"/>
  <c r="AB227" i="24"/>
  <c r="J224" i="24"/>
  <c r="K224" i="24"/>
  <c r="L224" i="24"/>
  <c r="M224" i="24"/>
  <c r="N224" i="24"/>
  <c r="O224" i="24"/>
  <c r="P224" i="24"/>
  <c r="Q224" i="24"/>
  <c r="R224" i="24"/>
  <c r="S224" i="24"/>
  <c r="T224" i="24"/>
  <c r="U224" i="24"/>
  <c r="I224" i="24"/>
  <c r="AM106" i="107" l="1"/>
  <c r="Q106" i="107"/>
  <c r="AO106" i="107"/>
  <c r="AA106" i="107"/>
  <c r="O106" i="107"/>
  <c r="AB106" i="107"/>
  <c r="AN106" i="107"/>
  <c r="P106" i="107"/>
  <c r="AZ106" i="107"/>
  <c r="Q136" i="107"/>
  <c r="AN136" i="107"/>
  <c r="AB136" i="107"/>
  <c r="P136" i="107"/>
  <c r="AC136" i="107"/>
  <c r="AO136" i="107"/>
  <c r="AZ136" i="107"/>
  <c r="BA106" i="107"/>
  <c r="AC106" i="107"/>
  <c r="AY106" i="107"/>
  <c r="BA136" i="107"/>
  <c r="AA106" i="106"/>
  <c r="O106" i="106"/>
  <c r="Q106" i="106"/>
  <c r="AM106" i="106"/>
  <c r="AO106" i="106"/>
  <c r="AN106" i="106"/>
  <c r="P106" i="106"/>
  <c r="AB106" i="106"/>
  <c r="AZ106" i="106"/>
  <c r="AC136" i="106"/>
  <c r="AZ136" i="106"/>
  <c r="Q136" i="106"/>
  <c r="AB136" i="106"/>
  <c r="P136" i="106"/>
  <c r="AN136" i="106"/>
  <c r="AO136" i="106"/>
  <c r="AC106" i="106"/>
  <c r="BA106" i="106"/>
  <c r="AY106" i="106"/>
  <c r="BA136" i="106"/>
  <c r="AM106" i="105"/>
  <c r="O106" i="105"/>
  <c r="Q106" i="105"/>
  <c r="AO106" i="105"/>
  <c r="AA106" i="105"/>
  <c r="AN106" i="105"/>
  <c r="P106" i="105"/>
  <c r="AZ106" i="105"/>
  <c r="AB106" i="105"/>
  <c r="AZ136" i="105"/>
  <c r="P136" i="105"/>
  <c r="AB136" i="105"/>
  <c r="AN136" i="105"/>
  <c r="Q136" i="105"/>
  <c r="AO136" i="105"/>
  <c r="AC136" i="105"/>
  <c r="BA106" i="105"/>
  <c r="AC106" i="105"/>
  <c r="AY106" i="105"/>
  <c r="BA136" i="105"/>
  <c r="AA106" i="104"/>
  <c r="O106" i="104"/>
  <c r="Q106" i="104"/>
  <c r="AM106" i="104"/>
  <c r="AO106" i="104"/>
  <c r="AN106" i="104"/>
  <c r="AB106" i="104"/>
  <c r="AZ106" i="104"/>
  <c r="P106" i="104"/>
  <c r="AZ136" i="104"/>
  <c r="AO136" i="104"/>
  <c r="P136" i="104"/>
  <c r="AN136" i="104"/>
  <c r="AB136" i="104"/>
  <c r="AC136" i="104"/>
  <c r="Q136" i="104"/>
  <c r="AC106" i="104"/>
  <c r="AY106" i="104"/>
  <c r="BA106" i="104"/>
  <c r="BA136" i="104"/>
  <c r="O106" i="103"/>
  <c r="AO106" i="103"/>
  <c r="AM106" i="103"/>
  <c r="AA106" i="103"/>
  <c r="Q106" i="103"/>
  <c r="AB106" i="103"/>
  <c r="P106" i="103"/>
  <c r="AZ106" i="103"/>
  <c r="AN106" i="103"/>
  <c r="P136" i="103"/>
  <c r="AN136" i="103"/>
  <c r="AZ136" i="103"/>
  <c r="Q136" i="103"/>
  <c r="AB136" i="103"/>
  <c r="AC136" i="103"/>
  <c r="AO136" i="103"/>
  <c r="AC106" i="103"/>
  <c r="BA106" i="103"/>
  <c r="AY106" i="103"/>
  <c r="BA136" i="103"/>
  <c r="EB25" i="24"/>
  <c r="EA25" i="24"/>
  <c r="DZ25" i="24"/>
  <c r="DY25"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AA53" i="104" l="1"/>
  <c r="AA53" i="107"/>
  <c r="AA53" i="105"/>
  <c r="AA53" i="106"/>
  <c r="AA53" i="103"/>
  <c r="AB53" i="107"/>
  <c r="AB53" i="105"/>
  <c r="AB53" i="103"/>
  <c r="AB53" i="104"/>
  <c r="AB53" i="106"/>
  <c r="R53" i="105"/>
  <c r="R53" i="104"/>
  <c r="R53" i="107"/>
  <c r="R53" i="106"/>
  <c r="R53" i="103"/>
  <c r="O53" i="107"/>
  <c r="Q53" i="104"/>
  <c r="Q53" i="106"/>
  <c r="Q53" i="107"/>
  <c r="P53" i="105"/>
  <c r="P53" i="107"/>
  <c r="Q53" i="105"/>
  <c r="O53" i="106"/>
  <c r="P53" i="106"/>
  <c r="Q53" i="103"/>
  <c r="O53" i="104"/>
  <c r="O53" i="103"/>
  <c r="P53" i="104"/>
  <c r="EB27" i="24"/>
  <c r="EA27" i="24"/>
  <c r="DZ27" i="24"/>
  <c r="DY27"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AA35" i="107" l="1"/>
  <c r="AA35" i="104"/>
  <c r="AA35" i="105"/>
  <c r="AA35" i="106"/>
  <c r="AA35" i="103"/>
  <c r="AB35" i="105"/>
  <c r="AB35" i="107"/>
  <c r="AB35" i="106"/>
  <c r="AB35" i="103"/>
  <c r="AB35" i="104"/>
  <c r="O35" i="106"/>
  <c r="Q35" i="106"/>
  <c r="O35" i="105"/>
  <c r="Q35" i="105"/>
  <c r="Q35" i="107"/>
  <c r="P35" i="106"/>
  <c r="Q35" i="104"/>
  <c r="O35" i="107"/>
  <c r="O35" i="104"/>
  <c r="O35" i="103"/>
  <c r="P35" i="105"/>
  <c r="P35" i="104"/>
  <c r="Q35" i="103"/>
  <c r="P35" i="107"/>
  <c r="P35" i="103"/>
  <c r="R35" i="107"/>
  <c r="R35" i="106"/>
  <c r="R35" i="105"/>
  <c r="R35" i="103"/>
  <c r="R35" i="104"/>
  <c r="I13" i="23"/>
  <c r="K13" i="23"/>
  <c r="J13" i="23"/>
  <c r="AX29" i="55" l="1"/>
  <c r="M13" i="23" a="1"/>
  <c r="R13" i="23" a="1"/>
  <c r="N13" i="23" a="1"/>
  <c r="P13" i="23" a="1"/>
  <c r="O13" i="23" a="1"/>
  <c r="Q13" i="23" a="1"/>
  <c r="R13" i="23" l="1"/>
  <c r="Q13" i="23"/>
  <c r="P13" i="23"/>
  <c r="O13" i="23"/>
  <c r="N13" i="23"/>
  <c r="M13" i="23"/>
  <c r="O104" i="55"/>
  <c r="O113" i="55" l="1"/>
  <c r="T275" i="24"/>
  <c r="S275" i="24"/>
  <c r="R275" i="24"/>
  <c r="Q275" i="24"/>
  <c r="P275" i="24"/>
  <c r="O275" i="24"/>
  <c r="N275" i="24"/>
  <c r="M275" i="24"/>
  <c r="L275" i="24"/>
  <c r="K275" i="24"/>
  <c r="J275" i="24"/>
  <c r="I275" i="24"/>
  <c r="AB56" i="103" l="1" a="1"/>
  <c r="AB56" i="103" s="1"/>
  <c r="AB56" i="105" a="1"/>
  <c r="AB56" i="105" s="1"/>
  <c r="AB56" i="107" a="1"/>
  <c r="AB56" i="107" s="1"/>
  <c r="AA56" i="105" a="1"/>
  <c r="AA56" i="105" s="1"/>
  <c r="AA54" i="105" s="1"/>
  <c r="AB56" i="104" a="1"/>
  <c r="AB56" i="104" s="1"/>
  <c r="AA56" i="103" a="1"/>
  <c r="AA56" i="103" s="1"/>
  <c r="AA54" i="103" s="1"/>
  <c r="AB56" i="106" a="1"/>
  <c r="AB56" i="106" s="1"/>
  <c r="AA56" i="104" a="1"/>
  <c r="AA56" i="104" s="1"/>
  <c r="AA56" i="106" a="1"/>
  <c r="AA56" i="106" s="1"/>
  <c r="AA56" i="107" a="1"/>
  <c r="AA56" i="107" s="1"/>
  <c r="P56" i="104" a="1"/>
  <c r="P56" i="104" s="1"/>
  <c r="S56" i="104" a="1"/>
  <c r="S56" i="104" s="1"/>
  <c r="S56" i="105" a="1"/>
  <c r="S56" i="105" s="1"/>
  <c r="S56" i="107" a="1"/>
  <c r="S56" i="107" s="1"/>
  <c r="S56" i="103" a="1"/>
  <c r="S56" i="103" s="1"/>
  <c r="S56" i="106" a="1"/>
  <c r="S56" i="106" s="1"/>
  <c r="O56" i="103" a="1"/>
  <c r="O56" i="103" s="1"/>
  <c r="O54" i="103" s="1"/>
  <c r="R56" i="107" a="1"/>
  <c r="R56" i="107" s="1"/>
  <c r="O56" i="107" a="1"/>
  <c r="O56" i="107" s="1"/>
  <c r="R56" i="103" a="1"/>
  <c r="R56" i="103" s="1"/>
  <c r="Q56" i="107" a="1"/>
  <c r="Q56" i="107" s="1"/>
  <c r="R56" i="106" a="1"/>
  <c r="R56" i="106" s="1"/>
  <c r="Q56" i="103" a="1"/>
  <c r="Q56" i="103" s="1"/>
  <c r="P56" i="106" a="1"/>
  <c r="P56" i="106" s="1"/>
  <c r="O56" i="104" a="1"/>
  <c r="O56" i="104" s="1"/>
  <c r="R56" i="104" a="1"/>
  <c r="R56" i="104" s="1"/>
  <c r="R56" i="105" a="1"/>
  <c r="R56" i="105" s="1"/>
  <c r="P56" i="105" a="1"/>
  <c r="P56" i="105" s="1"/>
  <c r="Q56" i="106" a="1"/>
  <c r="Q56" i="106" s="1"/>
  <c r="P56" i="107" a="1"/>
  <c r="P56" i="107" s="1"/>
  <c r="O56" i="106" a="1"/>
  <c r="O56" i="106" s="1"/>
  <c r="Q56" i="105" a="1"/>
  <c r="Q56" i="105" s="1"/>
  <c r="Q56" i="104" a="1"/>
  <c r="Q56" i="104" s="1"/>
  <c r="E214" i="23" l="1"/>
  <c r="E199" i="23"/>
  <c r="E184" i="23"/>
  <c r="E169" i="23"/>
  <c r="E154" i="23"/>
  <c r="E144" i="23"/>
  <c r="E129" i="23"/>
  <c r="E114" i="23"/>
  <c r="E99" i="23"/>
  <c r="E84" i="23"/>
  <c r="E74" i="23"/>
  <c r="J14" i="23"/>
  <c r="K14" i="23"/>
  <c r="H5" i="103" l="1"/>
  <c r="AZ122" i="103" l="1"/>
  <c r="AN122" i="103"/>
  <c r="AB122" i="103"/>
  <c r="AW182" i="103"/>
  <c r="AA164" i="103"/>
  <c r="AD164" i="103"/>
  <c r="AC164" i="103"/>
  <c r="AB164" i="103"/>
  <c r="AK182" i="103"/>
  <c r="S164" i="103"/>
  <c r="V164" i="103"/>
  <c r="V165" i="103" s="1"/>
  <c r="V13" i="103" s="1"/>
  <c r="U164" i="103"/>
  <c r="T164" i="103"/>
  <c r="AO122" i="103"/>
  <c r="Q122" i="103"/>
  <c r="Y182" i="103"/>
  <c r="O164" i="103"/>
  <c r="R164" i="103"/>
  <c r="Q164" i="103"/>
  <c r="P164" i="103"/>
  <c r="AM122" i="103"/>
  <c r="AY122" i="103"/>
  <c r="BC164" i="103"/>
  <c r="BF164" i="103"/>
  <c r="BF165" i="103" s="1"/>
  <c r="BF13" i="103" s="1"/>
  <c r="BE164" i="103"/>
  <c r="BD164" i="103"/>
  <c r="P122" i="103"/>
  <c r="AY164" i="103"/>
  <c r="BB164" i="103"/>
  <c r="BA164" i="103"/>
  <c r="AZ164" i="103"/>
  <c r="AC122" i="103"/>
  <c r="AA122" i="103"/>
  <c r="AQ164" i="103"/>
  <c r="AT164" i="103"/>
  <c r="AT165" i="103" s="1"/>
  <c r="AT13" i="103" s="1"/>
  <c r="AS164" i="103"/>
  <c r="AR164" i="103"/>
  <c r="AM164" i="103"/>
  <c r="AP164" i="103"/>
  <c r="AO164" i="103"/>
  <c r="AN164" i="103"/>
  <c r="BA122" i="103"/>
  <c r="M182" i="103"/>
  <c r="AE164" i="103"/>
  <c r="AH164" i="103"/>
  <c r="AH165" i="103" s="1"/>
  <c r="AH13" i="103" s="1"/>
  <c r="AG164" i="103"/>
  <c r="AF164" i="103"/>
  <c r="O122" i="103"/>
  <c r="AW183" i="107"/>
  <c r="Y183" i="106"/>
  <c r="M183" i="105"/>
  <c r="AK183" i="104"/>
  <c r="AK183" i="107"/>
  <c r="M183" i="106"/>
  <c r="AW183" i="105"/>
  <c r="Y183" i="104"/>
  <c r="Y183" i="107"/>
  <c r="AW183" i="106"/>
  <c r="AK183" i="105"/>
  <c r="M183" i="104"/>
  <c r="M183" i="107"/>
  <c r="AK183" i="106"/>
  <c r="Y183" i="105"/>
  <c r="AW183" i="104"/>
  <c r="AL89" i="24"/>
  <c r="AK89" i="24"/>
  <c r="AJ89" i="24"/>
  <c r="AI89" i="24"/>
  <c r="U89" i="24"/>
  <c r="T89" i="24"/>
  <c r="Q89" i="24"/>
  <c r="P89" i="24"/>
  <c r="J89" i="24"/>
  <c r="I89" i="24"/>
  <c r="BA98" i="24"/>
  <c r="AZ98" i="24"/>
  <c r="AY98" i="24"/>
  <c r="AJ98" i="24"/>
  <c r="AI98" i="24"/>
  <c r="AH98" i="24"/>
  <c r="AG98" i="24"/>
  <c r="U98" i="24"/>
  <c r="T98" i="24"/>
  <c r="P98" i="24"/>
  <c r="N98" i="24"/>
  <c r="M98" i="24"/>
  <c r="J98" i="24"/>
  <c r="I98" i="24"/>
  <c r="AL145" i="24"/>
  <c r="AK145" i="24"/>
  <c r="AJ145" i="24"/>
  <c r="AI145" i="24"/>
  <c r="AH145" i="24"/>
  <c r="U145" i="24"/>
  <c r="R145" i="24"/>
  <c r="AB180" i="24"/>
  <c r="AA180" i="24"/>
  <c r="Z180" i="24"/>
  <c r="Y180" i="24"/>
  <c r="X180" i="24"/>
  <c r="W180" i="24"/>
  <c r="V180" i="24"/>
  <c r="U180" i="24"/>
  <c r="T180" i="24"/>
  <c r="S180" i="24"/>
  <c r="R180" i="24"/>
  <c r="Q180" i="24"/>
  <c r="P180" i="24"/>
  <c r="O180" i="24"/>
  <c r="N180" i="24"/>
  <c r="M180" i="24"/>
  <c r="L180" i="24"/>
  <c r="K180" i="24"/>
  <c r="J180" i="24"/>
  <c r="I180" i="24"/>
  <c r="BA128" i="55" l="1"/>
  <c r="AZ128" i="55"/>
  <c r="AY128" i="55"/>
  <c r="AO128" i="55"/>
  <c r="AN128" i="55"/>
  <c r="AM128" i="55"/>
  <c r="AC128" i="55"/>
  <c r="AB128" i="55"/>
  <c r="AA128" i="55"/>
  <c r="Q128" i="55"/>
  <c r="P128" i="55"/>
  <c r="O128" i="55"/>
  <c r="AZ108" i="55"/>
  <c r="AY108" i="55"/>
  <c r="AY134" i="55" s="1"/>
  <c r="AN108" i="55"/>
  <c r="AM108" i="55"/>
  <c r="AM134" i="55" s="1"/>
  <c r="AB108" i="55"/>
  <c r="AA108" i="55"/>
  <c r="AA134" i="55" s="1"/>
  <c r="P108" i="55"/>
  <c r="O108" i="55"/>
  <c r="O134" i="55" l="1"/>
  <c r="O24" i="55"/>
  <c r="Q26" i="24" l="1"/>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CS26" i="24"/>
  <c r="P26" i="24"/>
  <c r="DN26" i="24"/>
  <c r="DP26" i="24"/>
  <c r="DR26" i="24"/>
  <c r="DQ26" i="24"/>
  <c r="DS26" i="24"/>
  <c r="DG26" i="24"/>
  <c r="DT26" i="24"/>
  <c r="DH26" i="24"/>
  <c r="O26" i="24"/>
  <c r="R34" i="107" l="1"/>
  <c r="R34" i="106"/>
  <c r="R34" i="103"/>
  <c r="R34" i="105"/>
  <c r="R34" i="104"/>
  <c r="Q34" i="107"/>
  <c r="Q34" i="105"/>
  <c r="P34" i="104"/>
  <c r="Q34" i="103"/>
  <c r="Q34" i="106"/>
  <c r="Q34" i="104"/>
  <c r="P34" i="107"/>
  <c r="P34" i="106"/>
  <c r="P34" i="103"/>
  <c r="P34" i="105"/>
  <c r="DC26" i="24"/>
  <c r="DE26" i="24"/>
  <c r="DF26" i="24"/>
  <c r="CV26" i="24"/>
  <c r="DL26" i="24"/>
  <c r="DK26" i="24"/>
  <c r="DM26" i="24"/>
  <c r="DO26" i="24"/>
  <c r="CW26" i="24"/>
  <c r="CX26" i="24"/>
  <c r="CY26" i="24"/>
  <c r="DD26" i="24"/>
  <c r="DI26" i="24"/>
  <c r="DB26" i="24"/>
  <c r="CZ26" i="24"/>
  <c r="DA26" i="24"/>
  <c r="N26" i="24"/>
  <c r="DJ26" i="24"/>
  <c r="BD161" i="55"/>
  <c r="AR161" i="55"/>
  <c r="AF161" i="55"/>
  <c r="T161" i="55"/>
  <c r="BG204" i="55"/>
  <c r="BF204" i="55"/>
  <c r="BE204" i="55"/>
  <c r="BD204" i="55"/>
  <c r="BC204" i="55"/>
  <c r="BB204" i="55"/>
  <c r="BA204" i="55"/>
  <c r="AZ204" i="55"/>
  <c r="AY204" i="55"/>
  <c r="AU204" i="55"/>
  <c r="AT204" i="55"/>
  <c r="AS204" i="55"/>
  <c r="AR204" i="55"/>
  <c r="AQ204" i="55"/>
  <c r="AP204" i="55"/>
  <c r="AO204" i="55"/>
  <c r="AN204" i="55"/>
  <c r="AM204" i="55"/>
  <c r="AI204" i="55"/>
  <c r="AH204" i="55"/>
  <c r="AG204" i="55"/>
  <c r="AF204" i="55"/>
  <c r="AE204" i="55"/>
  <c r="AD204" i="55"/>
  <c r="AC204" i="55"/>
  <c r="AB204" i="55"/>
  <c r="AA204" i="55"/>
  <c r="T204" i="55"/>
  <c r="I301" i="24"/>
  <c r="T61" i="43"/>
  <c r="S61" i="43"/>
  <c r="R61" i="43"/>
  <c r="Q61" i="43"/>
  <c r="P61" i="43"/>
  <c r="O61" i="43"/>
  <c r="N61" i="43"/>
  <c r="M61" i="43"/>
  <c r="L61" i="43"/>
  <c r="T47" i="43"/>
  <c r="S47" i="43"/>
  <c r="R47" i="43"/>
  <c r="Q47" i="43"/>
  <c r="P47" i="43"/>
  <c r="O47" i="43"/>
  <c r="N47" i="43"/>
  <c r="M47" i="43"/>
  <c r="L47" i="43"/>
  <c r="T33" i="43"/>
  <c r="S33" i="43"/>
  <c r="R33" i="43"/>
  <c r="Q33" i="43"/>
  <c r="P33" i="43"/>
  <c r="O33" i="43"/>
  <c r="N33" i="43"/>
  <c r="M33" i="43"/>
  <c r="L33" i="43"/>
  <c r="T19" i="43"/>
  <c r="S19" i="43"/>
  <c r="R19" i="43"/>
  <c r="Q19" i="43"/>
  <c r="P19" i="43"/>
  <c r="O19" i="43"/>
  <c r="N19" i="43"/>
  <c r="M19" i="43"/>
  <c r="L19" i="43"/>
  <c r="I306" i="24"/>
  <c r="I302" i="24"/>
  <c r="P152" i="55"/>
  <c r="Q152" i="55"/>
  <c r="R152" i="55"/>
  <c r="S152" i="55"/>
  <c r="T152" i="55"/>
  <c r="U152" i="55"/>
  <c r="V152" i="55"/>
  <c r="O152" i="55"/>
  <c r="BD10" i="55"/>
  <c r="AR10" i="55"/>
  <c r="AF10" i="55"/>
  <c r="E68" i="55"/>
  <c r="BG24" i="55"/>
  <c r="BF24" i="55"/>
  <c r="BE24" i="55"/>
  <c r="BD24" i="55"/>
  <c r="BC24" i="55"/>
  <c r="BB24" i="55"/>
  <c r="BA24" i="55"/>
  <c r="AZ24" i="55"/>
  <c r="AU24" i="55"/>
  <c r="AT24" i="55"/>
  <c r="AS24" i="55"/>
  <c r="AR24" i="55"/>
  <c r="AQ24" i="55"/>
  <c r="AP24" i="55"/>
  <c r="AO24" i="55"/>
  <c r="AN24" i="55"/>
  <c r="AI24" i="55"/>
  <c r="AH24" i="55"/>
  <c r="AG24" i="55"/>
  <c r="AF24" i="55"/>
  <c r="AE24" i="55"/>
  <c r="AD24" i="55"/>
  <c r="AC24" i="55"/>
  <c r="AB24" i="55"/>
  <c r="W24" i="55"/>
  <c r="V24" i="55"/>
  <c r="U24" i="55"/>
  <c r="T24" i="55"/>
  <c r="S24" i="55"/>
  <c r="R24" i="55"/>
  <c r="Q24" i="55"/>
  <c r="P24" i="55"/>
  <c r="BG20" i="55"/>
  <c r="BF20" i="55"/>
  <c r="BE20" i="55"/>
  <c r="BD20" i="55"/>
  <c r="BC20" i="55"/>
  <c r="BB20" i="55"/>
  <c r="BA20" i="55"/>
  <c r="AZ20" i="55"/>
  <c r="AU20" i="55"/>
  <c r="AT20" i="55"/>
  <c r="AS20" i="55"/>
  <c r="AR20" i="55"/>
  <c r="AQ20" i="55"/>
  <c r="AP20" i="55"/>
  <c r="AO20" i="55"/>
  <c r="AN20" i="55"/>
  <c r="AI20" i="55"/>
  <c r="AH20" i="55"/>
  <c r="AG20" i="55"/>
  <c r="AF20" i="55"/>
  <c r="AE20" i="55"/>
  <c r="AD20" i="55"/>
  <c r="AC20" i="55"/>
  <c r="AB20" i="55"/>
  <c r="W20" i="55"/>
  <c r="V20" i="55"/>
  <c r="U20" i="55"/>
  <c r="T20" i="55"/>
  <c r="S20" i="55"/>
  <c r="R20" i="55"/>
  <c r="Q20" i="55"/>
  <c r="P20" i="55"/>
  <c r="BG19" i="55"/>
  <c r="BF19" i="55"/>
  <c r="BE19" i="55"/>
  <c r="BD19" i="55"/>
  <c r="BC19" i="55"/>
  <c r="BB19" i="55"/>
  <c r="BA19" i="55"/>
  <c r="AZ19" i="55"/>
  <c r="AU19" i="55"/>
  <c r="AT19" i="55"/>
  <c r="AS19" i="55"/>
  <c r="AR19" i="55"/>
  <c r="AQ19" i="55"/>
  <c r="AP19" i="55"/>
  <c r="AO19" i="55"/>
  <c r="AN19" i="55"/>
  <c r="AI19" i="55"/>
  <c r="AH19" i="55"/>
  <c r="AG19" i="55"/>
  <c r="AF19" i="55"/>
  <c r="AE19" i="55"/>
  <c r="AD19" i="55"/>
  <c r="AC19" i="55"/>
  <c r="AB19" i="55"/>
  <c r="W19" i="55"/>
  <c r="V19" i="55"/>
  <c r="U19" i="55"/>
  <c r="T19" i="55"/>
  <c r="S19" i="55"/>
  <c r="S40" i="55" s="1"/>
  <c r="S64" i="55" s="1"/>
  <c r="R19" i="55"/>
  <c r="R40" i="55" s="1"/>
  <c r="R64" i="55" s="1"/>
  <c r="Q19" i="55"/>
  <c r="Q40" i="55" s="1"/>
  <c r="Q64" i="55" s="1"/>
  <c r="P19" i="55"/>
  <c r="P40" i="55" s="1"/>
  <c r="P64" i="55" s="1"/>
  <c r="T198" i="55"/>
  <c r="T187" i="55"/>
  <c r="T168" i="55"/>
  <c r="T76" i="55"/>
  <c r="E249" i="55" s="1"/>
  <c r="S66" i="43"/>
  <c r="S64" i="43"/>
  <c r="S65" i="43" s="1"/>
  <c r="S52" i="43"/>
  <c r="S50" i="43"/>
  <c r="S51" i="43" s="1"/>
  <c r="S38" i="43"/>
  <c r="S36" i="43"/>
  <c r="S37" i="43" s="1"/>
  <c r="S24" i="43"/>
  <c r="S22" i="43"/>
  <c r="S23" i="43" s="1"/>
  <c r="I319" i="24"/>
  <c r="I298" i="24"/>
  <c r="Q62" i="105" l="1"/>
  <c r="Q290" i="105"/>
  <c r="R62" i="105"/>
  <c r="R290" i="105"/>
  <c r="P62" i="105"/>
  <c r="P290" i="105"/>
  <c r="R62" i="104"/>
  <c r="R290" i="104"/>
  <c r="Q62" i="104"/>
  <c r="Q290" i="104"/>
  <c r="P62" i="104"/>
  <c r="P290" i="104"/>
  <c r="R62" i="103"/>
  <c r="R290" i="103"/>
  <c r="Q62" i="103"/>
  <c r="Q290" i="103"/>
  <c r="P62" i="106"/>
  <c r="P290" i="106"/>
  <c r="Q62" i="106"/>
  <c r="Q290" i="106"/>
  <c r="R62" i="106"/>
  <c r="R290" i="106"/>
  <c r="P62" i="107"/>
  <c r="P290" i="107"/>
  <c r="Q62" i="107"/>
  <c r="Q290" i="107"/>
  <c r="R62" i="107"/>
  <c r="R290" i="107"/>
  <c r="AD40" i="55"/>
  <c r="AD64" i="55" s="1"/>
  <c r="AD51" i="55"/>
  <c r="BC40" i="55"/>
  <c r="BC64" i="55" s="1"/>
  <c r="BC51" i="55"/>
  <c r="AF40" i="55"/>
  <c r="AF64" i="55" s="1"/>
  <c r="AF51" i="55"/>
  <c r="BD40" i="55"/>
  <c r="BD64" i="55" s="1"/>
  <c r="BD51" i="55"/>
  <c r="U40" i="55"/>
  <c r="U64" i="55" s="1"/>
  <c r="U51" i="55"/>
  <c r="AG40" i="55"/>
  <c r="AG64" i="55" s="1"/>
  <c r="AG51" i="55"/>
  <c r="AS40" i="55"/>
  <c r="AS64" i="55" s="1"/>
  <c r="AS51" i="55"/>
  <c r="BE40" i="55"/>
  <c r="BE64" i="55" s="1"/>
  <c r="BE51" i="55"/>
  <c r="AR40" i="55"/>
  <c r="AR64" i="55" s="1"/>
  <c r="AR51" i="55"/>
  <c r="V40" i="55"/>
  <c r="V64" i="55" s="1"/>
  <c r="V51" i="55"/>
  <c r="AH40" i="55"/>
  <c r="AH64" i="55" s="1"/>
  <c r="AH51" i="55"/>
  <c r="AT40" i="55"/>
  <c r="AT64" i="55" s="1"/>
  <c r="AT51" i="55"/>
  <c r="BF40" i="55"/>
  <c r="BF64" i="55" s="1"/>
  <c r="BF51" i="55"/>
  <c r="BB40" i="55"/>
  <c r="BB64" i="55" s="1"/>
  <c r="BB51" i="55"/>
  <c r="AE40" i="55"/>
  <c r="AE64" i="55" s="1"/>
  <c r="AE51" i="55"/>
  <c r="T40" i="55"/>
  <c r="T64" i="55" s="1"/>
  <c r="T51" i="55"/>
  <c r="W40" i="55"/>
  <c r="W64" i="55" s="1"/>
  <c r="W51" i="55"/>
  <c r="AI40" i="55"/>
  <c r="AI64" i="55" s="1"/>
  <c r="AI51" i="55"/>
  <c r="AU40" i="55"/>
  <c r="AU64" i="55" s="1"/>
  <c r="AU51" i="55"/>
  <c r="BG40" i="55"/>
  <c r="BG64" i="55" s="1"/>
  <c r="BG51" i="55"/>
  <c r="AQ40" i="55"/>
  <c r="AQ64" i="55" s="1"/>
  <c r="AQ51" i="55"/>
  <c r="AN40" i="55"/>
  <c r="AN64" i="55" s="1"/>
  <c r="AN51" i="55"/>
  <c r="AZ40" i="55"/>
  <c r="AZ64" i="55" s="1"/>
  <c r="AZ51" i="55"/>
  <c r="AP40" i="55"/>
  <c r="AP64" i="55" s="1"/>
  <c r="AP51" i="55"/>
  <c r="AC40" i="55"/>
  <c r="AC64" i="55" s="1"/>
  <c r="AC51" i="55"/>
  <c r="AO40" i="55"/>
  <c r="AO64" i="55" s="1"/>
  <c r="AO51" i="55"/>
  <c r="BA40" i="55"/>
  <c r="BA64" i="55" s="1"/>
  <c r="BA51" i="55"/>
  <c r="AB40" i="55"/>
  <c r="AB64" i="55" s="1"/>
  <c r="Q53" i="55"/>
  <c r="R53" i="55"/>
  <c r="AF35" i="55"/>
  <c r="AD35" i="55"/>
  <c r="AH35" i="55"/>
  <c r="AP35" i="55"/>
  <c r="AT35" i="55"/>
  <c r="AB35" i="55"/>
  <c r="AE35" i="55"/>
  <c r="AI35" i="55"/>
  <c r="AQ35" i="55"/>
  <c r="AU35" i="55"/>
  <c r="AN35" i="55"/>
  <c r="AR35" i="55"/>
  <c r="AC35" i="55"/>
  <c r="AG35" i="55"/>
  <c r="AO35" i="55"/>
  <c r="AS35" i="55"/>
  <c r="AF187" i="55"/>
  <c r="AF222" i="55"/>
  <c r="AR152" i="55"/>
  <c r="AR222" i="55"/>
  <c r="BD187" i="55"/>
  <c r="BD222" i="55"/>
  <c r="BG35" i="55"/>
  <c r="Q35" i="55"/>
  <c r="P35" i="55"/>
  <c r="U35" i="55"/>
  <c r="R35" i="55"/>
  <c r="W35" i="55"/>
  <c r="BB35" i="55"/>
  <c r="S35" i="55"/>
  <c r="V35" i="55"/>
  <c r="AZ35" i="55"/>
  <c r="BC35" i="55"/>
  <c r="T35" i="55"/>
  <c r="BD35" i="55"/>
  <c r="BA35" i="55"/>
  <c r="BE35" i="55"/>
  <c r="BF35" i="55"/>
  <c r="M24" i="55"/>
  <c r="BF31" i="55"/>
  <c r="V31" i="55"/>
  <c r="AT31" i="55"/>
  <c r="AH31" i="55"/>
  <c r="AF152" i="55"/>
  <c r="AR187" i="55"/>
  <c r="BD152" i="55"/>
  <c r="E311" i="55"/>
  <c r="AR21" i="55"/>
  <c r="AR289" i="55" s="1"/>
  <c r="AR22" i="55"/>
  <c r="BD21" i="55"/>
  <c r="BD289" i="55" s="1"/>
  <c r="BD22" i="55"/>
  <c r="AF76" i="55"/>
  <c r="AF198" i="55"/>
  <c r="AR198" i="55"/>
  <c r="BD76" i="55"/>
  <c r="BD198" i="55"/>
  <c r="BD168" i="55"/>
  <c r="BD17" i="55"/>
  <c r="AR76" i="55"/>
  <c r="AF21" i="55"/>
  <c r="AF289" i="55" s="1"/>
  <c r="AF22" i="55"/>
  <c r="AR168" i="55"/>
  <c r="AR17" i="55"/>
  <c r="T21" i="55"/>
  <c r="T289" i="55" s="1"/>
  <c r="T22" i="55"/>
  <c r="AF168" i="55"/>
  <c r="AF17" i="55"/>
  <c r="T17" i="55"/>
  <c r="I26" i="24"/>
  <c r="O34" i="105" l="1"/>
  <c r="O34" i="103"/>
  <c r="O34" i="104"/>
  <c r="O34" i="107"/>
  <c r="O34" i="106"/>
  <c r="AC62" i="55"/>
  <c r="AC290" i="55"/>
  <c r="W290" i="55"/>
  <c r="AD62" i="55"/>
  <c r="AD290" i="55"/>
  <c r="AQ62" i="55"/>
  <c r="AQ290" i="55"/>
  <c r="BF62" i="55"/>
  <c r="BF290" i="55"/>
  <c r="AR62" i="55"/>
  <c r="AR290" i="55"/>
  <c r="U290" i="55"/>
  <c r="BA62" i="55"/>
  <c r="BA290" i="55"/>
  <c r="AZ62" i="55"/>
  <c r="AZ290" i="55"/>
  <c r="AU62" i="55"/>
  <c r="AU290" i="55"/>
  <c r="AE62" i="55"/>
  <c r="AE290" i="55"/>
  <c r="AH62" i="55"/>
  <c r="AH290" i="55"/>
  <c r="AS62" i="55"/>
  <c r="AS290" i="55"/>
  <c r="AF62" i="55"/>
  <c r="AF290" i="55"/>
  <c r="AP62" i="55"/>
  <c r="AP290" i="55"/>
  <c r="BG62" i="55"/>
  <c r="BG290" i="55"/>
  <c r="T290" i="55"/>
  <c r="AT62" i="55"/>
  <c r="AT290" i="55"/>
  <c r="BE62" i="55"/>
  <c r="BE290" i="55"/>
  <c r="BD62" i="55"/>
  <c r="BD290" i="55"/>
  <c r="AO62" i="55"/>
  <c r="AO290" i="55"/>
  <c r="AN62" i="55"/>
  <c r="AN290" i="55"/>
  <c r="AI62" i="55"/>
  <c r="AI290" i="55"/>
  <c r="BB62" i="55"/>
  <c r="BB290" i="55"/>
  <c r="V290" i="55"/>
  <c r="AG62" i="55"/>
  <c r="AG290" i="55"/>
  <c r="BC62" i="55"/>
  <c r="BC290" i="55"/>
  <c r="T62" i="55"/>
  <c r="V62" i="55"/>
  <c r="W62" i="55"/>
  <c r="U62" i="55"/>
  <c r="T61" i="55"/>
  <c r="T63" i="55"/>
  <c r="BD61" i="55"/>
  <c r="BD63" i="55"/>
  <c r="AF61" i="55"/>
  <c r="AF63" i="55"/>
  <c r="AR61" i="55"/>
  <c r="AR63" i="55"/>
  <c r="O3" i="55"/>
  <c r="BF274" i="55"/>
  <c r="AT274" i="55"/>
  <c r="AH274" i="55"/>
  <c r="BD27" i="55"/>
  <c r="BD26" i="55"/>
  <c r="T27" i="55"/>
  <c r="T26" i="55"/>
  <c r="AF27" i="55"/>
  <c r="AF26" i="55"/>
  <c r="AR27" i="55"/>
  <c r="AR26" i="55"/>
  <c r="BD263" i="55"/>
  <c r="BD59" i="55"/>
  <c r="BD235" i="55"/>
  <c r="BD38" i="55"/>
  <c r="BD281" i="55"/>
  <c r="BD228" i="55"/>
  <c r="BD304" i="55"/>
  <c r="BD242" i="55"/>
  <c r="AR38" i="55"/>
  <c r="AR263" i="55"/>
  <c r="AR59" i="55"/>
  <c r="AR235" i="55"/>
  <c r="AR281" i="55"/>
  <c r="AR228" i="55"/>
  <c r="AR304" i="55"/>
  <c r="AR242" i="55"/>
  <c r="AF263" i="55"/>
  <c r="AF59" i="55"/>
  <c r="AF235" i="55"/>
  <c r="AF38" i="55"/>
  <c r="AF281" i="55"/>
  <c r="AF242" i="55"/>
  <c r="AF304" i="55"/>
  <c r="AF228" i="55"/>
  <c r="T263" i="55"/>
  <c r="T59" i="55"/>
  <c r="T38" i="55"/>
  <c r="T235" i="55"/>
  <c r="T281" i="55"/>
  <c r="T304" i="55"/>
  <c r="T228" i="55"/>
  <c r="T242" i="55"/>
  <c r="J210" i="55"/>
  <c r="M210" i="55"/>
  <c r="O210" i="55"/>
  <c r="P210" i="55"/>
  <c r="Q210" i="55"/>
  <c r="W210" i="55"/>
  <c r="Y210" i="55"/>
  <c r="AK210" i="55"/>
  <c r="AW210" i="55"/>
  <c r="T432" i="24"/>
  <c r="S432" i="24"/>
  <c r="R432" i="24"/>
  <c r="Q432" i="24"/>
  <c r="P432" i="24"/>
  <c r="O432" i="24"/>
  <c r="N432" i="24"/>
  <c r="M432" i="24"/>
  <c r="L432" i="24"/>
  <c r="K432" i="24"/>
  <c r="J432" i="24"/>
  <c r="I432" i="24"/>
  <c r="I430" i="24"/>
  <c r="J430" i="24" s="1"/>
  <c r="K430" i="24" s="1"/>
  <c r="L430" i="24" s="1"/>
  <c r="M430" i="24" s="1"/>
  <c r="N430" i="24" s="1"/>
  <c r="O430" i="24" s="1"/>
  <c r="P430" i="24" s="1"/>
  <c r="Q430" i="24" s="1"/>
  <c r="R430" i="24" s="1"/>
  <c r="S430" i="24" s="1"/>
  <c r="T430" i="24" s="1"/>
  <c r="AW38" i="55"/>
  <c r="AK38" i="55"/>
  <c r="Y38" i="55"/>
  <c r="M38" i="55"/>
  <c r="T68" i="24"/>
  <c r="S68" i="24"/>
  <c r="R68" i="24"/>
  <c r="Q68" i="24"/>
  <c r="P68" i="24"/>
  <c r="O68" i="24"/>
  <c r="N68" i="24"/>
  <c r="M68" i="24"/>
  <c r="L68" i="24"/>
  <c r="K68" i="24"/>
  <c r="J68" i="24"/>
  <c r="I68" i="24"/>
  <c r="E68" i="24"/>
  <c r="J62" i="24"/>
  <c r="K62" i="24"/>
  <c r="L62" i="24"/>
  <c r="M62" i="24"/>
  <c r="N62" i="24"/>
  <c r="O62" i="24"/>
  <c r="P62" i="24"/>
  <c r="Q62" i="24"/>
  <c r="R62" i="24"/>
  <c r="S62" i="24"/>
  <c r="T62" i="24"/>
  <c r="I62" i="24"/>
  <c r="J263" i="55"/>
  <c r="M263" i="55"/>
  <c r="O62" i="106" l="1"/>
  <c r="O290" i="106"/>
  <c r="O62" i="107"/>
  <c r="O290" i="107"/>
  <c r="O62" i="104"/>
  <c r="O290" i="104"/>
  <c r="O62" i="103"/>
  <c r="O290" i="103"/>
  <c r="O62" i="105"/>
  <c r="O290" i="105"/>
  <c r="T28" i="55"/>
  <c r="BD28" i="55"/>
  <c r="AR28" i="55"/>
  <c r="AF28" i="55"/>
  <c r="F4" i="24"/>
  <c r="F3" i="24"/>
  <c r="F4" i="23"/>
  <c r="AF295" i="55" l="1"/>
  <c r="AR295" i="55"/>
  <c r="BD295" i="55"/>
  <c r="T295" i="55"/>
  <c r="E233" i="23"/>
  <c r="E232" i="23"/>
  <c r="E231" i="23"/>
  <c r="E230" i="23"/>
  <c r="E227" i="23"/>
  <c r="E226" i="23"/>
  <c r="E225" i="23"/>
  <c r="E224" i="23"/>
  <c r="E221" i="23"/>
  <c r="E220" i="23"/>
  <c r="E219" i="23"/>
  <c r="E218" i="23"/>
  <c r="E151" i="23"/>
  <c r="E150" i="23"/>
  <c r="E149" i="23"/>
  <c r="E148" i="23"/>
  <c r="E81" i="23"/>
  <c r="E80" i="23"/>
  <c r="E79" i="23"/>
  <c r="E78" i="23"/>
  <c r="E71" i="23"/>
  <c r="E70" i="23"/>
  <c r="E69" i="23"/>
  <c r="E68" i="23"/>
  <c r="E65" i="23"/>
  <c r="E64" i="23"/>
  <c r="E63" i="23"/>
  <c r="E62" i="23"/>
  <c r="E59" i="23"/>
  <c r="E58" i="23"/>
  <c r="E57" i="23"/>
  <c r="E56" i="23"/>
  <c r="E53" i="23"/>
  <c r="E52" i="23"/>
  <c r="E51" i="23"/>
  <c r="E50" i="23"/>
  <c r="E47" i="23"/>
  <c r="E46" i="23"/>
  <c r="E45" i="23"/>
  <c r="E44" i="23"/>
  <c r="E41" i="23"/>
  <c r="E40" i="23"/>
  <c r="E39" i="23"/>
  <c r="E38" i="23"/>
  <c r="E35" i="23"/>
  <c r="E33" i="23"/>
  <c r="E28" i="23"/>
  <c r="E27" i="23"/>
  <c r="E26" i="23"/>
  <c r="E25" i="23"/>
  <c r="E21" i="23"/>
  <c r="E20" i="23"/>
  <c r="E19" i="23"/>
  <c r="E18" i="23"/>
  <c r="E237" i="23" l="1"/>
  <c r="E238" i="23"/>
  <c r="E239" i="23"/>
  <c r="E240" i="23"/>
  <c r="E241" i="23"/>
  <c r="E242" i="23"/>
  <c r="E236" i="23"/>
  <c r="E211" i="23"/>
  <c r="E210" i="23"/>
  <c r="E196" i="23"/>
  <c r="E195" i="23"/>
  <c r="E181" i="23"/>
  <c r="E180" i="23"/>
  <c r="E166" i="23"/>
  <c r="E165" i="23"/>
  <c r="E141" i="23"/>
  <c r="E140" i="23"/>
  <c r="E126" i="23"/>
  <c r="E125" i="23"/>
  <c r="E111" i="23"/>
  <c r="E110" i="23"/>
  <c r="E96" i="23"/>
  <c r="E95" i="23"/>
  <c r="I65" i="23"/>
  <c r="I64" i="23"/>
  <c r="I63" i="23"/>
  <c r="I62" i="23"/>
  <c r="I59" i="23"/>
  <c r="I58" i="23"/>
  <c r="I57" i="23"/>
  <c r="I56" i="23"/>
  <c r="I53" i="23"/>
  <c r="I52" i="23"/>
  <c r="I51" i="23"/>
  <c r="I50" i="23"/>
  <c r="I12" i="23"/>
  <c r="I11" i="23"/>
  <c r="AB173" i="24" l="1"/>
  <c r="AA173" i="24"/>
  <c r="Z173" i="24"/>
  <c r="Y173" i="24"/>
  <c r="T291" i="24"/>
  <c r="S291" i="24"/>
  <c r="R291" i="24"/>
  <c r="Q291" i="24"/>
  <c r="P291" i="24"/>
  <c r="O291" i="24"/>
  <c r="N291" i="24"/>
  <c r="M291" i="24"/>
  <c r="L291" i="24"/>
  <c r="K291" i="24"/>
  <c r="J291" i="24"/>
  <c r="I291" i="24"/>
  <c r="J283" i="24"/>
  <c r="K283" i="24"/>
  <c r="L283" i="24"/>
  <c r="M283" i="24"/>
  <c r="N283" i="24"/>
  <c r="O283" i="24"/>
  <c r="P283" i="24"/>
  <c r="Q283" i="24"/>
  <c r="R283" i="24"/>
  <c r="S283" i="24"/>
  <c r="T283" i="24"/>
  <c r="I283" i="24"/>
  <c r="I189" i="24" l="1"/>
  <c r="I196" i="24"/>
  <c r="BA132" i="55"/>
  <c r="AZ132" i="55"/>
  <c r="AY132" i="55"/>
  <c r="AO132" i="55"/>
  <c r="AN132" i="55"/>
  <c r="AM132" i="55"/>
  <c r="AC132" i="55"/>
  <c r="AB132" i="55"/>
  <c r="AA132" i="55"/>
  <c r="Q132" i="55"/>
  <c r="P132" i="55"/>
  <c r="O132" i="55"/>
  <c r="E71" i="55"/>
  <c r="E69" i="55"/>
  <c r="E67" i="55"/>
  <c r="E66" i="55"/>
  <c r="E65" i="55"/>
  <c r="E64" i="55"/>
  <c r="E62" i="55"/>
  <c r="E190" i="23" l="1"/>
  <c r="E90" i="23"/>
  <c r="E135" i="23"/>
  <c r="E105" i="23"/>
  <c r="E160" i="23"/>
  <c r="E205" i="23"/>
  <c r="E175" i="23"/>
  <c r="E120" i="23"/>
  <c r="E136" i="23"/>
  <c r="E106" i="23"/>
  <c r="E121" i="23"/>
  <c r="E176" i="23"/>
  <c r="E206" i="23"/>
  <c r="E91" i="23"/>
  <c r="E161" i="23"/>
  <c r="E191" i="23"/>
  <c r="E108" i="23"/>
  <c r="E178" i="23"/>
  <c r="E123" i="23"/>
  <c r="E138" i="23"/>
  <c r="E208" i="23"/>
  <c r="E93" i="23"/>
  <c r="E163" i="23"/>
  <c r="E193" i="23"/>
  <c r="E139" i="23"/>
  <c r="E179" i="23"/>
  <c r="E209" i="23"/>
  <c r="E194" i="23"/>
  <c r="E94" i="23"/>
  <c r="E124" i="23"/>
  <c r="E164" i="23"/>
  <c r="E109" i="23"/>
  <c r="E158" i="23"/>
  <c r="E188" i="23"/>
  <c r="E103" i="23"/>
  <c r="E173" i="23"/>
  <c r="E88" i="23"/>
  <c r="E133" i="23"/>
  <c r="E203" i="23"/>
  <c r="E118" i="23"/>
  <c r="E137" i="23"/>
  <c r="E107" i="23"/>
  <c r="E177" i="23"/>
  <c r="E162" i="23"/>
  <c r="E92" i="23"/>
  <c r="E207" i="23"/>
  <c r="E122" i="23"/>
  <c r="E192" i="23"/>
  <c r="E119" i="23"/>
  <c r="E189" i="23"/>
  <c r="E104" i="23"/>
  <c r="E204" i="23"/>
  <c r="E134" i="23"/>
  <c r="E89" i="23"/>
  <c r="E174" i="23"/>
  <c r="E159" i="23"/>
  <c r="I114" i="24"/>
  <c r="T64" i="43" l="1"/>
  <c r="T65" i="43" s="1"/>
  <c r="R64" i="43"/>
  <c r="R65" i="43" s="1"/>
  <c r="Q64" i="43"/>
  <c r="Q65" i="43" s="1"/>
  <c r="P64" i="43"/>
  <c r="P65" i="43" s="1"/>
  <c r="O64" i="43"/>
  <c r="O65" i="43" s="1"/>
  <c r="N64" i="43"/>
  <c r="N65" i="43" s="1"/>
  <c r="M64" i="43"/>
  <c r="M65" i="43" s="1"/>
  <c r="L64" i="43"/>
  <c r="T50" i="43"/>
  <c r="T51" i="43" s="1"/>
  <c r="R50" i="43"/>
  <c r="R51" i="43" s="1"/>
  <c r="Q50" i="43"/>
  <c r="Q51" i="43" s="1"/>
  <c r="P50" i="43"/>
  <c r="P51" i="43" s="1"/>
  <c r="O50" i="43"/>
  <c r="O51" i="43" s="1"/>
  <c r="N50" i="43"/>
  <c r="N51" i="43" s="1"/>
  <c r="M50" i="43"/>
  <c r="M51" i="43" s="1"/>
  <c r="L50" i="43"/>
  <c r="L51" i="43" s="1"/>
  <c r="T36" i="43"/>
  <c r="T37" i="43" s="1"/>
  <c r="R36" i="43"/>
  <c r="R37" i="43" s="1"/>
  <c r="Q36" i="43"/>
  <c r="Q37" i="43" s="1"/>
  <c r="P36" i="43"/>
  <c r="P37" i="43" s="1"/>
  <c r="O36" i="43"/>
  <c r="O37" i="43" s="1"/>
  <c r="N36" i="43"/>
  <c r="N37" i="43" s="1"/>
  <c r="M36" i="43"/>
  <c r="M37" i="43" s="1"/>
  <c r="L36" i="43"/>
  <c r="L37" i="43" s="1"/>
  <c r="M22" i="43"/>
  <c r="M23" i="43" s="1"/>
  <c r="N22" i="43"/>
  <c r="N23" i="43" s="1"/>
  <c r="O22" i="43"/>
  <c r="O23" i="43" s="1"/>
  <c r="P22" i="43"/>
  <c r="P23" i="43" s="1"/>
  <c r="Q22" i="43"/>
  <c r="Q23" i="43" s="1"/>
  <c r="R22" i="43"/>
  <c r="R23" i="43" s="1"/>
  <c r="T22" i="43"/>
  <c r="T23" i="43" s="1"/>
  <c r="L22" i="43"/>
  <c r="J29" i="43"/>
  <c r="J43" i="43"/>
  <c r="T66" i="43"/>
  <c r="R66" i="43"/>
  <c r="Q66" i="43"/>
  <c r="P66" i="43"/>
  <c r="O66" i="43"/>
  <c r="N66" i="43"/>
  <c r="M66" i="43"/>
  <c r="L66" i="43"/>
  <c r="AY31" i="107" s="1"/>
  <c r="AW64" i="107" s="1"/>
  <c r="T52" i="43"/>
  <c r="R52" i="43"/>
  <c r="Q52" i="43"/>
  <c r="P52" i="43"/>
  <c r="O52" i="43"/>
  <c r="N52" i="43"/>
  <c r="M52" i="43"/>
  <c r="AN31" i="107" s="1"/>
  <c r="L52" i="43"/>
  <c r="AM31" i="107" s="1"/>
  <c r="T38" i="43"/>
  <c r="R38" i="43"/>
  <c r="Q38" i="43"/>
  <c r="P38" i="43"/>
  <c r="O38" i="43"/>
  <c r="N38" i="43"/>
  <c r="M38" i="43"/>
  <c r="L38" i="43"/>
  <c r="AA31" i="107" s="1"/>
  <c r="AK64" i="107" l="1"/>
  <c r="AK62" i="107"/>
  <c r="AW62" i="107"/>
  <c r="AB31" i="106"/>
  <c r="AB31" i="103"/>
  <c r="AB31" i="107"/>
  <c r="AG33" i="107" s="1"/>
  <c r="AB31" i="105"/>
  <c r="AB31" i="104"/>
  <c r="AA274" i="107"/>
  <c r="AA65" i="107"/>
  <c r="AA68" i="107"/>
  <c r="AA32" i="107"/>
  <c r="AA313" i="107"/>
  <c r="AA251" i="107"/>
  <c r="AM33" i="107"/>
  <c r="AM283" i="107"/>
  <c r="AQ33" i="107"/>
  <c r="AK31" i="107"/>
  <c r="AM274" i="107"/>
  <c r="AK66" i="107"/>
  <c r="AU33" i="107"/>
  <c r="AU194" i="107" s="1"/>
  <c r="AN33" i="107"/>
  <c r="AO33" i="107"/>
  <c r="AM68" i="107"/>
  <c r="AS33" i="107"/>
  <c r="AP78" i="107"/>
  <c r="AP33" i="107"/>
  <c r="AK67" i="107"/>
  <c r="AM32" i="107"/>
  <c r="AQ78" i="107"/>
  <c r="AT33" i="107"/>
  <c r="AT194" i="107" s="1"/>
  <c r="AR33" i="107"/>
  <c r="AM65" i="107"/>
  <c r="AM313" i="107"/>
  <c r="AM251" i="107"/>
  <c r="AM232" i="107"/>
  <c r="AY65" i="107"/>
  <c r="AW65" i="107" s="1"/>
  <c r="BF33" i="107"/>
  <c r="BF194" i="107" s="1"/>
  <c r="BC78" i="107"/>
  <c r="AY33" i="107"/>
  <c r="AZ33" i="107"/>
  <c r="AW67" i="107"/>
  <c r="AY283" i="107"/>
  <c r="AY68" i="107"/>
  <c r="AW68" i="107" s="1"/>
  <c r="BC33" i="107"/>
  <c r="BD33" i="107"/>
  <c r="AW31" i="107"/>
  <c r="BG33" i="107"/>
  <c r="BG194" i="107" s="1"/>
  <c r="AW66" i="107"/>
  <c r="BE33" i="107"/>
  <c r="AY32" i="107"/>
  <c r="AY274" i="107"/>
  <c r="BB33" i="107"/>
  <c r="BB78" i="107"/>
  <c r="BA33" i="107"/>
  <c r="AY313" i="107"/>
  <c r="AW313" i="107" s="1"/>
  <c r="AW251" i="107"/>
  <c r="AY232" i="107"/>
  <c r="AN274" i="107"/>
  <c r="AN68" i="107"/>
  <c r="AN32" i="107"/>
  <c r="AN65" i="107"/>
  <c r="AN283" i="107"/>
  <c r="AN251" i="107"/>
  <c r="AN313" i="107"/>
  <c r="AN232" i="107"/>
  <c r="AN31" i="105"/>
  <c r="AN283" i="105" s="1"/>
  <c r="AN31" i="106"/>
  <c r="AA31" i="105"/>
  <c r="AA31" i="106"/>
  <c r="AM31" i="105"/>
  <c r="AM31" i="106"/>
  <c r="AY31" i="105"/>
  <c r="AW64" i="105" s="1"/>
  <c r="AY31" i="106"/>
  <c r="AW64" i="106" s="1"/>
  <c r="AM232" i="105"/>
  <c r="AY232" i="105"/>
  <c r="AN232" i="105"/>
  <c r="AA31" i="103"/>
  <c r="AA31" i="104"/>
  <c r="AM31" i="103"/>
  <c r="AM31" i="104"/>
  <c r="AY31" i="103"/>
  <c r="AW64" i="103" s="1"/>
  <c r="AY31" i="104"/>
  <c r="AW64" i="104" s="1"/>
  <c r="AN31" i="103"/>
  <c r="AN32" i="103" s="1"/>
  <c r="AN31" i="104"/>
  <c r="AY232" i="103"/>
  <c r="AN232" i="103"/>
  <c r="BC31" i="55"/>
  <c r="BD31" i="55"/>
  <c r="AC31" i="55"/>
  <c r="AD31" i="55"/>
  <c r="AI31" i="55"/>
  <c r="AG31" i="55"/>
  <c r="AE31" i="55"/>
  <c r="AB31" i="55"/>
  <c r="AF31" i="55"/>
  <c r="AQ31" i="55"/>
  <c r="AR31" i="55"/>
  <c r="AS31" i="55"/>
  <c r="BE31" i="55"/>
  <c r="AO31" i="55"/>
  <c r="AP31" i="55"/>
  <c r="BG31" i="55"/>
  <c r="BB31" i="55"/>
  <c r="BA31" i="55"/>
  <c r="AZ31" i="55"/>
  <c r="AU31" i="55"/>
  <c r="AN31" i="55"/>
  <c r="J64" i="43"/>
  <c r="J50" i="43"/>
  <c r="J22" i="43"/>
  <c r="J51" i="43"/>
  <c r="J52" i="43"/>
  <c r="L23" i="43"/>
  <c r="J66" i="43"/>
  <c r="J38" i="43"/>
  <c r="L65" i="43"/>
  <c r="J65" i="43" s="1"/>
  <c r="J37" i="43"/>
  <c r="J36" i="43"/>
  <c r="R24" i="43"/>
  <c r="Q24" i="43"/>
  <c r="P24" i="43"/>
  <c r="O24" i="43"/>
  <c r="N24" i="43"/>
  <c r="L24" i="43"/>
  <c r="O31" i="107" s="1"/>
  <c r="O64" i="107" s="1"/>
  <c r="AK64" i="106" l="1"/>
  <c r="AK64" i="105"/>
  <c r="AK64" i="103"/>
  <c r="AK64" i="104"/>
  <c r="AF33" i="107"/>
  <c r="AI33" i="107"/>
  <c r="AI194" i="107" s="1"/>
  <c r="AC33" i="107"/>
  <c r="AE33" i="107"/>
  <c r="AA33" i="107"/>
  <c r="AW62" i="106"/>
  <c r="AW62" i="104"/>
  <c r="AK62" i="104"/>
  <c r="AK62" i="103"/>
  <c r="AK62" i="106"/>
  <c r="Y31" i="107"/>
  <c r="BE33" i="105"/>
  <c r="AW62" i="105"/>
  <c r="AM65" i="105"/>
  <c r="AK62" i="105"/>
  <c r="AG33" i="103"/>
  <c r="BC33" i="103"/>
  <c r="AW62" i="103"/>
  <c r="AB33" i="107"/>
  <c r="AH33" i="107"/>
  <c r="AH194" i="107" s="1"/>
  <c r="AB313" i="104"/>
  <c r="AB251" i="104"/>
  <c r="AB274" i="104"/>
  <c r="AB68" i="104"/>
  <c r="AB32" i="104"/>
  <c r="AB65" i="104"/>
  <c r="AB313" i="105"/>
  <c r="AB32" i="105"/>
  <c r="AB68" i="105"/>
  <c r="AB274" i="105"/>
  <c r="AB65" i="105"/>
  <c r="AB251" i="105"/>
  <c r="AB274" i="107"/>
  <c r="AB32" i="107"/>
  <c r="AB68" i="107"/>
  <c r="AF78" i="107" s="1"/>
  <c r="AB65" i="107"/>
  <c r="AC78" i="107" s="1"/>
  <c r="AC88" i="107" s="1"/>
  <c r="AB313" i="107"/>
  <c r="Y313" i="107" s="1"/>
  <c r="AB251" i="107"/>
  <c r="Y251" i="107" s="1"/>
  <c r="AB65" i="103"/>
  <c r="AB251" i="103"/>
  <c r="AB32" i="103"/>
  <c r="AB313" i="103"/>
  <c r="AB68" i="103"/>
  <c r="AB274" i="103"/>
  <c r="AD33" i="107"/>
  <c r="AB32" i="106"/>
  <c r="AB274" i="106"/>
  <c r="AB65" i="106"/>
  <c r="AB313" i="106"/>
  <c r="AB251" i="106"/>
  <c r="AB68" i="106"/>
  <c r="AB33" i="103"/>
  <c r="AY283" i="105"/>
  <c r="AY286" i="105" s="1" a="1"/>
  <c r="AY286" i="105" s="1"/>
  <c r="BE33" i="103"/>
  <c r="BA33" i="103"/>
  <c r="BD33" i="103"/>
  <c r="AM32" i="105"/>
  <c r="BC78" i="105"/>
  <c r="BC157" i="105" s="1"/>
  <c r="BB33" i="105"/>
  <c r="BC33" i="105"/>
  <c r="AF33" i="103"/>
  <c r="AW31" i="105"/>
  <c r="AM274" i="105"/>
  <c r="AN274" i="103"/>
  <c r="AW251" i="103"/>
  <c r="AR33" i="105"/>
  <c r="AN33" i="105"/>
  <c r="AN193" i="105" s="1"/>
  <c r="AY33" i="103"/>
  <c r="AA251" i="103"/>
  <c r="AN251" i="105"/>
  <c r="BC78" i="103"/>
  <c r="BG248" i="103" s="1"/>
  <c r="AY32" i="103"/>
  <c r="AA32" i="103"/>
  <c r="AA33" i="103"/>
  <c r="AW251" i="105"/>
  <c r="AN65" i="105"/>
  <c r="AS33" i="105"/>
  <c r="AP33" i="105"/>
  <c r="AK67" i="105"/>
  <c r="AO33" i="105"/>
  <c r="AK66" i="105"/>
  <c r="BA78" i="107"/>
  <c r="BA88" i="107" s="1"/>
  <c r="AN313" i="105"/>
  <c r="AY65" i="103"/>
  <c r="BA78" i="103" s="1"/>
  <c r="BA88" i="103" s="1"/>
  <c r="BF33" i="103"/>
  <c r="BF194" i="103" s="1"/>
  <c r="BB78" i="105"/>
  <c r="BB157" i="105" s="1"/>
  <c r="AK31" i="103"/>
  <c r="BD33" i="105"/>
  <c r="AY283" i="103"/>
  <c r="AY68" i="103"/>
  <c r="AW68" i="103" s="1"/>
  <c r="AW31" i="103"/>
  <c r="AM251" i="105"/>
  <c r="AM274" i="103"/>
  <c r="AY313" i="105"/>
  <c r="AW313" i="105" s="1"/>
  <c r="BA33" i="105"/>
  <c r="AY65" i="105"/>
  <c r="AW66" i="105"/>
  <c r="AA65" i="105"/>
  <c r="AY32" i="105"/>
  <c r="AZ33" i="105"/>
  <c r="AZ193" i="105" s="1"/>
  <c r="AW67" i="105"/>
  <c r="AY33" i="105"/>
  <c r="AB33" i="105"/>
  <c r="S31" i="103"/>
  <c r="S31" i="104"/>
  <c r="S31" i="107"/>
  <c r="S31" i="106"/>
  <c r="S31" i="105"/>
  <c r="R31" i="107"/>
  <c r="R31" i="106"/>
  <c r="R31" i="105"/>
  <c r="R31" i="103"/>
  <c r="R31" i="104"/>
  <c r="Q31" i="107"/>
  <c r="Q31" i="106"/>
  <c r="Q31" i="103"/>
  <c r="Q31" i="105"/>
  <c r="Q31" i="104"/>
  <c r="AN313" i="103"/>
  <c r="AM65" i="103"/>
  <c r="AN68" i="103"/>
  <c r="AN68" i="105"/>
  <c r="AN274" i="105"/>
  <c r="AM33" i="105"/>
  <c r="AT33" i="105"/>
  <c r="AT194" i="105" s="1"/>
  <c r="AK31" i="105"/>
  <c r="AM68" i="105"/>
  <c r="AQ33" i="105"/>
  <c r="AK65" i="107"/>
  <c r="AU239" i="107" s="1"/>
  <c r="AN65" i="103"/>
  <c r="AN283" i="103"/>
  <c r="AN286" i="103" s="1" a="1"/>
  <c r="AN286" i="103" s="1"/>
  <c r="AP33" i="103"/>
  <c r="Y31" i="103"/>
  <c r="AN32" i="105"/>
  <c r="AM313" i="105"/>
  <c r="AQ78" i="105"/>
  <c r="AR248" i="105" s="1"/>
  <c r="AP78" i="105"/>
  <c r="AP157" i="105" s="1"/>
  <c r="AU33" i="105"/>
  <c r="AU194" i="105" s="1"/>
  <c r="AM283" i="105"/>
  <c r="AA313" i="105"/>
  <c r="AI33" i="105"/>
  <c r="AI194" i="105" s="1"/>
  <c r="AA274" i="105"/>
  <c r="AN251" i="103"/>
  <c r="AY313" i="103"/>
  <c r="AW313" i="103" s="1"/>
  <c r="AW66" i="103"/>
  <c r="AY274" i="103"/>
  <c r="BB33" i="103"/>
  <c r="AM251" i="103"/>
  <c r="AM283" i="103"/>
  <c r="AM286" i="103" s="1" a="1"/>
  <c r="AM286" i="103" s="1"/>
  <c r="AH33" i="103"/>
  <c r="AH194" i="103" s="1"/>
  <c r="AA65" i="103"/>
  <c r="AW67" i="103"/>
  <c r="AI33" i="103"/>
  <c r="AI194" i="103" s="1"/>
  <c r="AC33" i="103"/>
  <c r="AN33" i="103"/>
  <c r="AN193" i="103" s="1"/>
  <c r="AA274" i="103"/>
  <c r="AR78" i="107"/>
  <c r="AS249" i="107" s="1"/>
  <c r="BB78" i="103"/>
  <c r="BB157" i="103" s="1"/>
  <c r="AZ33" i="103"/>
  <c r="AZ193" i="103" s="1"/>
  <c r="BG33" i="103"/>
  <c r="BG194" i="103" s="1"/>
  <c r="AA313" i="103"/>
  <c r="AE33" i="103"/>
  <c r="AA68" i="103"/>
  <c r="AF78" i="103" s="1"/>
  <c r="AH249" i="103" s="1"/>
  <c r="AD33" i="103"/>
  <c r="BF33" i="105"/>
  <c r="BF194" i="105" s="1"/>
  <c r="BG33" i="105"/>
  <c r="BG194" i="105" s="1"/>
  <c r="AY274" i="105"/>
  <c r="AY68" i="105"/>
  <c r="AW68" i="105" s="1"/>
  <c r="AA32" i="105"/>
  <c r="AF33" i="105"/>
  <c r="Y31" i="105"/>
  <c r="AA68" i="105"/>
  <c r="AA251" i="105"/>
  <c r="AD33" i="105"/>
  <c r="AA33" i="105"/>
  <c r="AO78" i="107"/>
  <c r="AO88" i="107" s="1"/>
  <c r="AK66" i="103"/>
  <c r="AE33" i="105"/>
  <c r="AG33" i="105"/>
  <c r="AC33" i="105"/>
  <c r="AH33" i="105"/>
  <c r="AH194" i="105" s="1"/>
  <c r="BD78" i="107"/>
  <c r="BA311" i="107" s="1"/>
  <c r="BC239" i="107"/>
  <c r="BD239" i="107"/>
  <c r="AY239" i="107"/>
  <c r="BE239" i="107"/>
  <c r="AZ239" i="107"/>
  <c r="BB239" i="107"/>
  <c r="BF239" i="107"/>
  <c r="BA239" i="107"/>
  <c r="BG239" i="107"/>
  <c r="AR189" i="107"/>
  <c r="AR14" i="107" s="1"/>
  <c r="O68" i="107"/>
  <c r="O65" i="107"/>
  <c r="O32" i="107"/>
  <c r="O274" i="107"/>
  <c r="O313" i="107"/>
  <c r="O251" i="107"/>
  <c r="AM232" i="103"/>
  <c r="AP78" i="103"/>
  <c r="AP157" i="103" s="1"/>
  <c r="AM68" i="103"/>
  <c r="AS33" i="103"/>
  <c r="AY287" i="107" a="1"/>
  <c r="AY287" i="107" s="1"/>
  <c r="AY286" i="107" a="1"/>
  <c r="AY286" i="107" s="1"/>
  <c r="AY285" i="107" a="1"/>
  <c r="AY285" i="107" s="1"/>
  <c r="AZ78" i="107"/>
  <c r="AK313" i="107"/>
  <c r="AN194" i="107"/>
  <c r="AN193" i="107"/>
  <c r="AN190" i="107"/>
  <c r="AK274" i="107"/>
  <c r="AW274" i="107"/>
  <c r="BD189" i="107"/>
  <c r="BD14" i="107" s="1"/>
  <c r="AN78" i="107"/>
  <c r="AK68" i="107"/>
  <c r="AU33" i="103"/>
  <c r="AU194" i="103" s="1"/>
  <c r="AN287" i="107" a="1"/>
  <c r="AN287" i="107" s="1"/>
  <c r="AN286" i="107" a="1"/>
  <c r="AN286" i="107" s="1"/>
  <c r="AN285" i="107" a="1"/>
  <c r="AN285" i="107" s="1"/>
  <c r="BD193" i="107"/>
  <c r="AZ194" i="107"/>
  <c r="AZ193" i="107"/>
  <c r="AZ190" i="107"/>
  <c r="BC157" i="107"/>
  <c r="AZ248" i="107"/>
  <c r="BB248" i="107"/>
  <c r="BD248" i="107"/>
  <c r="BF248" i="107"/>
  <c r="BC248" i="107"/>
  <c r="BG248" i="107"/>
  <c r="BA248" i="107"/>
  <c r="BE248" i="107"/>
  <c r="AR193" i="107"/>
  <c r="AM287" i="107" a="1"/>
  <c r="AM287" i="107" s="1"/>
  <c r="AM286" i="107" a="1"/>
  <c r="AM286" i="107" s="1"/>
  <c r="AM285" i="107" a="1"/>
  <c r="AM285" i="107" s="1"/>
  <c r="AQ78" i="103"/>
  <c r="AT248" i="103" s="1"/>
  <c r="AK67" i="103"/>
  <c r="AM33" i="103"/>
  <c r="AO33" i="103"/>
  <c r="BB157" i="107"/>
  <c r="AK251" i="107"/>
  <c r="AQ157" i="107"/>
  <c r="AR248" i="107"/>
  <c r="AP248" i="107"/>
  <c r="AT248" i="107"/>
  <c r="AO248" i="107"/>
  <c r="AS248" i="107"/>
  <c r="AQ248" i="107"/>
  <c r="AU248" i="107"/>
  <c r="AP157" i="107"/>
  <c r="AM313" i="103"/>
  <c r="AT33" i="103"/>
  <c r="AT194" i="103" s="1"/>
  <c r="AQ33" i="103"/>
  <c r="AR33" i="103"/>
  <c r="AM32" i="103"/>
  <c r="AY65" i="106"/>
  <c r="AW65" i="106" s="1"/>
  <c r="BD33" i="106"/>
  <c r="AW31" i="106"/>
  <c r="AY283" i="106"/>
  <c r="AY274" i="106"/>
  <c r="AZ33" i="106"/>
  <c r="AY68" i="106"/>
  <c r="AW68" i="106" s="1"/>
  <c r="BF33" i="106"/>
  <c r="BF194" i="106" s="1"/>
  <c r="BA33" i="106"/>
  <c r="AW67" i="106"/>
  <c r="BB33" i="106"/>
  <c r="BE33" i="106"/>
  <c r="AW66" i="106"/>
  <c r="AY32" i="106"/>
  <c r="AY33" i="106"/>
  <c r="BC33" i="106"/>
  <c r="BB78" i="106"/>
  <c r="BG33" i="106"/>
  <c r="BG194" i="106" s="1"/>
  <c r="BC78" i="106"/>
  <c r="AY313" i="106"/>
  <c r="AW313" i="106" s="1"/>
  <c r="AW251" i="106"/>
  <c r="AY232" i="106"/>
  <c r="AH33" i="106"/>
  <c r="AH194" i="106" s="1"/>
  <c r="AD33" i="106"/>
  <c r="AA32" i="106"/>
  <c r="Y31" i="106"/>
  <c r="AA33" i="106"/>
  <c r="AA65" i="106"/>
  <c r="AF33" i="106"/>
  <c r="AE33" i="106"/>
  <c r="AC33" i="106"/>
  <c r="AA274" i="106"/>
  <c r="AA68" i="106"/>
  <c r="AB33" i="106"/>
  <c r="AI33" i="106"/>
  <c r="AI194" i="106" s="1"/>
  <c r="AG33" i="106"/>
  <c r="AA313" i="106"/>
  <c r="AA251" i="106"/>
  <c r="O31" i="105"/>
  <c r="O64" i="105" s="1"/>
  <c r="O31" i="106"/>
  <c r="O64" i="106" s="1"/>
  <c r="AM32" i="106"/>
  <c r="AU33" i="106"/>
  <c r="AU194" i="106" s="1"/>
  <c r="AP33" i="106"/>
  <c r="AQ33" i="106"/>
  <c r="AT33" i="106"/>
  <c r="AT194" i="106" s="1"/>
  <c r="AM65" i="106"/>
  <c r="AK31" i="106"/>
  <c r="AM33" i="106"/>
  <c r="AO33" i="106"/>
  <c r="AM283" i="106"/>
  <c r="AS33" i="106"/>
  <c r="AM274" i="106"/>
  <c r="AR33" i="106"/>
  <c r="AP78" i="106"/>
  <c r="AK66" i="106"/>
  <c r="AQ78" i="106"/>
  <c r="AK67" i="106"/>
  <c r="AN33" i="106"/>
  <c r="AM68" i="106"/>
  <c r="AM251" i="106"/>
  <c r="AM313" i="106"/>
  <c r="AM232" i="106"/>
  <c r="AN283" i="106"/>
  <c r="AN65" i="106"/>
  <c r="AN32" i="106"/>
  <c r="AN274" i="106"/>
  <c r="AN68" i="106"/>
  <c r="AN313" i="106"/>
  <c r="AN251" i="106"/>
  <c r="AN232" i="106"/>
  <c r="AN78" i="105"/>
  <c r="AN287" i="105" a="1"/>
  <c r="AN287" i="105" s="1"/>
  <c r="AN286" i="105" a="1"/>
  <c r="AN286" i="105" s="1"/>
  <c r="AN285" i="105" a="1"/>
  <c r="AN285" i="105" s="1"/>
  <c r="AZ78" i="105"/>
  <c r="AN283" i="104"/>
  <c r="AN68" i="104"/>
  <c r="AN274" i="104"/>
  <c r="AN32" i="104"/>
  <c r="AN65" i="104"/>
  <c r="AN251" i="104"/>
  <c r="AN313" i="104"/>
  <c r="AN232" i="104"/>
  <c r="AM32" i="104"/>
  <c r="AN33" i="104"/>
  <c r="AM283" i="104"/>
  <c r="AP78" i="104"/>
  <c r="AU33" i="104"/>
  <c r="AU194" i="104" s="1"/>
  <c r="AM68" i="104"/>
  <c r="AR33" i="104"/>
  <c r="AO33" i="104"/>
  <c r="AM274" i="104"/>
  <c r="AQ78" i="104"/>
  <c r="AK66" i="104"/>
  <c r="AS33" i="104"/>
  <c r="AP33" i="104"/>
  <c r="AM33" i="104"/>
  <c r="AK67" i="104"/>
  <c r="AK31" i="104"/>
  <c r="AT33" i="104"/>
  <c r="AT194" i="104" s="1"/>
  <c r="AM65" i="104"/>
  <c r="AQ33" i="104"/>
  <c r="AM251" i="104"/>
  <c r="AM313" i="104"/>
  <c r="AM232" i="104"/>
  <c r="O31" i="103"/>
  <c r="O31" i="104"/>
  <c r="O64" i="104" s="1"/>
  <c r="BG33" i="104"/>
  <c r="BG194" i="104" s="1"/>
  <c r="BD33" i="104"/>
  <c r="AW66" i="104"/>
  <c r="BA33" i="104"/>
  <c r="BB78" i="104"/>
  <c r="AY32" i="104"/>
  <c r="BE33" i="104"/>
  <c r="AY274" i="104"/>
  <c r="AY68" i="104"/>
  <c r="AW68" i="104" s="1"/>
  <c r="BB33" i="104"/>
  <c r="AW67" i="104"/>
  <c r="BC78" i="104"/>
  <c r="AY33" i="104"/>
  <c r="AY65" i="104"/>
  <c r="AW65" i="104" s="1"/>
  <c r="BF33" i="104"/>
  <c r="BF194" i="104" s="1"/>
  <c r="BC33" i="104"/>
  <c r="AZ33" i="104"/>
  <c r="AY283" i="104"/>
  <c r="AW31" i="104"/>
  <c r="AY313" i="104"/>
  <c r="AW313" i="104" s="1"/>
  <c r="AW251" i="104"/>
  <c r="AY232" i="104"/>
  <c r="AH33" i="104"/>
  <c r="AH194" i="104" s="1"/>
  <c r="AE33" i="104"/>
  <c r="AB33" i="104"/>
  <c r="AA65" i="104"/>
  <c r="AA274" i="104"/>
  <c r="AI33" i="104"/>
  <c r="AI194" i="104" s="1"/>
  <c r="AF33" i="104"/>
  <c r="AC33" i="104"/>
  <c r="AA32" i="104"/>
  <c r="Y31" i="104"/>
  <c r="AG33" i="104"/>
  <c r="AA68" i="104"/>
  <c r="AD33" i="104"/>
  <c r="AA33" i="104"/>
  <c r="AA313" i="104"/>
  <c r="AA251" i="104"/>
  <c r="AZ78" i="103"/>
  <c r="BD189" i="103"/>
  <c r="BD14" i="103" s="1"/>
  <c r="AF65" i="55"/>
  <c r="AF274" i="55"/>
  <c r="AG274" i="55"/>
  <c r="BC274" i="55"/>
  <c r="AB274" i="55"/>
  <c r="AI274" i="55"/>
  <c r="AE274" i="55"/>
  <c r="AD274" i="55"/>
  <c r="AC274" i="55"/>
  <c r="BD32" i="55"/>
  <c r="AF32" i="55"/>
  <c r="BD274" i="55"/>
  <c r="BD65" i="55"/>
  <c r="BB274" i="55"/>
  <c r="BE274" i="55"/>
  <c r="BG274" i="55"/>
  <c r="AS274" i="55"/>
  <c r="AZ274" i="55"/>
  <c r="AP274" i="55"/>
  <c r="AR274" i="55"/>
  <c r="AR65" i="55"/>
  <c r="BA274" i="55"/>
  <c r="AO274" i="55"/>
  <c r="AQ274" i="55"/>
  <c r="AR32" i="55"/>
  <c r="S31" i="55"/>
  <c r="T31" i="55"/>
  <c r="Q31" i="55"/>
  <c r="R31" i="55"/>
  <c r="U31" i="55"/>
  <c r="AU274" i="55"/>
  <c r="J35" i="43"/>
  <c r="J49" i="43"/>
  <c r="J63" i="43"/>
  <c r="L11" i="43"/>
  <c r="J23" i="43"/>
  <c r="M11" i="43" s="1"/>
  <c r="AW76" i="55"/>
  <c r="AK76" i="55"/>
  <c r="Y76" i="55"/>
  <c r="M76" i="55"/>
  <c r="J76" i="55"/>
  <c r="O32" i="103" l="1"/>
  <c r="O64" i="103"/>
  <c r="J11" i="43"/>
  <c r="AY285" i="105" a="1"/>
  <c r="AY285" i="105" s="1"/>
  <c r="AY287" i="105" a="1"/>
  <c r="AY287" i="105" s="1"/>
  <c r="Y313" i="104"/>
  <c r="Y65" i="107"/>
  <c r="AC239" i="107" s="1"/>
  <c r="Y251" i="104"/>
  <c r="AK65" i="105"/>
  <c r="AT239" i="105" s="1"/>
  <c r="Y68" i="105"/>
  <c r="BB248" i="103"/>
  <c r="AZ248" i="103"/>
  <c r="Y65" i="105"/>
  <c r="AA239" i="105" s="1"/>
  <c r="Y251" i="105"/>
  <c r="AZ190" i="103"/>
  <c r="AZ194" i="103" s="1"/>
  <c r="O68" i="105"/>
  <c r="AN190" i="105"/>
  <c r="AN194" i="105" s="1"/>
  <c r="AR239" i="107"/>
  <c r="Y65" i="106"/>
  <c r="AH239" i="106" s="1"/>
  <c r="AF78" i="104"/>
  <c r="AF159" i="104" s="1"/>
  <c r="AS248" i="105"/>
  <c r="BD248" i="103"/>
  <c r="BC248" i="103"/>
  <c r="AC78" i="103"/>
  <c r="AC88" i="103" s="1"/>
  <c r="BC157" i="103"/>
  <c r="BC174" i="103" s="1"/>
  <c r="BC190" i="103" s="1"/>
  <c r="BC194" i="103" s="1"/>
  <c r="BF248" i="103"/>
  <c r="BE248" i="103"/>
  <c r="BA248" i="103"/>
  <c r="AU248" i="105"/>
  <c r="AQ157" i="105"/>
  <c r="AQ165" i="105" s="1"/>
  <c r="AC78" i="104"/>
  <c r="AC88" i="104" s="1"/>
  <c r="AO248" i="105"/>
  <c r="AQ248" i="105"/>
  <c r="AT248" i="105"/>
  <c r="AP248" i="105"/>
  <c r="BB248" i="105"/>
  <c r="Y313" i="105"/>
  <c r="Y68" i="107"/>
  <c r="Y313" i="103"/>
  <c r="AK274" i="103"/>
  <c r="Y251" i="106"/>
  <c r="Y274" i="107"/>
  <c r="Y251" i="103"/>
  <c r="AC249" i="107"/>
  <c r="AF159" i="107"/>
  <c r="AF165" i="107" s="1"/>
  <c r="AF205" i="107"/>
  <c r="AF207" i="107" s="1"/>
  <c r="AA249" i="107" s="1"/>
  <c r="AF249" i="107"/>
  <c r="AG249" i="107"/>
  <c r="AH249" i="107"/>
  <c r="AB249" i="107"/>
  <c r="AD249" i="107"/>
  <c r="AE249" i="107"/>
  <c r="AI249" i="107"/>
  <c r="Y313" i="106"/>
  <c r="Y68" i="106"/>
  <c r="AC78" i="105"/>
  <c r="AC88" i="105" s="1"/>
  <c r="AC91" i="105" s="1"/>
  <c r="AC217" i="105" s="1"/>
  <c r="AE249" i="103"/>
  <c r="Y274" i="103"/>
  <c r="AI249" i="103"/>
  <c r="BF248" i="105"/>
  <c r="BA248" i="105"/>
  <c r="AG249" i="103"/>
  <c r="BD248" i="105"/>
  <c r="Y68" i="103"/>
  <c r="AC249" i="103"/>
  <c r="BG248" i="105"/>
  <c r="AD249" i="103"/>
  <c r="BC248" i="105"/>
  <c r="AF205" i="103"/>
  <c r="AF207" i="103" s="1"/>
  <c r="AA249" i="103" s="1"/>
  <c r="AF249" i="103"/>
  <c r="AZ248" i="105"/>
  <c r="AB249" i="103"/>
  <c r="BE248" i="105"/>
  <c r="AQ249" i="107"/>
  <c r="AO249" i="107"/>
  <c r="AF159" i="103"/>
  <c r="Y159" i="103" s="1"/>
  <c r="BE249" i="107"/>
  <c r="BF249" i="107"/>
  <c r="BE311" i="107"/>
  <c r="AK68" i="103"/>
  <c r="AT239" i="107"/>
  <c r="AO239" i="107"/>
  <c r="AW274" i="103"/>
  <c r="AP239" i="107"/>
  <c r="AQ239" i="107"/>
  <c r="AM239" i="107"/>
  <c r="AZ190" i="105"/>
  <c r="AZ194" i="105" s="1"/>
  <c r="AO78" i="105"/>
  <c r="AO88" i="105" s="1"/>
  <c r="AM287" i="103" a="1"/>
  <c r="AM287" i="103" s="1"/>
  <c r="AM285" i="103" a="1"/>
  <c r="AM285" i="103" s="1"/>
  <c r="AM287" i="105" a="1"/>
  <c r="AM287" i="105" s="1"/>
  <c r="AN287" i="103" a="1"/>
  <c r="AN287" i="103" s="1"/>
  <c r="AS239" i="107"/>
  <c r="AW65" i="103"/>
  <c r="BG239" i="103" s="1"/>
  <c r="AN239" i="107"/>
  <c r="AK313" i="105"/>
  <c r="AN78" i="103"/>
  <c r="AP307" i="103" s="1"/>
  <c r="BD249" i="107"/>
  <c r="AZ249" i="107"/>
  <c r="AK251" i="105"/>
  <c r="AQ157" i="103"/>
  <c r="AQ174" i="103" s="1"/>
  <c r="AQ190" i="103" s="1"/>
  <c r="AQ194" i="103" s="1"/>
  <c r="BC249" i="107"/>
  <c r="BA78" i="106"/>
  <c r="BA88" i="106" s="1"/>
  <c r="BA91" i="106" s="1"/>
  <c r="BA217" i="106" s="1"/>
  <c r="AR78" i="104"/>
  <c r="AR249" i="104" s="1"/>
  <c r="AY285" i="103" a="1"/>
  <c r="AY285" i="103" s="1"/>
  <c r="AY287" i="103" a="1"/>
  <c r="AY287" i="103" s="1"/>
  <c r="AY286" i="103" a="1"/>
  <c r="AY286" i="103" s="1"/>
  <c r="AW274" i="105"/>
  <c r="AK65" i="103"/>
  <c r="AU239" i="103" s="1"/>
  <c r="Y65" i="103"/>
  <c r="AK251" i="103"/>
  <c r="BD311" i="107"/>
  <c r="BD78" i="103"/>
  <c r="BC249" i="103" s="1"/>
  <c r="AY311" i="107"/>
  <c r="AT238" i="103"/>
  <c r="AN285" i="103" a="1"/>
  <c r="AN285" i="103" s="1"/>
  <c r="AM285" i="105" a="1"/>
  <c r="AM285" i="105" s="1"/>
  <c r="AW65" i="105"/>
  <c r="BA78" i="105"/>
  <c r="BA88" i="105" s="1"/>
  <c r="AM286" i="105" a="1"/>
  <c r="AM286" i="105" s="1"/>
  <c r="AK313" i="103"/>
  <c r="AK274" i="105"/>
  <c r="AR78" i="105"/>
  <c r="AO249" i="105" s="1"/>
  <c r="S32" i="106"/>
  <c r="S68" i="106"/>
  <c r="S65" i="106"/>
  <c r="S274" i="106"/>
  <c r="S313" i="106"/>
  <c r="S251" i="106"/>
  <c r="S68" i="107"/>
  <c r="S313" i="107"/>
  <c r="S32" i="107"/>
  <c r="S65" i="107"/>
  <c r="S274" i="107"/>
  <c r="S251" i="107"/>
  <c r="S32" i="104"/>
  <c r="S68" i="104"/>
  <c r="S274" i="104"/>
  <c r="S313" i="104"/>
  <c r="S65" i="104"/>
  <c r="S251" i="104"/>
  <c r="S32" i="105"/>
  <c r="S274" i="105"/>
  <c r="S68" i="105"/>
  <c r="S65" i="105"/>
  <c r="S313" i="105"/>
  <c r="S251" i="105"/>
  <c r="S65" i="103"/>
  <c r="S274" i="103"/>
  <c r="S68" i="103"/>
  <c r="S313" i="103"/>
  <c r="S251" i="103"/>
  <c r="S32" i="103"/>
  <c r="R65" i="103"/>
  <c r="R68" i="103"/>
  <c r="R313" i="103"/>
  <c r="R251" i="103"/>
  <c r="R32" i="103"/>
  <c r="R274" i="103"/>
  <c r="R32" i="105"/>
  <c r="R65" i="105"/>
  <c r="R251" i="105"/>
  <c r="R68" i="105"/>
  <c r="R313" i="105"/>
  <c r="R274" i="105"/>
  <c r="R32" i="106"/>
  <c r="R68" i="106"/>
  <c r="R313" i="106"/>
  <c r="R65" i="106"/>
  <c r="R274" i="106"/>
  <c r="R251" i="106"/>
  <c r="R65" i="104"/>
  <c r="R274" i="104"/>
  <c r="R68" i="104"/>
  <c r="R313" i="104"/>
  <c r="R251" i="104"/>
  <c r="R32" i="104"/>
  <c r="R274" i="107"/>
  <c r="R251" i="107"/>
  <c r="R32" i="107"/>
  <c r="R68" i="107"/>
  <c r="R313" i="107"/>
  <c r="R65" i="107"/>
  <c r="Q32" i="103"/>
  <c r="Q65" i="103"/>
  <c r="Q274" i="103"/>
  <c r="Q68" i="103"/>
  <c r="Q251" i="103"/>
  <c r="Q313" i="103"/>
  <c r="Q313" i="105"/>
  <c r="Q65" i="105"/>
  <c r="Q274" i="105"/>
  <c r="Q68" i="105"/>
  <c r="Q32" i="105"/>
  <c r="Q251" i="105"/>
  <c r="Q65" i="106"/>
  <c r="Q251" i="106"/>
  <c r="Q274" i="106"/>
  <c r="Q313" i="106"/>
  <c r="Q32" i="106"/>
  <c r="Q68" i="106"/>
  <c r="Q32" i="104"/>
  <c r="Q68" i="104"/>
  <c r="Q274" i="104"/>
  <c r="Q251" i="104"/>
  <c r="Q313" i="104"/>
  <c r="Q65" i="104"/>
  <c r="Q274" i="107"/>
  <c r="Q65" i="107"/>
  <c r="Q313" i="107"/>
  <c r="Q68" i="107"/>
  <c r="Q32" i="107"/>
  <c r="Q251" i="107"/>
  <c r="AO78" i="103"/>
  <c r="AO88" i="103" s="1"/>
  <c r="O313" i="103"/>
  <c r="AK68" i="105"/>
  <c r="Y274" i="105"/>
  <c r="AR78" i="106"/>
  <c r="AR249" i="106" s="1"/>
  <c r="O251" i="105"/>
  <c r="O32" i="105"/>
  <c r="O65" i="105"/>
  <c r="AF78" i="105"/>
  <c r="AI249" i="105" s="1"/>
  <c r="O313" i="105"/>
  <c r="O274" i="105"/>
  <c r="O65" i="103"/>
  <c r="AN190" i="103"/>
  <c r="AN194" i="103" s="1"/>
  <c r="O274" i="103"/>
  <c r="O68" i="103"/>
  <c r="BF311" i="107"/>
  <c r="BC311" i="107"/>
  <c r="AR205" i="107"/>
  <c r="AR207" i="107" s="1"/>
  <c r="AN249" i="107" s="1"/>
  <c r="AR249" i="107"/>
  <c r="BA249" i="107"/>
  <c r="AY249" i="107"/>
  <c r="BB249" i="107"/>
  <c r="AZ311" i="107"/>
  <c r="BG311" i="107"/>
  <c r="AU249" i="107"/>
  <c r="AT249" i="107"/>
  <c r="AR159" i="107"/>
  <c r="AK159" i="107" s="1"/>
  <c r="BD205" i="107"/>
  <c r="BD207" i="107" s="1"/>
  <c r="BG249" i="107"/>
  <c r="BD159" i="107"/>
  <c r="BD165" i="107" s="1"/>
  <c r="BD13" i="107" s="1"/>
  <c r="BB311" i="107"/>
  <c r="AP249" i="107"/>
  <c r="AO91" i="107"/>
  <c r="AO217" i="107" s="1"/>
  <c r="AC91" i="107"/>
  <c r="AC217" i="107" s="1"/>
  <c r="BA91" i="107"/>
  <c r="BA217" i="107" s="1"/>
  <c r="BD78" i="106"/>
  <c r="BC311" i="106" s="1"/>
  <c r="AC78" i="106"/>
  <c r="AC88" i="106" s="1"/>
  <c r="AO78" i="106"/>
  <c r="AO88" i="106" s="1"/>
  <c r="BD78" i="105"/>
  <c r="BC311" i="105" s="1"/>
  <c r="BA91" i="105"/>
  <c r="BA217" i="105" s="1"/>
  <c r="AK313" i="104"/>
  <c r="AR248" i="103"/>
  <c r="AU248" i="103"/>
  <c r="AO248" i="103"/>
  <c r="AP248" i="103"/>
  <c r="AQ248" i="103"/>
  <c r="AC91" i="103"/>
  <c r="AC217" i="103" s="1"/>
  <c r="AS248" i="103"/>
  <c r="AR78" i="103"/>
  <c r="AQ249" i="103" s="1"/>
  <c r="BA91" i="103"/>
  <c r="BA217" i="103" s="1"/>
  <c r="AF78" i="106"/>
  <c r="AH249" i="106" s="1"/>
  <c r="Y274" i="106"/>
  <c r="AK313" i="106"/>
  <c r="BB174" i="107"/>
  <c r="BB190" i="107" s="1"/>
  <c r="BB194" i="107" s="1"/>
  <c r="BB165" i="107"/>
  <c r="BB162" i="107"/>
  <c r="AN238" i="107"/>
  <c r="AS238" i="107"/>
  <c r="AT238" i="107"/>
  <c r="AU238" i="107"/>
  <c r="AR238" i="107"/>
  <c r="AO238" i="107"/>
  <c r="AM238" i="107"/>
  <c r="AQ238" i="107"/>
  <c r="AP238" i="107"/>
  <c r="AS307" i="107"/>
  <c r="AO307" i="107"/>
  <c r="AU307" i="107"/>
  <c r="AQ307" i="107"/>
  <c r="AM307" i="107"/>
  <c r="AP307" i="107"/>
  <c r="AN307" i="107"/>
  <c r="AT307" i="107"/>
  <c r="AR307" i="107"/>
  <c r="AN88" i="107"/>
  <c r="AN97" i="107" s="1"/>
  <c r="AS245" i="107"/>
  <c r="AP245" i="107"/>
  <c r="AT245" i="107"/>
  <c r="AN245" i="107"/>
  <c r="AR245" i="107"/>
  <c r="AM245" i="107"/>
  <c r="AU245" i="107"/>
  <c r="AO245" i="107"/>
  <c r="AQ245" i="107"/>
  <c r="AN191" i="107"/>
  <c r="AN195" i="107" s="1"/>
  <c r="AK65" i="104"/>
  <c r="AS239" i="104" s="1"/>
  <c r="AK65" i="106"/>
  <c r="AP239" i="106" s="1"/>
  <c r="AQ174" i="107"/>
  <c r="AQ190" i="107" s="1"/>
  <c r="AQ194" i="107" s="1"/>
  <c r="AQ162" i="107"/>
  <c r="AQ165" i="107"/>
  <c r="BC174" i="107"/>
  <c r="BC190" i="107" s="1"/>
  <c r="BC194" i="107" s="1"/>
  <c r="BC162" i="107"/>
  <c r="BC165" i="107"/>
  <c r="BG238" i="107"/>
  <c r="BA238" i="107"/>
  <c r="BC238" i="107"/>
  <c r="BD238" i="107"/>
  <c r="AY238" i="107"/>
  <c r="BE238" i="107"/>
  <c r="AZ238" i="107"/>
  <c r="BB238" i="107"/>
  <c r="BF238" i="107"/>
  <c r="AW239" i="107"/>
  <c r="AK68" i="106"/>
  <c r="AP174" i="107"/>
  <c r="AP190" i="107" s="1"/>
  <c r="AP194" i="107" s="1"/>
  <c r="AP162" i="107"/>
  <c r="AP165" i="107"/>
  <c r="BG307" i="107"/>
  <c r="BC307" i="107"/>
  <c r="AY307" i="107"/>
  <c r="BE307" i="107"/>
  <c r="BA307" i="107"/>
  <c r="AZ307" i="107"/>
  <c r="BF307" i="107"/>
  <c r="BD307" i="107"/>
  <c r="BB307" i="107"/>
  <c r="AZ88" i="107"/>
  <c r="AZ191" i="107" s="1"/>
  <c r="AZ195" i="107" s="1"/>
  <c r="BB245" i="107"/>
  <c r="BF245" i="107"/>
  <c r="AY245" i="107"/>
  <c r="AZ245" i="107"/>
  <c r="BD245" i="107"/>
  <c r="BC245" i="107"/>
  <c r="BG245" i="107"/>
  <c r="BA245" i="107"/>
  <c r="BE245" i="107"/>
  <c r="AM249" i="107"/>
  <c r="AR189" i="106"/>
  <c r="AR14" i="106" s="1"/>
  <c r="AW274" i="106"/>
  <c r="AK251" i="104"/>
  <c r="AK251" i="106"/>
  <c r="AQ157" i="106"/>
  <c r="AR248" i="106"/>
  <c r="AT248" i="106"/>
  <c r="AO248" i="106"/>
  <c r="AS248" i="106"/>
  <c r="AP248" i="106"/>
  <c r="AQ248" i="106"/>
  <c r="AU248" i="106"/>
  <c r="AN78" i="106"/>
  <c r="BB157" i="106"/>
  <c r="AZ78" i="106"/>
  <c r="AN287" i="106" a="1"/>
  <c r="AN287" i="106" s="1"/>
  <c r="AN286" i="106" a="1"/>
  <c r="AN286" i="106" s="1"/>
  <c r="AN285" i="106" a="1"/>
  <c r="AN285" i="106" s="1"/>
  <c r="AR193" i="106"/>
  <c r="AK274" i="106"/>
  <c r="O32" i="106"/>
  <c r="O65" i="106"/>
  <c r="O274" i="106"/>
  <c r="O68" i="106"/>
  <c r="O251" i="106"/>
  <c r="O313" i="106"/>
  <c r="BC157" i="106"/>
  <c r="BF248" i="106"/>
  <c r="BB248" i="106"/>
  <c r="AZ248" i="106"/>
  <c r="BA248" i="106"/>
  <c r="BE248" i="106"/>
  <c r="BC248" i="106"/>
  <c r="BG248" i="106"/>
  <c r="BD248" i="106"/>
  <c r="AN193" i="106"/>
  <c r="AN190" i="106"/>
  <c r="AN194" i="106" s="1"/>
  <c r="AP157" i="106"/>
  <c r="AM286" i="106" a="1"/>
  <c r="AM286" i="106" s="1"/>
  <c r="AM287" i="106" a="1"/>
  <c r="AM287" i="106" s="1"/>
  <c r="AM285" i="106" a="1"/>
  <c r="AM285" i="106" s="1"/>
  <c r="BD189" i="106"/>
  <c r="BD14" i="106" s="1"/>
  <c r="AY239" i="106"/>
  <c r="BB239" i="106"/>
  <c r="BF239" i="106"/>
  <c r="BE239" i="106"/>
  <c r="BG239" i="106"/>
  <c r="AZ239" i="106"/>
  <c r="BA239" i="106"/>
  <c r="BC239" i="106"/>
  <c r="BD239" i="106"/>
  <c r="AZ193" i="106"/>
  <c r="AZ190" i="106"/>
  <c r="AZ194" i="106" s="1"/>
  <c r="AY287" i="106" a="1"/>
  <c r="AY287" i="106" s="1"/>
  <c r="AY286" i="106" a="1"/>
  <c r="AY286" i="106" s="1"/>
  <c r="AY285" i="106" a="1"/>
  <c r="AY285" i="106" s="1"/>
  <c r="Y65" i="104"/>
  <c r="AA239" i="104" s="1"/>
  <c r="BD78" i="104"/>
  <c r="BA311" i="104" s="1"/>
  <c r="AK68" i="104"/>
  <c r="AK274" i="104"/>
  <c r="AP238" i="105"/>
  <c r="AM238" i="105"/>
  <c r="AN238" i="105"/>
  <c r="AR238" i="105"/>
  <c r="AS238" i="105"/>
  <c r="AQ238" i="105"/>
  <c r="AT238" i="105"/>
  <c r="AO238" i="105"/>
  <c r="AU238" i="105"/>
  <c r="AP174" i="105"/>
  <c r="AP190" i="105" s="1"/>
  <c r="AP194" i="105" s="1"/>
  <c r="AP165" i="105"/>
  <c r="AP162" i="105"/>
  <c r="BG238" i="105"/>
  <c r="BD238" i="105"/>
  <c r="BA238" i="105"/>
  <c r="BF238" i="105"/>
  <c r="AY238" i="105"/>
  <c r="AZ238" i="105"/>
  <c r="BE238" i="105"/>
  <c r="BB238" i="105"/>
  <c r="BC238" i="105"/>
  <c r="BD189" i="105"/>
  <c r="BB174" i="105"/>
  <c r="BB190" i="105" s="1"/>
  <c r="BB194" i="105" s="1"/>
  <c r="BB165" i="105"/>
  <c r="BB162" i="105"/>
  <c r="AU307" i="105"/>
  <c r="AQ307" i="105"/>
  <c r="AM307" i="105"/>
  <c r="AS307" i="105"/>
  <c r="AN307" i="105"/>
  <c r="AR307" i="105"/>
  <c r="AP307" i="105"/>
  <c r="AT307" i="105"/>
  <c r="AO307" i="105"/>
  <c r="AN88" i="105"/>
  <c r="AN191" i="105" s="1"/>
  <c r="AN195" i="105" s="1"/>
  <c r="AR245" i="105"/>
  <c r="AO245" i="105"/>
  <c r="AS245" i="105"/>
  <c r="AP245" i="105"/>
  <c r="AT245" i="105"/>
  <c r="AM245" i="105"/>
  <c r="AQ245" i="105"/>
  <c r="AU245" i="105"/>
  <c r="AN245" i="105"/>
  <c r="AW274" i="104"/>
  <c r="AO78" i="104"/>
  <c r="BC174" i="105"/>
  <c r="BC190" i="105" s="1"/>
  <c r="BC194" i="105" s="1"/>
  <c r="BC165" i="105"/>
  <c r="BC162" i="105"/>
  <c r="BE307" i="105"/>
  <c r="BA307" i="105"/>
  <c r="BF307" i="105"/>
  <c r="AZ307" i="105"/>
  <c r="BD307" i="105"/>
  <c r="AY307" i="105"/>
  <c r="BC307" i="105"/>
  <c r="BG307" i="105"/>
  <c r="BB307" i="105"/>
  <c r="AZ88" i="105"/>
  <c r="AZ191" i="105" s="1"/>
  <c r="AZ195" i="105" s="1"/>
  <c r="BA245" i="105"/>
  <c r="BC245" i="105"/>
  <c r="BE245" i="105"/>
  <c r="BB245" i="105"/>
  <c r="AY245" i="105"/>
  <c r="BG245" i="105"/>
  <c r="AZ245" i="105"/>
  <c r="BF245" i="105"/>
  <c r="BD245" i="105"/>
  <c r="AR189" i="105"/>
  <c r="AN78" i="104"/>
  <c r="AU245" i="104" s="1"/>
  <c r="AR189" i="104"/>
  <c r="AR14" i="104" s="1"/>
  <c r="BA239" i="104"/>
  <c r="BC239" i="104"/>
  <c r="AZ239" i="104"/>
  <c r="BE239" i="104"/>
  <c r="BB239" i="104"/>
  <c r="AY239" i="104"/>
  <c r="BG239" i="104"/>
  <c r="BD239" i="104"/>
  <c r="BF239" i="104"/>
  <c r="Y274" i="104"/>
  <c r="AZ193" i="104"/>
  <c r="AZ190" i="104"/>
  <c r="AZ194" i="104" s="1"/>
  <c r="BC157" i="104"/>
  <c r="BB248" i="104"/>
  <c r="BC248" i="104"/>
  <c r="BG248" i="104"/>
  <c r="AZ248" i="104"/>
  <c r="BD248" i="104"/>
  <c r="BA248" i="104"/>
  <c r="BE248" i="104"/>
  <c r="BF248" i="104"/>
  <c r="O32" i="104"/>
  <c r="O65" i="104"/>
  <c r="O274" i="104"/>
  <c r="O68" i="104"/>
  <c r="O251" i="104"/>
  <c r="O313" i="104"/>
  <c r="AQ157" i="104"/>
  <c r="AR248" i="104"/>
  <c r="AO248" i="104"/>
  <c r="AS248" i="104"/>
  <c r="AP248" i="104"/>
  <c r="AT248" i="104"/>
  <c r="AQ248" i="104"/>
  <c r="AU248" i="104"/>
  <c r="AM287" i="104" a="1"/>
  <c r="AM287" i="104" s="1"/>
  <c r="AM286" i="104" a="1"/>
  <c r="AM286" i="104" s="1"/>
  <c r="AM285" i="104" a="1"/>
  <c r="AM285" i="104" s="1"/>
  <c r="AZ78" i="104"/>
  <c r="BD189" i="104"/>
  <c r="BD14" i="104" s="1"/>
  <c r="Y68" i="104"/>
  <c r="BA78" i="104"/>
  <c r="BB157" i="104"/>
  <c r="AP157" i="104"/>
  <c r="AN287" i="104" a="1"/>
  <c r="AN287" i="104" s="1"/>
  <c r="AN286" i="104" a="1"/>
  <c r="AN286" i="104" s="1"/>
  <c r="AN285" i="104" a="1"/>
  <c r="AN285" i="104" s="1"/>
  <c r="O251" i="103"/>
  <c r="AY287" i="104" a="1"/>
  <c r="AY287" i="104" s="1"/>
  <c r="AY286" i="104" a="1"/>
  <c r="AY286" i="104" s="1"/>
  <c r="AY285" i="104" a="1"/>
  <c r="AY285" i="104" s="1"/>
  <c r="AR193" i="104"/>
  <c r="AN193" i="104"/>
  <c r="AN190" i="104"/>
  <c r="AN194" i="104" s="1"/>
  <c r="BB174" i="103"/>
  <c r="BB190" i="103" s="1"/>
  <c r="BB194" i="103" s="1"/>
  <c r="BB162" i="103"/>
  <c r="BB165" i="103"/>
  <c r="BG307" i="103"/>
  <c r="BC307" i="103"/>
  <c r="AY307" i="103"/>
  <c r="BF307" i="103"/>
  <c r="BB307" i="103"/>
  <c r="BE307" i="103"/>
  <c r="BA307" i="103"/>
  <c r="BD307" i="103"/>
  <c r="AZ307" i="103"/>
  <c r="AZ88" i="103"/>
  <c r="AZ191" i="103" s="1"/>
  <c r="AZ195" i="103" s="1"/>
  <c r="BF245" i="103"/>
  <c r="BG245" i="103"/>
  <c r="BD245" i="103"/>
  <c r="AY245" i="103"/>
  <c r="BB245" i="103"/>
  <c r="BC245" i="103"/>
  <c r="AZ245" i="103"/>
  <c r="BE245" i="103"/>
  <c r="BA245" i="103"/>
  <c r="AR189" i="103"/>
  <c r="BD193" i="103"/>
  <c r="AM238" i="103"/>
  <c r="AY238" i="103"/>
  <c r="BC238" i="103"/>
  <c r="BG238" i="103"/>
  <c r="AZ238" i="103"/>
  <c r="BD238" i="103"/>
  <c r="BA238" i="103"/>
  <c r="BE238" i="103"/>
  <c r="BF238" i="103"/>
  <c r="BB238" i="103"/>
  <c r="AP174" i="103"/>
  <c r="AP190" i="103" s="1"/>
  <c r="AP194" i="103" s="1"/>
  <c r="AP162" i="103"/>
  <c r="AP165" i="103"/>
  <c r="T65" i="55"/>
  <c r="T32" i="55"/>
  <c r="J21" i="43"/>
  <c r="L57" i="43"/>
  <c r="M57" i="43" s="1"/>
  <c r="N57" i="43" s="1"/>
  <c r="O57" i="43" s="1"/>
  <c r="P57" i="43" s="1"/>
  <c r="Q57" i="43" s="1"/>
  <c r="R57" i="43" s="1"/>
  <c r="L43" i="43"/>
  <c r="M43" i="43" s="1"/>
  <c r="N43" i="43" s="1"/>
  <c r="O43" i="43" s="1"/>
  <c r="P43" i="43" s="1"/>
  <c r="Q43" i="43" s="1"/>
  <c r="R43" i="43" s="1"/>
  <c r="L29" i="43"/>
  <c r="M29" i="43" s="1"/>
  <c r="N29" i="43" s="1"/>
  <c r="O29" i="43" s="1"/>
  <c r="P29" i="43" s="1"/>
  <c r="Q29" i="43" s="1"/>
  <c r="R29" i="43" s="1"/>
  <c r="L15" i="43"/>
  <c r="J57" i="43"/>
  <c r="I317" i="24"/>
  <c r="I320" i="24" s="1"/>
  <c r="AW179" i="55"/>
  <c r="AK179" i="55"/>
  <c r="Y179" i="55"/>
  <c r="M179" i="55"/>
  <c r="P204" i="55"/>
  <c r="Q204" i="55"/>
  <c r="R204" i="55"/>
  <c r="S204" i="55"/>
  <c r="U204" i="55"/>
  <c r="V204" i="55"/>
  <c r="W204" i="55"/>
  <c r="O204" i="55"/>
  <c r="BC239" i="103" l="1"/>
  <c r="AO239" i="105"/>
  <c r="AB239" i="107"/>
  <c r="AD239" i="107"/>
  <c r="AA239" i="107"/>
  <c r="AR239" i="105"/>
  <c r="AU239" i="105"/>
  <c r="AI239" i="107"/>
  <c r="AF239" i="107"/>
  <c r="AE239" i="107"/>
  <c r="AG239" i="107"/>
  <c r="AH239" i="107"/>
  <c r="AN239" i="105"/>
  <c r="AS239" i="105"/>
  <c r="AC239" i="105"/>
  <c r="AP239" i="105"/>
  <c r="AC97" i="105"/>
  <c r="AC115" i="105" s="1"/>
  <c r="AQ239" i="105"/>
  <c r="AQ162" i="105"/>
  <c r="AQ205" i="105" s="1"/>
  <c r="AQ207" i="105" s="1"/>
  <c r="AH239" i="105"/>
  <c r="AM239" i="105"/>
  <c r="AF249" i="104"/>
  <c r="AE239" i="105"/>
  <c r="BE239" i="103"/>
  <c r="AB239" i="105"/>
  <c r="AI239" i="105"/>
  <c r="AD239" i="105"/>
  <c r="AF239" i="105"/>
  <c r="AG239" i="105"/>
  <c r="AQ174" i="105"/>
  <c r="AQ190" i="105" s="1"/>
  <c r="AQ194" i="105" s="1"/>
  <c r="BE311" i="103"/>
  <c r="AF205" i="104"/>
  <c r="AF207" i="104" s="1"/>
  <c r="AA249" i="104" s="1"/>
  <c r="AB249" i="104"/>
  <c r="AI249" i="104"/>
  <c r="AE249" i="104"/>
  <c r="AH249" i="104"/>
  <c r="AI239" i="106"/>
  <c r="AD249" i="104"/>
  <c r="AC249" i="104"/>
  <c r="AG249" i="104"/>
  <c r="AF162" i="107"/>
  <c r="AF12" i="107" s="1"/>
  <c r="AB239" i="106"/>
  <c r="AC239" i="106"/>
  <c r="AF239" i="106"/>
  <c r="AE239" i="106"/>
  <c r="AD239" i="106"/>
  <c r="AA239" i="106"/>
  <c r="AG239" i="106"/>
  <c r="BA311" i="103"/>
  <c r="BC165" i="103"/>
  <c r="BC13" i="103" s="1"/>
  <c r="BC162" i="103"/>
  <c r="BC12" i="103" s="1"/>
  <c r="AT245" i="103"/>
  <c r="AT307" i="103"/>
  <c r="AS249" i="106"/>
  <c r="AR159" i="106"/>
  <c r="AR162" i="106" s="1"/>
  <c r="AR12" i="106" s="1"/>
  <c r="Y159" i="107"/>
  <c r="AM239" i="104"/>
  <c r="Y249" i="107"/>
  <c r="AN245" i="103"/>
  <c r="AM307" i="103"/>
  <c r="AP245" i="103"/>
  <c r="AQ307" i="103"/>
  <c r="AU245" i="103"/>
  <c r="AS245" i="103"/>
  <c r="AU307" i="103"/>
  <c r="AM245" i="103"/>
  <c r="AN88" i="103"/>
  <c r="AN191" i="103" s="1"/>
  <c r="AN195" i="103" s="1"/>
  <c r="AO307" i="103"/>
  <c r="AN307" i="103"/>
  <c r="AS307" i="103"/>
  <c r="AO245" i="103"/>
  <c r="AR307" i="103"/>
  <c r="AQ245" i="103"/>
  <c r="AR245" i="103"/>
  <c r="R69" i="106"/>
  <c r="AB69" i="106"/>
  <c r="AB69" i="107"/>
  <c r="AB69" i="104"/>
  <c r="AB69" i="105"/>
  <c r="AB69" i="103"/>
  <c r="AF165" i="103"/>
  <c r="AF13" i="103" s="1"/>
  <c r="AF162" i="103"/>
  <c r="AF12" i="103" s="1"/>
  <c r="Y249" i="103"/>
  <c r="AP249" i="104"/>
  <c r="AU249" i="104"/>
  <c r="AR205" i="104"/>
  <c r="AR207" i="104" s="1"/>
  <c r="AM249" i="104" s="1"/>
  <c r="AT249" i="104"/>
  <c r="AO249" i="104"/>
  <c r="AQ249" i="104"/>
  <c r="AS249" i="104"/>
  <c r="AN249" i="104"/>
  <c r="AR159" i="104"/>
  <c r="AK159" i="104" s="1"/>
  <c r="AO238" i="103"/>
  <c r="BD205" i="103"/>
  <c r="BD207" i="103" s="1"/>
  <c r="AZ249" i="103"/>
  <c r="BD205" i="106"/>
  <c r="BD207" i="106" s="1"/>
  <c r="AY249" i="106"/>
  <c r="BD159" i="106"/>
  <c r="BD165" i="106" s="1"/>
  <c r="BD13" i="106" s="1"/>
  <c r="BF249" i="106"/>
  <c r="BF311" i="106"/>
  <c r="AY311" i="106"/>
  <c r="AF249" i="105"/>
  <c r="BA311" i="106"/>
  <c r="BE311" i="106"/>
  <c r="AQ249" i="105"/>
  <c r="AK239" i="107"/>
  <c r="AT249" i="105"/>
  <c r="AS249" i="105"/>
  <c r="AR205" i="105"/>
  <c r="AR207" i="105" s="1"/>
  <c r="AM249" i="105" s="1"/>
  <c r="AR159" i="105"/>
  <c r="AK159" i="105" s="1"/>
  <c r="AR249" i="105"/>
  <c r="AQ239" i="103"/>
  <c r="AU249" i="105"/>
  <c r="AM239" i="103"/>
  <c r="AP249" i="105"/>
  <c r="AP239" i="103"/>
  <c r="AT239" i="103"/>
  <c r="AY239" i="103"/>
  <c r="AZ311" i="103"/>
  <c r="AQ165" i="103"/>
  <c r="AQ13" i="103" s="1"/>
  <c r="BB239" i="103"/>
  <c r="BD239" i="103"/>
  <c r="BD311" i="103"/>
  <c r="BB311" i="103"/>
  <c r="AY249" i="103"/>
  <c r="BA239" i="103"/>
  <c r="AQ162" i="103"/>
  <c r="AQ12" i="103" s="1"/>
  <c r="BF239" i="103"/>
  <c r="AQ239" i="104"/>
  <c r="BB249" i="103"/>
  <c r="BD249" i="103"/>
  <c r="AZ239" i="103"/>
  <c r="AO239" i="104"/>
  <c r="BG249" i="103"/>
  <c r="AU239" i="104"/>
  <c r="BE249" i="103"/>
  <c r="AU238" i="103"/>
  <c r="AN238" i="103"/>
  <c r="AR238" i="103"/>
  <c r="AQ238" i="103"/>
  <c r="AS238" i="103"/>
  <c r="AP238" i="103"/>
  <c r="M15" i="43"/>
  <c r="N15" i="43" s="1"/>
  <c r="O15" i="43" s="1"/>
  <c r="P15" i="43" s="1"/>
  <c r="Q15" i="43" s="1"/>
  <c r="R15" i="43" s="1"/>
  <c r="S15" i="43" s="1"/>
  <c r="T15" i="43" s="1"/>
  <c r="BD311" i="106"/>
  <c r="AO239" i="103"/>
  <c r="BG311" i="106"/>
  <c r="AT249" i="106"/>
  <c r="BB311" i="106"/>
  <c r="AI239" i="104"/>
  <c r="AY311" i="103"/>
  <c r="AR239" i="103"/>
  <c r="AT239" i="104"/>
  <c r="AN239" i="103"/>
  <c r="AN239" i="104"/>
  <c r="AR205" i="106"/>
  <c r="AR207" i="106" s="1"/>
  <c r="AM249" i="106" s="1"/>
  <c r="AS239" i="103"/>
  <c r="AY311" i="104"/>
  <c r="BE249" i="106"/>
  <c r="AO249" i="106"/>
  <c r="BA249" i="106"/>
  <c r="AQ249" i="106"/>
  <c r="BD205" i="104"/>
  <c r="BD207" i="104" s="1"/>
  <c r="BB249" i="106"/>
  <c r="AP249" i="106"/>
  <c r="BD162" i="107"/>
  <c r="BD12" i="107" s="1"/>
  <c r="AH249" i="105"/>
  <c r="BC249" i="106"/>
  <c r="BC311" i="103"/>
  <c r="BG311" i="103"/>
  <c r="BF311" i="103"/>
  <c r="BD159" i="103"/>
  <c r="BF249" i="103"/>
  <c r="BA249" i="103"/>
  <c r="BC249" i="105"/>
  <c r="BD159" i="105"/>
  <c r="AW159" i="105" s="1"/>
  <c r="BF311" i="105"/>
  <c r="AS239" i="106"/>
  <c r="AB239" i="103"/>
  <c r="AC239" i="103"/>
  <c r="AD239" i="103"/>
  <c r="AE239" i="103"/>
  <c r="AH239" i="103"/>
  <c r="AF239" i="103"/>
  <c r="AA239" i="103"/>
  <c r="AG239" i="103"/>
  <c r="AI239" i="103"/>
  <c r="BG311" i="105"/>
  <c r="AM239" i="106"/>
  <c r="Q69" i="107"/>
  <c r="R69" i="103"/>
  <c r="BE311" i="104"/>
  <c r="BA249" i="104"/>
  <c r="Q69" i="106"/>
  <c r="Q69" i="103"/>
  <c r="R69" i="107"/>
  <c r="R69" i="105"/>
  <c r="AT249" i="103"/>
  <c r="AR239" i="104"/>
  <c r="AP239" i="104"/>
  <c r="BB311" i="104"/>
  <c r="BA249" i="105"/>
  <c r="BG249" i="106"/>
  <c r="AZ249" i="106"/>
  <c r="BD249" i="106"/>
  <c r="AZ311" i="106"/>
  <c r="AT239" i="106"/>
  <c r="AU249" i="106"/>
  <c r="AW249" i="107"/>
  <c r="AZ239" i="105"/>
  <c r="BG239" i="105"/>
  <c r="BB239" i="105"/>
  <c r="BE239" i="105"/>
  <c r="BA239" i="105"/>
  <c r="BD239" i="105"/>
  <c r="BF239" i="105"/>
  <c r="AY239" i="105"/>
  <c r="BC239" i="105"/>
  <c r="Q69" i="104"/>
  <c r="Q69" i="105"/>
  <c r="R69" i="104"/>
  <c r="AO239" i="106"/>
  <c r="AR239" i="106"/>
  <c r="AW159" i="107"/>
  <c r="AU239" i="106"/>
  <c r="AN239" i="106"/>
  <c r="AQ239" i="106"/>
  <c r="AW311" i="107"/>
  <c r="AR165" i="107"/>
  <c r="AR13" i="107" s="1"/>
  <c r="AR162" i="107"/>
  <c r="AR12" i="107" s="1"/>
  <c r="AF205" i="105"/>
  <c r="AF207" i="105" s="1"/>
  <c r="AA249" i="105" s="1"/>
  <c r="AB249" i="105"/>
  <c r="AD249" i="105"/>
  <c r="AG249" i="105"/>
  <c r="AE249" i="105"/>
  <c r="AF159" i="105"/>
  <c r="AF162" i="105" s="1"/>
  <c r="AF12" i="105" s="1"/>
  <c r="AC249" i="105"/>
  <c r="AZ249" i="104"/>
  <c r="BG249" i="104"/>
  <c r="BC311" i="104"/>
  <c r="AY249" i="104"/>
  <c r="BB249" i="104"/>
  <c r="BC249" i="104"/>
  <c r="BD311" i="104"/>
  <c r="BG311" i="104"/>
  <c r="BD249" i="104"/>
  <c r="AZ311" i="104"/>
  <c r="BF249" i="104"/>
  <c r="BE249" i="104"/>
  <c r="BD159" i="104"/>
  <c r="AW159" i="104" s="1"/>
  <c r="BF311" i="104"/>
  <c r="AB239" i="104"/>
  <c r="AS249" i="103"/>
  <c r="AO97" i="107"/>
  <c r="AK249" i="107"/>
  <c r="AN138" i="107"/>
  <c r="AN98" i="107"/>
  <c r="AN99" i="107"/>
  <c r="AN110" i="107"/>
  <c r="AN158" i="107"/>
  <c r="AZ97" i="107"/>
  <c r="BA97" i="107"/>
  <c r="BA115" i="107" s="1"/>
  <c r="AC97" i="107"/>
  <c r="AC115" i="107" s="1"/>
  <c r="AG249" i="106"/>
  <c r="AC249" i="106"/>
  <c r="AI249" i="106"/>
  <c r="AF249" i="106"/>
  <c r="AD249" i="106"/>
  <c r="AE249" i="106"/>
  <c r="AB249" i="106"/>
  <c r="AF159" i="106"/>
  <c r="AF165" i="106" s="1"/>
  <c r="BA97" i="106"/>
  <c r="BA115" i="106" s="1"/>
  <c r="AO91" i="106"/>
  <c r="AO217" i="106" s="1"/>
  <c r="AF205" i="106"/>
  <c r="AF207" i="106" s="1"/>
  <c r="AA249" i="106" s="1"/>
  <c r="AC91" i="106"/>
  <c r="AC217" i="106" s="1"/>
  <c r="BE249" i="105"/>
  <c r="BF249" i="105"/>
  <c r="BD205" i="105"/>
  <c r="BD207" i="105" s="1"/>
  <c r="BB311" i="105"/>
  <c r="BA311" i="105"/>
  <c r="AN97" i="105"/>
  <c r="AZ249" i="105"/>
  <c r="BB249" i="105"/>
  <c r="AZ311" i="105"/>
  <c r="AY311" i="105"/>
  <c r="BE311" i="105"/>
  <c r="BA97" i="105"/>
  <c r="BA115" i="105" s="1"/>
  <c r="BG249" i="105"/>
  <c r="AY249" i="105"/>
  <c r="BD249" i="105"/>
  <c r="BD311" i="105"/>
  <c r="AZ97" i="105"/>
  <c r="AO91" i="105"/>
  <c r="AO217" i="105" s="1"/>
  <c r="AO88" i="104"/>
  <c r="AO91" i="104"/>
  <c r="AO217" i="104" s="1"/>
  <c r="AE239" i="104"/>
  <c r="AF239" i="104"/>
  <c r="AO307" i="104"/>
  <c r="AD239" i="104"/>
  <c r="AH239" i="104"/>
  <c r="AC91" i="104"/>
  <c r="AC217" i="104" s="1"/>
  <c r="AC239" i="104"/>
  <c r="AG239" i="104"/>
  <c r="AU249" i="103"/>
  <c r="AO249" i="103"/>
  <c r="AR159" i="103"/>
  <c r="AR162" i="103" s="1"/>
  <c r="AR12" i="103" s="1"/>
  <c r="AN97" i="103"/>
  <c r="AR205" i="103"/>
  <c r="AR207" i="103" s="1"/>
  <c r="AN249" i="103" s="1"/>
  <c r="AR249" i="103"/>
  <c r="AC97" i="103"/>
  <c r="AC115" i="103" s="1"/>
  <c r="AP249" i="103"/>
  <c r="AO91" i="103"/>
  <c r="AO217" i="103" s="1"/>
  <c r="BA97" i="103"/>
  <c r="BA115" i="103" s="1"/>
  <c r="AZ97" i="103"/>
  <c r="AK245" i="107"/>
  <c r="AW238" i="107"/>
  <c r="AY271" i="107"/>
  <c r="AW271" i="107" s="1"/>
  <c r="AY268" i="107"/>
  <c r="AW268" i="107" s="1"/>
  <c r="BC12" i="107"/>
  <c r="BC205" i="107"/>
  <c r="BC207" i="107" s="1"/>
  <c r="AY248" i="107"/>
  <c r="AW248" i="107" s="1"/>
  <c r="AQ12" i="107"/>
  <c r="AQ205" i="107"/>
  <c r="AQ207" i="107" s="1"/>
  <c r="AM248" i="107"/>
  <c r="AN248" i="107"/>
  <c r="AN271" i="107"/>
  <c r="AN268" i="107"/>
  <c r="AW245" i="107"/>
  <c r="AP13" i="107"/>
  <c r="AT309" i="107"/>
  <c r="AU309" i="107"/>
  <c r="AR309" i="107"/>
  <c r="AP309" i="107"/>
  <c r="AQ309" i="107"/>
  <c r="AS309" i="107"/>
  <c r="AM309" i="107"/>
  <c r="AO309" i="107"/>
  <c r="AN309" i="107"/>
  <c r="AM69" i="107"/>
  <c r="AY69" i="107"/>
  <c r="AN69" i="107"/>
  <c r="AA69" i="107"/>
  <c r="O69" i="107"/>
  <c r="AP12" i="107"/>
  <c r="AN247" i="107"/>
  <c r="AP205" i="107"/>
  <c r="AP207" i="107" s="1"/>
  <c r="AM247" i="107"/>
  <c r="AF13" i="107"/>
  <c r="AE311" i="107"/>
  <c r="AG311" i="107"/>
  <c r="AF311" i="107"/>
  <c r="AA311" i="107"/>
  <c r="AC311" i="107"/>
  <c r="AB311" i="107"/>
  <c r="AH311" i="107"/>
  <c r="AI311" i="107"/>
  <c r="AD311" i="107"/>
  <c r="AK238" i="107"/>
  <c r="AM268" i="107"/>
  <c r="AM271" i="107"/>
  <c r="BB12" i="107"/>
  <c r="BB205" i="107"/>
  <c r="BB207" i="107" s="1"/>
  <c r="AY247" i="107"/>
  <c r="AW247" i="107" s="1"/>
  <c r="AW307" i="107"/>
  <c r="BC13" i="107"/>
  <c r="BA310" i="107"/>
  <c r="BC310" i="107"/>
  <c r="BF310" i="107"/>
  <c r="BD310" i="107"/>
  <c r="AY310" i="107"/>
  <c r="BB310" i="107"/>
  <c r="AZ310" i="107"/>
  <c r="BE310" i="107"/>
  <c r="BG310" i="107"/>
  <c r="AQ13" i="107"/>
  <c r="AQ310" i="107"/>
  <c r="AS310" i="107"/>
  <c r="AR310" i="107"/>
  <c r="AM310" i="107"/>
  <c r="AO310" i="107"/>
  <c r="AN310" i="107"/>
  <c r="AT310" i="107"/>
  <c r="AU310" i="107"/>
  <c r="AP310" i="107"/>
  <c r="AS311" i="107"/>
  <c r="AU311" i="107"/>
  <c r="AO311" i="107"/>
  <c r="AQ311" i="107"/>
  <c r="AT311" i="107"/>
  <c r="AR311" i="107"/>
  <c r="AM311" i="107"/>
  <c r="AP311" i="107"/>
  <c r="AN311" i="107"/>
  <c r="AK307" i="107"/>
  <c r="BB13" i="107"/>
  <c r="BG309" i="107"/>
  <c r="BA309" i="107"/>
  <c r="BC309" i="107"/>
  <c r="BF309" i="107"/>
  <c r="BD309" i="107"/>
  <c r="AY309" i="107"/>
  <c r="BB309" i="107"/>
  <c r="AZ309" i="107"/>
  <c r="BE309" i="107"/>
  <c r="AR245" i="104"/>
  <c r="AT307" i="104"/>
  <c r="AU307" i="106"/>
  <c r="AQ307" i="106"/>
  <c r="AM307" i="106"/>
  <c r="AT307" i="106"/>
  <c r="AP307" i="106"/>
  <c r="AS307" i="106"/>
  <c r="AO307" i="106"/>
  <c r="AN307" i="106"/>
  <c r="AR307" i="106"/>
  <c r="AN88" i="106"/>
  <c r="AN191" i="106" s="1"/>
  <c r="AN195" i="106" s="1"/>
  <c r="AP245" i="106"/>
  <c r="AM245" i="106"/>
  <c r="AQ245" i="106"/>
  <c r="AU245" i="106"/>
  <c r="AN245" i="106"/>
  <c r="AR245" i="106"/>
  <c r="AT245" i="106"/>
  <c r="AO245" i="106"/>
  <c r="AS245" i="106"/>
  <c r="BE238" i="106"/>
  <c r="BC238" i="106"/>
  <c r="BA238" i="106"/>
  <c r="AY238" i="106"/>
  <c r="BB238" i="106"/>
  <c r="BF238" i="106"/>
  <c r="BG238" i="106"/>
  <c r="AZ238" i="106"/>
  <c r="BD238" i="106"/>
  <c r="AW239" i="106"/>
  <c r="AP174" i="106"/>
  <c r="AP190" i="106" s="1"/>
  <c r="AP194" i="106" s="1"/>
  <c r="AP162" i="106"/>
  <c r="AP165" i="106"/>
  <c r="BB174" i="106"/>
  <c r="BB190" i="106" s="1"/>
  <c r="BB194" i="106" s="1"/>
  <c r="BB162" i="106"/>
  <c r="BB165" i="106"/>
  <c r="AN249" i="106"/>
  <c r="AA69" i="106"/>
  <c r="AN69" i="106"/>
  <c r="AY69" i="106"/>
  <c r="AM69" i="106"/>
  <c r="O69" i="106"/>
  <c r="BC174" i="106"/>
  <c r="BC190" i="106" s="1"/>
  <c r="BC194" i="106" s="1"/>
  <c r="BC165" i="106"/>
  <c r="BC162" i="106"/>
  <c r="BD193" i="106"/>
  <c r="AQ174" i="106"/>
  <c r="AQ190" i="106" s="1"/>
  <c r="AQ194" i="106" s="1"/>
  <c r="AQ162" i="106"/>
  <c r="AQ165" i="106"/>
  <c r="AT238" i="106"/>
  <c r="AQ238" i="106"/>
  <c r="AU238" i="106"/>
  <c r="AM238" i="106"/>
  <c r="AP238" i="106"/>
  <c r="AN238" i="106"/>
  <c r="AR238" i="106"/>
  <c r="AO238" i="106"/>
  <c r="AS238" i="106"/>
  <c r="BE307" i="106"/>
  <c r="BA307" i="106"/>
  <c r="BD307" i="106"/>
  <c r="AZ307" i="106"/>
  <c r="BG307" i="106"/>
  <c r="BC307" i="106"/>
  <c r="AY307" i="106"/>
  <c r="BF307" i="106"/>
  <c r="BB307" i="106"/>
  <c r="AZ88" i="106"/>
  <c r="AZ191" i="106" s="1"/>
  <c r="AZ195" i="106" s="1"/>
  <c r="BD245" i="106"/>
  <c r="BF245" i="106"/>
  <c r="AZ245" i="106"/>
  <c r="BB245" i="106"/>
  <c r="BA245" i="106"/>
  <c r="BE245" i="106"/>
  <c r="BC245" i="106"/>
  <c r="BG245" i="106"/>
  <c r="AY245" i="106"/>
  <c r="AN307" i="104"/>
  <c r="AN245" i="104"/>
  <c r="AQ307" i="104"/>
  <c r="AP245" i="104"/>
  <c r="AS307" i="104"/>
  <c r="AK245" i="105"/>
  <c r="O69" i="105"/>
  <c r="AN69" i="105"/>
  <c r="AA69" i="105"/>
  <c r="AM69" i="105"/>
  <c r="AY69" i="105"/>
  <c r="AW307" i="105"/>
  <c r="AM248" i="105"/>
  <c r="AN248" i="105"/>
  <c r="BB12" i="105"/>
  <c r="AY247" i="105"/>
  <c r="AW247" i="105" s="1"/>
  <c r="BB205" i="105"/>
  <c r="BB207" i="105" s="1"/>
  <c r="AW238" i="105"/>
  <c r="AY268" i="105"/>
  <c r="AW268" i="105" s="1"/>
  <c r="AY271" i="105"/>
  <c r="AW271" i="105" s="1"/>
  <c r="AN249" i="105"/>
  <c r="BC205" i="105"/>
  <c r="BC207" i="105" s="1"/>
  <c r="BC12" i="105"/>
  <c r="AY248" i="105"/>
  <c r="AW248" i="105" s="1"/>
  <c r="BB13" i="105"/>
  <c r="BB309" i="105"/>
  <c r="AY309" i="105"/>
  <c r="BE309" i="105"/>
  <c r="BF309" i="105"/>
  <c r="BC309" i="105"/>
  <c r="BA309" i="105"/>
  <c r="AZ309" i="105"/>
  <c r="BG309" i="105"/>
  <c r="BD309" i="105"/>
  <c r="AP12" i="105"/>
  <c r="AM247" i="105"/>
  <c r="AN247" i="105"/>
  <c r="AP205" i="105"/>
  <c r="AP207" i="105" s="1"/>
  <c r="AN268" i="105"/>
  <c r="AN271" i="105"/>
  <c r="AR14" i="105"/>
  <c r="AR193" i="105"/>
  <c r="AW245" i="105"/>
  <c r="BC13" i="105"/>
  <c r="BB310" i="105"/>
  <c r="BC310" i="105"/>
  <c r="BD310" i="105"/>
  <c r="AY310" i="105"/>
  <c r="AZ310" i="105"/>
  <c r="BE310" i="105"/>
  <c r="BF310" i="105"/>
  <c r="BG310" i="105"/>
  <c r="BA310" i="105"/>
  <c r="AQ13" i="105"/>
  <c r="AO310" i="105"/>
  <c r="AU310" i="105"/>
  <c r="AT310" i="105"/>
  <c r="AR310" i="105"/>
  <c r="AM310" i="105"/>
  <c r="AP310" i="105"/>
  <c r="AQ310" i="105"/>
  <c r="AS310" i="105"/>
  <c r="AN310" i="105"/>
  <c r="AK307" i="105"/>
  <c r="BD14" i="105"/>
  <c r="BD193" i="105"/>
  <c r="AP13" i="105"/>
  <c r="AM309" i="105"/>
  <c r="AN309" i="105"/>
  <c r="AT309" i="105"/>
  <c r="AR309" i="105"/>
  <c r="AU309" i="105"/>
  <c r="AO309" i="105"/>
  <c r="AP309" i="105"/>
  <c r="AQ309" i="105"/>
  <c r="AS309" i="105"/>
  <c r="AK238" i="105"/>
  <c r="AM271" i="105"/>
  <c r="AM268" i="105"/>
  <c r="AM307" i="104"/>
  <c r="AM245" i="104"/>
  <c r="AQ245" i="104"/>
  <c r="AO245" i="104"/>
  <c r="AP307" i="104"/>
  <c r="AR307" i="104"/>
  <c r="AS245" i="104"/>
  <c r="AT245" i="104"/>
  <c r="AN88" i="104"/>
  <c r="AN191" i="104" s="1"/>
  <c r="AN195" i="104" s="1"/>
  <c r="AU307" i="104"/>
  <c r="AP174" i="104"/>
  <c r="AP190" i="104" s="1"/>
  <c r="AP194" i="104" s="1"/>
  <c r="AP165" i="104"/>
  <c r="AP162" i="104"/>
  <c r="AW239" i="104"/>
  <c r="BA88" i="104"/>
  <c r="BG307" i="104"/>
  <c r="BC307" i="104"/>
  <c r="AY307" i="104"/>
  <c r="BE307" i="104"/>
  <c r="AZ307" i="104"/>
  <c r="BD307" i="104"/>
  <c r="BB307" i="104"/>
  <c r="BF307" i="104"/>
  <c r="BA307" i="104"/>
  <c r="AZ88" i="104"/>
  <c r="AZ191" i="104" s="1"/>
  <c r="AZ195" i="104" s="1"/>
  <c r="AY245" i="104"/>
  <c r="AZ245" i="104"/>
  <c r="BD245" i="104"/>
  <c r="BC245" i="104"/>
  <c r="BG245" i="104"/>
  <c r="BA245" i="104"/>
  <c r="BE245" i="104"/>
  <c r="BB245" i="104"/>
  <c r="BF245" i="104"/>
  <c r="AQ174" i="104"/>
  <c r="AQ190" i="104" s="1"/>
  <c r="AQ194" i="104" s="1"/>
  <c r="AQ162" i="104"/>
  <c r="AQ165" i="104"/>
  <c r="BC174" i="104"/>
  <c r="BC190" i="104" s="1"/>
  <c r="BC194" i="104" s="1"/>
  <c r="BC162" i="104"/>
  <c r="BC165" i="104"/>
  <c r="AN69" i="104"/>
  <c r="AM69" i="104"/>
  <c r="AA69" i="104"/>
  <c r="AY69" i="104"/>
  <c r="O69" i="104"/>
  <c r="BD193" i="104"/>
  <c r="AT238" i="104"/>
  <c r="AR238" i="104"/>
  <c r="AS238" i="104"/>
  <c r="AM238" i="104"/>
  <c r="AU238" i="104"/>
  <c r="AO238" i="104"/>
  <c r="AP238" i="104"/>
  <c r="AQ238" i="104"/>
  <c r="AN238" i="104"/>
  <c r="BD238" i="104"/>
  <c r="BF238" i="104"/>
  <c r="BA238" i="104"/>
  <c r="BC238" i="104"/>
  <c r="AZ238" i="104"/>
  <c r="BE238" i="104"/>
  <c r="BB238" i="104"/>
  <c r="AY238" i="104"/>
  <c r="BG238" i="104"/>
  <c r="Y159" i="104"/>
  <c r="AF162" i="104"/>
  <c r="AF12" i="104" s="1"/>
  <c r="AF165" i="104"/>
  <c r="BB174" i="104"/>
  <c r="BB190" i="104" s="1"/>
  <c r="BB194" i="104" s="1"/>
  <c r="BB162" i="104"/>
  <c r="BB165" i="104"/>
  <c r="AQ310" i="103"/>
  <c r="AS310" i="103"/>
  <c r="AM310" i="103"/>
  <c r="AO310" i="103"/>
  <c r="AT310" i="103"/>
  <c r="AR310" i="103"/>
  <c r="AU310" i="103"/>
  <c r="AP310" i="103"/>
  <c r="AN310" i="103"/>
  <c r="BD310" i="103"/>
  <c r="AY310" i="103"/>
  <c r="BC310" i="103"/>
  <c r="AZ310" i="103"/>
  <c r="BF310" i="103"/>
  <c r="BE310" i="103"/>
  <c r="BG310" i="103"/>
  <c r="BB310" i="103"/>
  <c r="BA310" i="103"/>
  <c r="AP13" i="103"/>
  <c r="AO309" i="103"/>
  <c r="AQ309" i="103"/>
  <c r="AR309" i="103"/>
  <c r="AM309" i="103"/>
  <c r="AN309" i="103"/>
  <c r="AT309" i="103"/>
  <c r="AS309" i="103"/>
  <c r="AU309" i="103"/>
  <c r="AP309" i="103"/>
  <c r="AM248" i="103"/>
  <c r="AN248" i="103"/>
  <c r="AI311" i="103"/>
  <c r="AD311" i="103"/>
  <c r="AB311" i="103"/>
  <c r="AE311" i="103"/>
  <c r="AG311" i="103"/>
  <c r="AA311" i="103"/>
  <c r="AC311" i="103"/>
  <c r="AH311" i="103"/>
  <c r="AF311" i="103"/>
  <c r="AN268" i="103"/>
  <c r="AN271" i="103"/>
  <c r="AY248" i="103"/>
  <c r="AW248" i="103" s="1"/>
  <c r="AM249" i="103"/>
  <c r="BB13" i="103"/>
  <c r="AY309" i="103"/>
  <c r="BA309" i="103"/>
  <c r="BF309" i="103"/>
  <c r="BD309" i="103"/>
  <c r="BG309" i="103"/>
  <c r="BB309" i="103"/>
  <c r="AZ309" i="103"/>
  <c r="BC309" i="103"/>
  <c r="BE309" i="103"/>
  <c r="AP12" i="103"/>
  <c r="AM247" i="103"/>
  <c r="AN247" i="103"/>
  <c r="AP205" i="103"/>
  <c r="AP207" i="103" s="1"/>
  <c r="AM268" i="103"/>
  <c r="AM271" i="103"/>
  <c r="AW307" i="103"/>
  <c r="BB12" i="103"/>
  <c r="AY247" i="103"/>
  <c r="AW247" i="103" s="1"/>
  <c r="BB205" i="103"/>
  <c r="BB207" i="103" s="1"/>
  <c r="AY69" i="103"/>
  <c r="AN69" i="103"/>
  <c r="O69" i="103"/>
  <c r="AM69" i="103"/>
  <c r="AA69" i="103"/>
  <c r="AW238" i="103"/>
  <c r="AY271" i="103"/>
  <c r="AW271" i="103" s="1"/>
  <c r="AY268" i="103"/>
  <c r="AW268" i="103" s="1"/>
  <c r="AR14" i="103"/>
  <c r="AR193" i="103"/>
  <c r="AW245" i="103"/>
  <c r="BD69" i="55"/>
  <c r="AF69" i="55"/>
  <c r="AR69" i="55"/>
  <c r="T69" i="55"/>
  <c r="S43" i="43"/>
  <c r="T43" i="43" s="1"/>
  <c r="S57" i="43"/>
  <c r="T57" i="43" s="1"/>
  <c r="S29" i="43"/>
  <c r="T29" i="43" s="1"/>
  <c r="AL86" i="24"/>
  <c r="AK86" i="24"/>
  <c r="AL85" i="24"/>
  <c r="AK85" i="24"/>
  <c r="AL84" i="24"/>
  <c r="AK84" i="24"/>
  <c r="Q218" i="24"/>
  <c r="Q219" i="24"/>
  <c r="O219" i="24"/>
  <c r="N219" i="24"/>
  <c r="AK159" i="106" l="1"/>
  <c r="AQ12" i="105"/>
  <c r="Y239" i="107"/>
  <c r="AC158" i="105"/>
  <c r="AC110" i="105"/>
  <c r="AC116" i="105" s="1"/>
  <c r="AC170" i="105" s="1"/>
  <c r="AC172" i="105" s="1"/>
  <c r="AK239" i="105"/>
  <c r="AR165" i="104"/>
  <c r="AR13" i="104" s="1"/>
  <c r="AR162" i="104"/>
  <c r="AR12" i="104" s="1"/>
  <c r="AC138" i="105"/>
  <c r="AC147" i="105" s="1"/>
  <c r="Y239" i="105"/>
  <c r="BC205" i="103"/>
  <c r="BC207" i="103" s="1"/>
  <c r="Y249" i="104"/>
  <c r="Y239" i="106"/>
  <c r="AR165" i="106"/>
  <c r="AR13" i="106" s="1"/>
  <c r="BD162" i="106"/>
  <c r="BD12" i="106" s="1"/>
  <c r="AW159" i="106"/>
  <c r="AQ205" i="103"/>
  <c r="AQ207" i="103" s="1"/>
  <c r="AK307" i="103"/>
  <c r="AK245" i="103"/>
  <c r="AK249" i="104"/>
  <c r="AK249" i="105"/>
  <c r="AR165" i="105"/>
  <c r="AR13" i="105" s="1"/>
  <c r="AR162" i="105"/>
  <c r="AR12" i="105" s="1"/>
  <c r="AW249" i="106"/>
  <c r="AK159" i="103"/>
  <c r="AK239" i="104"/>
  <c r="AW239" i="103"/>
  <c r="AW249" i="103"/>
  <c r="Y159" i="105"/>
  <c r="AW311" i="106"/>
  <c r="AK238" i="103"/>
  <c r="AK239" i="103"/>
  <c r="BD165" i="105"/>
  <c r="BD13" i="105" s="1"/>
  <c r="BD162" i="105"/>
  <c r="BD12" i="105" s="1"/>
  <c r="AF165" i="105"/>
  <c r="AF13" i="105" s="1"/>
  <c r="AK249" i="106"/>
  <c r="AK268" i="103"/>
  <c r="Y239" i="103"/>
  <c r="AW311" i="103"/>
  <c r="AF162" i="106"/>
  <c r="AF12" i="106" s="1"/>
  <c r="AK239" i="106"/>
  <c r="AW239" i="105"/>
  <c r="BD165" i="103"/>
  <c r="BD13" i="103" s="1"/>
  <c r="AW159" i="103"/>
  <c r="BD162" i="103"/>
  <c r="BD12" i="103" s="1"/>
  <c r="BD165" i="104"/>
  <c r="BD13" i="104" s="1"/>
  <c r="BD162" i="104"/>
  <c r="BD12" i="104" s="1"/>
  <c r="Y249" i="105"/>
  <c r="Y239" i="104"/>
  <c r="AW311" i="104"/>
  <c r="AK271" i="107"/>
  <c r="BA110" i="106"/>
  <c r="BA212" i="106" s="1"/>
  <c r="BA158" i="106"/>
  <c r="BA138" i="106"/>
  <c r="BA143" i="106" s="1"/>
  <c r="AW249" i="105"/>
  <c r="AW311" i="105"/>
  <c r="AW249" i="104"/>
  <c r="AR165" i="103"/>
  <c r="AR13" i="103" s="1"/>
  <c r="AK249" i="103"/>
  <c r="AO115" i="107"/>
  <c r="AO158" i="107"/>
  <c r="AO110" i="107"/>
  <c r="AO138" i="107"/>
  <c r="AK268" i="107"/>
  <c r="AK247" i="107"/>
  <c r="AN116" i="107"/>
  <c r="AN212" i="107"/>
  <c r="AN213" i="107"/>
  <c r="AK213" i="107" s="1"/>
  <c r="AN216" i="107"/>
  <c r="AK216" i="107" s="1"/>
  <c r="AN215" i="107"/>
  <c r="BA138" i="107"/>
  <c r="BA158" i="107"/>
  <c r="BA110" i="107"/>
  <c r="AZ138" i="107"/>
  <c r="AZ99" i="107"/>
  <c r="AZ158" i="107"/>
  <c r="AZ98" i="107"/>
  <c r="AZ110" i="107"/>
  <c r="AC158" i="107"/>
  <c r="AC110" i="107"/>
  <c r="AC138" i="107"/>
  <c r="AN147" i="107"/>
  <c r="AN149" i="107" s="1"/>
  <c r="AN143" i="107"/>
  <c r="AN145" i="107" s="1"/>
  <c r="Y159" i="106"/>
  <c r="Y249" i="106"/>
  <c r="AO97" i="106"/>
  <c r="AO115" i="106" s="1"/>
  <c r="AZ97" i="106"/>
  <c r="AZ98" i="106" s="1"/>
  <c r="AN97" i="106"/>
  <c r="AC97" i="106"/>
  <c r="AC115" i="106" s="1"/>
  <c r="AZ158" i="105"/>
  <c r="AZ99" i="105"/>
  <c r="AZ138" i="105"/>
  <c r="AZ98" i="105"/>
  <c r="AZ110" i="105"/>
  <c r="AO97" i="105"/>
  <c r="AO115" i="105" s="1"/>
  <c r="AN98" i="105"/>
  <c r="AN99" i="105"/>
  <c r="AN158" i="105"/>
  <c r="AN110" i="105"/>
  <c r="AN138" i="105"/>
  <c r="BA138" i="105"/>
  <c r="BA158" i="105"/>
  <c r="BA110" i="105"/>
  <c r="AN97" i="104"/>
  <c r="AN98" i="104" s="1"/>
  <c r="AZ97" i="104"/>
  <c r="AN99" i="104"/>
  <c r="AO97" i="104"/>
  <c r="AO115" i="104" s="1"/>
  <c r="BA91" i="104"/>
  <c r="BA217" i="104" s="1"/>
  <c r="AC97" i="104"/>
  <c r="AC115" i="104" s="1"/>
  <c r="BA138" i="103"/>
  <c r="BA158" i="103"/>
  <c r="BA110" i="103"/>
  <c r="AC110" i="103"/>
  <c r="AC158" i="103"/>
  <c r="AC138" i="103"/>
  <c r="AZ158" i="103"/>
  <c r="AZ99" i="103"/>
  <c r="AZ138" i="103"/>
  <c r="AZ110" i="103"/>
  <c r="AZ98" i="103"/>
  <c r="AO97" i="103"/>
  <c r="AO115" i="103" s="1"/>
  <c r="AN158" i="103"/>
  <c r="AN98" i="103"/>
  <c r="AN99" i="103"/>
  <c r="AN138" i="103"/>
  <c r="AN110" i="103"/>
  <c r="AK309" i="107"/>
  <c r="AW310" i="107"/>
  <c r="AS78" i="107"/>
  <c r="AK69" i="107"/>
  <c r="AK248" i="107"/>
  <c r="Y69" i="107"/>
  <c r="AG78" i="107"/>
  <c r="Y311" i="107"/>
  <c r="AW309" i="107"/>
  <c r="AK311" i="107"/>
  <c r="AK310" i="107"/>
  <c r="AW69" i="107"/>
  <c r="BE78" i="107"/>
  <c r="AK248" i="103"/>
  <c r="AK247" i="105"/>
  <c r="AW245" i="106"/>
  <c r="AW307" i="106"/>
  <c r="AF13" i="106"/>
  <c r="AC311" i="106"/>
  <c r="AE311" i="106"/>
  <c r="AF311" i="106"/>
  <c r="AA311" i="106"/>
  <c r="AB311" i="106"/>
  <c r="AD311" i="106"/>
  <c r="AG311" i="106"/>
  <c r="AI311" i="106"/>
  <c r="AH311" i="106"/>
  <c r="AQ12" i="106"/>
  <c r="AQ205" i="106"/>
  <c r="AQ207" i="106" s="1"/>
  <c r="AM248" i="106"/>
  <c r="AN248" i="106"/>
  <c r="BC13" i="106"/>
  <c r="BG310" i="106"/>
  <c r="BB310" i="106"/>
  <c r="AZ310" i="106"/>
  <c r="BC310" i="106"/>
  <c r="BE310" i="106"/>
  <c r="AY310" i="106"/>
  <c r="BA310" i="106"/>
  <c r="BF310" i="106"/>
  <c r="BD310" i="106"/>
  <c r="AG78" i="106"/>
  <c r="Y69" i="106"/>
  <c r="AN271" i="106"/>
  <c r="AN268" i="106"/>
  <c r="AS78" i="106"/>
  <c r="AK69" i="106"/>
  <c r="BB13" i="106"/>
  <c r="AZ309" i="106"/>
  <c r="BB309" i="106"/>
  <c r="BE309" i="106"/>
  <c r="BG309" i="106"/>
  <c r="BF309" i="106"/>
  <c r="BA309" i="106"/>
  <c r="BC309" i="106"/>
  <c r="BD309" i="106"/>
  <c r="AY309" i="106"/>
  <c r="AP13" i="106"/>
  <c r="AT309" i="106"/>
  <c r="AR309" i="106"/>
  <c r="AU309" i="106"/>
  <c r="AP309" i="106"/>
  <c r="AN309" i="106"/>
  <c r="AQ309" i="106"/>
  <c r="AS309" i="106"/>
  <c r="AM309" i="106"/>
  <c r="AO309" i="106"/>
  <c r="AK268" i="105"/>
  <c r="BE78" i="106"/>
  <c r="AW69" i="106"/>
  <c r="BB12" i="106"/>
  <c r="BB205" i="106"/>
  <c r="BB207" i="106" s="1"/>
  <c r="AY247" i="106"/>
  <c r="AW247" i="106" s="1"/>
  <c r="AP12" i="106"/>
  <c r="AN247" i="106"/>
  <c r="AM247" i="106"/>
  <c r="AP205" i="106"/>
  <c r="AP207" i="106" s="1"/>
  <c r="AW238" i="106"/>
  <c r="AY271" i="106"/>
  <c r="AW271" i="106" s="1"/>
  <c r="AY268" i="106"/>
  <c r="AW268" i="106" s="1"/>
  <c r="AK245" i="106"/>
  <c r="AU311" i="106"/>
  <c r="AP311" i="106"/>
  <c r="AN311" i="106"/>
  <c r="AQ311" i="106"/>
  <c r="AS311" i="106"/>
  <c r="AM311" i="106"/>
  <c r="AO311" i="106"/>
  <c r="AT311" i="106"/>
  <c r="AR311" i="106"/>
  <c r="AK238" i="106"/>
  <c r="AM268" i="106"/>
  <c r="AM271" i="106"/>
  <c r="AQ13" i="106"/>
  <c r="AS310" i="106"/>
  <c r="AU310" i="106"/>
  <c r="AT310" i="106"/>
  <c r="AO310" i="106"/>
  <c r="AQ310" i="106"/>
  <c r="AR310" i="106"/>
  <c r="AM310" i="106"/>
  <c r="AN310" i="106"/>
  <c r="AP310" i="106"/>
  <c r="BC12" i="106"/>
  <c r="BC205" i="106"/>
  <c r="BC207" i="106" s="1"/>
  <c r="AY248" i="106"/>
  <c r="AW248" i="106" s="1"/>
  <c r="AK307" i="106"/>
  <c r="AK271" i="105"/>
  <c r="AK247" i="103"/>
  <c r="AK310" i="105"/>
  <c r="AD311" i="105"/>
  <c r="AA311" i="105"/>
  <c r="AF311" i="105"/>
  <c r="AG311" i="105"/>
  <c r="AI311" i="105"/>
  <c r="AB311" i="105"/>
  <c r="AC311" i="105"/>
  <c r="AH311" i="105"/>
  <c r="AE311" i="105"/>
  <c r="Y69" i="105"/>
  <c r="AG78" i="105"/>
  <c r="AK309" i="105"/>
  <c r="AW309" i="105"/>
  <c r="AT311" i="105"/>
  <c r="AU311" i="105"/>
  <c r="AO311" i="105"/>
  <c r="AP311" i="105"/>
  <c r="AQ311" i="105"/>
  <c r="AR311" i="105"/>
  <c r="AM311" i="105"/>
  <c r="AN311" i="105"/>
  <c r="AS311" i="105"/>
  <c r="AK248" i="105"/>
  <c r="AW69" i="105"/>
  <c r="BE78" i="105"/>
  <c r="AW310" i="105"/>
  <c r="AS78" i="105"/>
  <c r="AK69" i="105"/>
  <c r="AK307" i="104"/>
  <c r="AK245" i="104"/>
  <c r="Y311" i="103"/>
  <c r="BB13" i="104"/>
  <c r="BA309" i="104"/>
  <c r="AZ309" i="104"/>
  <c r="BG309" i="104"/>
  <c r="BF309" i="104"/>
  <c r="BC309" i="104"/>
  <c r="BD309" i="104"/>
  <c r="BE309" i="104"/>
  <c r="AY309" i="104"/>
  <c r="BB309" i="104"/>
  <c r="AK238" i="104"/>
  <c r="AM268" i="104"/>
  <c r="AM271" i="104"/>
  <c r="AS78" i="104"/>
  <c r="AK69" i="104"/>
  <c r="AQ13" i="104"/>
  <c r="AO310" i="104"/>
  <c r="AR310" i="104"/>
  <c r="AT310" i="104"/>
  <c r="AU310" i="104"/>
  <c r="AN310" i="104"/>
  <c r="AP310" i="104"/>
  <c r="AQ310" i="104"/>
  <c r="AS310" i="104"/>
  <c r="AM310" i="104"/>
  <c r="AW245" i="104"/>
  <c r="AW307" i="104"/>
  <c r="BB12" i="104"/>
  <c r="BB205" i="104"/>
  <c r="BB207" i="104" s="1"/>
  <c r="AY247" i="104"/>
  <c r="AW247" i="104" s="1"/>
  <c r="AQ12" i="104"/>
  <c r="AQ205" i="104"/>
  <c r="AQ207" i="104" s="1"/>
  <c r="AN248" i="104"/>
  <c r="AM248" i="104"/>
  <c r="AP12" i="104"/>
  <c r="AN247" i="104"/>
  <c r="AM247" i="104"/>
  <c r="AP205" i="104"/>
  <c r="AP207" i="104" s="1"/>
  <c r="BE78" i="104"/>
  <c r="AW69" i="104"/>
  <c r="BC13" i="104"/>
  <c r="BC310" i="104"/>
  <c r="BF310" i="104"/>
  <c r="BD310" i="104"/>
  <c r="AY310" i="104"/>
  <c r="BB310" i="104"/>
  <c r="AZ310" i="104"/>
  <c r="BE310" i="104"/>
  <c r="BG310" i="104"/>
  <c r="BA310" i="104"/>
  <c r="AP13" i="104"/>
  <c r="AM309" i="104"/>
  <c r="AN309" i="104"/>
  <c r="AS309" i="104"/>
  <c r="AT309" i="104"/>
  <c r="AU309" i="104"/>
  <c r="AO309" i="104"/>
  <c r="AR309" i="104"/>
  <c r="AQ309" i="104"/>
  <c r="AP309" i="104"/>
  <c r="AF13" i="104"/>
  <c r="AH311" i="104"/>
  <c r="AI311" i="104"/>
  <c r="AB311" i="104"/>
  <c r="AD311" i="104"/>
  <c r="AE311" i="104"/>
  <c r="AG311" i="104"/>
  <c r="AA311" i="104"/>
  <c r="AC311" i="104"/>
  <c r="AF311" i="104"/>
  <c r="AW238" i="104"/>
  <c r="AY268" i="104"/>
  <c r="AW268" i="104" s="1"/>
  <c r="AY271" i="104"/>
  <c r="AW271" i="104" s="1"/>
  <c r="AN271" i="104"/>
  <c r="AN268" i="104"/>
  <c r="AG78" i="104"/>
  <c r="Y69" i="104"/>
  <c r="AQ311" i="104"/>
  <c r="AT311" i="104"/>
  <c r="AR311" i="104"/>
  <c r="AM311" i="104"/>
  <c r="AP311" i="104"/>
  <c r="AN311" i="104"/>
  <c r="AS311" i="104"/>
  <c r="AU311" i="104"/>
  <c r="AO311" i="104"/>
  <c r="BC205" i="104"/>
  <c r="BC207" i="104" s="1"/>
  <c r="BC12" i="104"/>
  <c r="AY248" i="104"/>
  <c r="AW248" i="104" s="1"/>
  <c r="AK271" i="103"/>
  <c r="AK310" i="103"/>
  <c r="AK309" i="103"/>
  <c r="AW310" i="103"/>
  <c r="Y69" i="103"/>
  <c r="AG78" i="103"/>
  <c r="AW69" i="103"/>
  <c r="BE78" i="103"/>
  <c r="AS311" i="103"/>
  <c r="AU311" i="103"/>
  <c r="AP311" i="103"/>
  <c r="AO311" i="103"/>
  <c r="AQ311" i="103"/>
  <c r="AR311" i="103"/>
  <c r="AM311" i="103"/>
  <c r="AN311" i="103"/>
  <c r="AT311" i="103"/>
  <c r="AW309" i="103"/>
  <c r="AK69" i="103"/>
  <c r="AS78" i="103"/>
  <c r="BA104" i="55"/>
  <c r="BA113" i="55" s="1"/>
  <c r="AZ104" i="55"/>
  <c r="AZ134" i="55" s="1"/>
  <c r="AZ135" i="55" s="1"/>
  <c r="AY104" i="55"/>
  <c r="AY113" i="55" s="1"/>
  <c r="AO104" i="55"/>
  <c r="AO113" i="55" s="1"/>
  <c r="AN104" i="55"/>
  <c r="AN134" i="55" s="1"/>
  <c r="AN135" i="55" s="1"/>
  <c r="AM104" i="55"/>
  <c r="AM113" i="55" s="1"/>
  <c r="AC104" i="55"/>
  <c r="AC113" i="55" s="1"/>
  <c r="AB104" i="55"/>
  <c r="AB134" i="55" s="1"/>
  <c r="AB135" i="55" s="1"/>
  <c r="AA104" i="55"/>
  <c r="AA113" i="55" s="1"/>
  <c r="P104" i="55"/>
  <c r="O4" i="55" s="1"/>
  <c r="Q104" i="55"/>
  <c r="AW102" i="55"/>
  <c r="AK102" i="55"/>
  <c r="Y102" i="55"/>
  <c r="Q102" i="55"/>
  <c r="P102" i="55"/>
  <c r="O102" i="55"/>
  <c r="M102" i="55"/>
  <c r="J102" i="55"/>
  <c r="AZ99" i="106" l="1"/>
  <c r="AC120" i="105"/>
  <c r="AC201" i="105" s="1"/>
  <c r="AC124" i="105"/>
  <c r="AC212" i="105"/>
  <c r="AC215" i="105"/>
  <c r="AC214" i="105"/>
  <c r="AE250" i="105"/>
  <c r="AD250" i="105"/>
  <c r="AC250" i="105"/>
  <c r="AB250" i="105"/>
  <c r="AF250" i="105"/>
  <c r="AI250" i="105"/>
  <c r="AH250" i="105"/>
  <c r="AG250" i="105"/>
  <c r="BA250" i="105"/>
  <c r="AZ250" i="105"/>
  <c r="BG250" i="105"/>
  <c r="AY250" i="105"/>
  <c r="BF250" i="105"/>
  <c r="BD250" i="105"/>
  <c r="BE250" i="105"/>
  <c r="BC250" i="105"/>
  <c r="BB250" i="105"/>
  <c r="AB250" i="107"/>
  <c r="AI250" i="107"/>
  <c r="AH250" i="107"/>
  <c r="AG250" i="107"/>
  <c r="AF250" i="107"/>
  <c r="AE250" i="107"/>
  <c r="AD250" i="107"/>
  <c r="AC250" i="107"/>
  <c r="AS250" i="106"/>
  <c r="AR250" i="106"/>
  <c r="AQ250" i="106"/>
  <c r="AP250" i="106"/>
  <c r="AN250" i="106"/>
  <c r="AO250" i="106"/>
  <c r="AU250" i="106"/>
  <c r="AM250" i="106"/>
  <c r="AT250" i="106"/>
  <c r="BC250" i="106"/>
  <c r="BB250" i="106"/>
  <c r="BA250" i="106"/>
  <c r="AZ250" i="106"/>
  <c r="BG250" i="106"/>
  <c r="AY250" i="106"/>
  <c r="BF250" i="106"/>
  <c r="BE250" i="106"/>
  <c r="BD250" i="106"/>
  <c r="BF250" i="107"/>
  <c r="BE250" i="107"/>
  <c r="BD250" i="107"/>
  <c r="BC250" i="107"/>
  <c r="BB250" i="107"/>
  <c r="BA250" i="107"/>
  <c r="AZ250" i="107"/>
  <c r="AY250" i="107"/>
  <c r="BG250" i="107"/>
  <c r="AP250" i="105"/>
  <c r="AO250" i="105"/>
  <c r="AN250" i="105"/>
  <c r="AU250" i="105"/>
  <c r="AM250" i="105"/>
  <c r="AT250" i="105"/>
  <c r="AS250" i="105"/>
  <c r="AQ250" i="105"/>
  <c r="AR250" i="105"/>
  <c r="AU250" i="107"/>
  <c r="AM250" i="107"/>
  <c r="AT250" i="107"/>
  <c r="AS250" i="107"/>
  <c r="AR250" i="107"/>
  <c r="AQ250" i="107"/>
  <c r="AP250" i="107"/>
  <c r="AO250" i="107"/>
  <c r="AN250" i="107"/>
  <c r="AH250" i="106"/>
  <c r="AG250" i="106"/>
  <c r="AF250" i="106"/>
  <c r="AE250" i="106"/>
  <c r="AC250" i="106"/>
  <c r="AD250" i="106"/>
  <c r="AB250" i="106"/>
  <c r="AI250" i="106"/>
  <c r="BA250" i="104"/>
  <c r="AZ250" i="104"/>
  <c r="AY250" i="104"/>
  <c r="BC250" i="104"/>
  <c r="BG250" i="104"/>
  <c r="BD250" i="104"/>
  <c r="BE250" i="104"/>
  <c r="BF250" i="104"/>
  <c r="BB250" i="104"/>
  <c r="AP250" i="104"/>
  <c r="AO250" i="104"/>
  <c r="AN250" i="104"/>
  <c r="AM250" i="104"/>
  <c r="AS250" i="104"/>
  <c r="AT250" i="104"/>
  <c r="AU250" i="104"/>
  <c r="AQ250" i="104"/>
  <c r="AR250" i="104"/>
  <c r="AD250" i="104"/>
  <c r="AC250" i="104"/>
  <c r="AI250" i="104"/>
  <c r="AB250" i="104"/>
  <c r="AH250" i="104"/>
  <c r="AF250" i="104"/>
  <c r="AG250" i="104"/>
  <c r="AE250" i="104"/>
  <c r="AC250" i="103"/>
  <c r="AI250" i="103"/>
  <c r="AB250" i="103"/>
  <c r="AE250" i="103"/>
  <c r="AD250" i="103"/>
  <c r="AH250" i="103"/>
  <c r="AG250" i="103"/>
  <c r="AF250" i="103"/>
  <c r="AU250" i="103"/>
  <c r="AQ250" i="103"/>
  <c r="AT250" i="103"/>
  <c r="AN250" i="103"/>
  <c r="AP250" i="103"/>
  <c r="AO250" i="103"/>
  <c r="AS250" i="103"/>
  <c r="AM250" i="103"/>
  <c r="AR250" i="103"/>
  <c r="BC250" i="103"/>
  <c r="AY250" i="103"/>
  <c r="BB250" i="103"/>
  <c r="BE250" i="103"/>
  <c r="BG250" i="103"/>
  <c r="BA250" i="103"/>
  <c r="AZ250" i="103"/>
  <c r="BD250" i="103"/>
  <c r="BF250" i="103"/>
  <c r="AC141" i="105"/>
  <c r="AC143" i="105"/>
  <c r="BA147" i="106"/>
  <c r="BA116" i="106"/>
  <c r="BA170" i="106" s="1"/>
  <c r="BA172" i="106" s="1"/>
  <c r="AN110" i="104"/>
  <c r="AN213" i="104" s="1"/>
  <c r="AK213" i="104" s="1"/>
  <c r="BA141" i="106"/>
  <c r="BA145" i="106" s="1"/>
  <c r="BA203" i="106" s="1"/>
  <c r="AK271" i="106"/>
  <c r="BA214" i="106"/>
  <c r="BA215" i="106"/>
  <c r="AZ158" i="106"/>
  <c r="AN138" i="104"/>
  <c r="AN147" i="104" s="1"/>
  <c r="AN149" i="104" s="1"/>
  <c r="AN158" i="104"/>
  <c r="AO147" i="107"/>
  <c r="AO143" i="107"/>
  <c r="AO141" i="107"/>
  <c r="AO214" i="107"/>
  <c r="AO116" i="107"/>
  <c r="AO212" i="107"/>
  <c r="AO215" i="107"/>
  <c r="AC116" i="107"/>
  <c r="AC212" i="107"/>
  <c r="AC215" i="107"/>
  <c r="AC214" i="107"/>
  <c r="BA143" i="107"/>
  <c r="BA141" i="107"/>
  <c r="BA147" i="107"/>
  <c r="AN219" i="107"/>
  <c r="AZ116" i="107"/>
  <c r="AZ212" i="107"/>
  <c r="AZ213" i="107"/>
  <c r="AW213" i="107" s="1"/>
  <c r="AZ216" i="107"/>
  <c r="AW216" i="107" s="1"/>
  <c r="AZ215" i="107"/>
  <c r="AZ147" i="107"/>
  <c r="AZ149" i="107" s="1"/>
  <c r="AZ143" i="107"/>
  <c r="AZ145" i="107" s="1"/>
  <c r="AN120" i="107"/>
  <c r="AN201" i="107" s="1"/>
  <c r="AN170" i="107"/>
  <c r="AN172" i="107" s="1"/>
  <c r="AN124" i="107"/>
  <c r="AC143" i="107"/>
  <c r="AC147" i="107"/>
  <c r="AC141" i="107"/>
  <c r="BA215" i="107"/>
  <c r="BA214" i="107"/>
  <c r="BA116" i="107"/>
  <c r="BA212" i="107"/>
  <c r="AZ110" i="106"/>
  <c r="AZ213" i="106" s="1"/>
  <c r="AW213" i="106" s="1"/>
  <c r="AO138" i="106"/>
  <c r="AO158" i="106"/>
  <c r="AO110" i="106"/>
  <c r="AZ138" i="106"/>
  <c r="AC158" i="106"/>
  <c r="AC110" i="106"/>
  <c r="AC138" i="106"/>
  <c r="AK248" i="106"/>
  <c r="AZ212" i="106"/>
  <c r="AZ116" i="106"/>
  <c r="AK268" i="106"/>
  <c r="AN98" i="106"/>
  <c r="AN99" i="106"/>
  <c r="AN158" i="106"/>
  <c r="AN110" i="106"/>
  <c r="AN138" i="106"/>
  <c r="AN147" i="105"/>
  <c r="AN149" i="105" s="1"/>
  <c r="AN143" i="105"/>
  <c r="AN145" i="105" s="1"/>
  <c r="AZ147" i="105"/>
  <c r="AZ149" i="105" s="1"/>
  <c r="AZ143" i="105"/>
  <c r="AZ145" i="105" s="1"/>
  <c r="BA214" i="105"/>
  <c r="BA215" i="105"/>
  <c r="BA116" i="105"/>
  <c r="BA212" i="105"/>
  <c r="AN116" i="105"/>
  <c r="AN212" i="105"/>
  <c r="AN213" i="105"/>
  <c r="AK213" i="105" s="1"/>
  <c r="AN215" i="105"/>
  <c r="AN216" i="105"/>
  <c r="AK216" i="105" s="1"/>
  <c r="AO138" i="105"/>
  <c r="AO158" i="105"/>
  <c r="AO110" i="105"/>
  <c r="BA147" i="105"/>
  <c r="BA143" i="105"/>
  <c r="BA141" i="105"/>
  <c r="AZ116" i="105"/>
  <c r="AZ212" i="105"/>
  <c r="AZ213" i="105"/>
  <c r="AW213" i="105" s="1"/>
  <c r="AZ215" i="105"/>
  <c r="AZ216" i="105"/>
  <c r="AW216" i="105" s="1"/>
  <c r="BA97" i="104"/>
  <c r="BA115" i="104" s="1"/>
  <c r="AO138" i="104"/>
  <c r="AO110" i="104"/>
  <c r="AO158" i="104"/>
  <c r="AC110" i="104"/>
  <c r="AC158" i="104"/>
  <c r="AC138" i="104"/>
  <c r="AZ138" i="104"/>
  <c r="AZ99" i="104"/>
  <c r="AZ110" i="104"/>
  <c r="AZ98" i="104"/>
  <c r="AZ158" i="104"/>
  <c r="AZ212" i="103"/>
  <c r="AZ116" i="103"/>
  <c r="AZ213" i="103"/>
  <c r="AW213" i="103" s="1"/>
  <c r="AZ215" i="103"/>
  <c r="AZ216" i="103"/>
  <c r="AW216" i="103" s="1"/>
  <c r="AC143" i="103"/>
  <c r="AC141" i="103"/>
  <c r="AC147" i="103"/>
  <c r="BA215" i="103"/>
  <c r="BA116" i="103"/>
  <c r="BA212" i="103"/>
  <c r="BA214" i="103"/>
  <c r="AN212" i="103"/>
  <c r="AN116" i="103"/>
  <c r="AN213" i="103"/>
  <c r="AK213" i="103" s="1"/>
  <c r="AN215" i="103"/>
  <c r="AN216" i="103"/>
  <c r="AK216" i="103" s="1"/>
  <c r="AZ147" i="103"/>
  <c r="AZ149" i="103" s="1"/>
  <c r="AZ143" i="103"/>
  <c r="AZ145" i="103" s="1"/>
  <c r="AN143" i="103"/>
  <c r="AN145" i="103" s="1"/>
  <c r="AN147" i="103"/>
  <c r="AN149" i="103" s="1"/>
  <c r="AO110" i="103"/>
  <c r="AO158" i="103"/>
  <c r="AO138" i="103"/>
  <c r="AC214" i="103"/>
  <c r="AC116" i="103"/>
  <c r="AC215" i="103"/>
  <c r="AC212" i="103"/>
  <c r="BA147" i="103"/>
  <c r="BA143" i="103"/>
  <c r="BA141" i="103"/>
  <c r="AK311" i="106"/>
  <c r="BG308" i="107"/>
  <c r="BD308" i="107"/>
  <c r="BC308" i="107"/>
  <c r="BB308" i="107"/>
  <c r="BE308" i="107"/>
  <c r="AY308" i="107"/>
  <c r="AZ308" i="107"/>
  <c r="BA308" i="107"/>
  <c r="BF308" i="107"/>
  <c r="AG157" i="107"/>
  <c r="AN246" i="107"/>
  <c r="AM246" i="107"/>
  <c r="AS157" i="107"/>
  <c r="BE157" i="107"/>
  <c r="AM308" i="107"/>
  <c r="AT308" i="107"/>
  <c r="AS308" i="107"/>
  <c r="AR308" i="107"/>
  <c r="AU308" i="107"/>
  <c r="AO308" i="107"/>
  <c r="AP308" i="107"/>
  <c r="AQ308" i="107"/>
  <c r="AN308" i="107"/>
  <c r="AK247" i="106"/>
  <c r="AY246" i="107"/>
  <c r="AW246" i="107" s="1"/>
  <c r="AK310" i="106"/>
  <c r="BE157" i="106"/>
  <c r="AK309" i="106"/>
  <c r="AS157" i="106"/>
  <c r="AG157" i="106"/>
  <c r="AW310" i="106"/>
  <c r="Y311" i="106"/>
  <c r="AK248" i="104"/>
  <c r="AK311" i="105"/>
  <c r="AW309" i="106"/>
  <c r="BE157" i="105"/>
  <c r="Y311" i="105"/>
  <c r="AK311" i="103"/>
  <c r="AY246" i="105"/>
  <c r="AW246" i="105" s="1"/>
  <c r="AY308" i="105"/>
  <c r="AZ308" i="105"/>
  <c r="BF308" i="105"/>
  <c r="BD308" i="105"/>
  <c r="BG308" i="105"/>
  <c r="BA308" i="105"/>
  <c r="BB308" i="105"/>
  <c r="BC308" i="105"/>
  <c r="BE308" i="105"/>
  <c r="AG157" i="105"/>
  <c r="AS157" i="105"/>
  <c r="AG157" i="104"/>
  <c r="AW310" i="104"/>
  <c r="AK247" i="104"/>
  <c r="AK268" i="104"/>
  <c r="AK311" i="104"/>
  <c r="Y311" i="104"/>
  <c r="AK309" i="104"/>
  <c r="BE157" i="104"/>
  <c r="AS157" i="104"/>
  <c r="AW309" i="104"/>
  <c r="AK310" i="104"/>
  <c r="AK271" i="104"/>
  <c r="BD308" i="103"/>
  <c r="AY308" i="103"/>
  <c r="AZ308" i="103"/>
  <c r="BF308" i="103"/>
  <c r="BE308" i="103"/>
  <c r="BG308" i="103"/>
  <c r="BB308" i="103"/>
  <c r="BA308" i="103"/>
  <c r="BC308" i="103"/>
  <c r="AT308" i="103"/>
  <c r="AR308" i="103"/>
  <c r="AU308" i="103"/>
  <c r="AP308" i="103"/>
  <c r="AN308" i="103"/>
  <c r="AQ308" i="103"/>
  <c r="AS308" i="103"/>
  <c r="AM308" i="103"/>
  <c r="AO308" i="103"/>
  <c r="BE157" i="103"/>
  <c r="AS157" i="103"/>
  <c r="AY246" i="103"/>
  <c r="AW246" i="103" s="1"/>
  <c r="AM246" i="103"/>
  <c r="AN246" i="103"/>
  <c r="AG157" i="103"/>
  <c r="Q113" i="55"/>
  <c r="P134" i="55"/>
  <c r="P135" i="55" s="1"/>
  <c r="I203" i="24"/>
  <c r="J203" i="24" s="1"/>
  <c r="K203" i="24" s="1"/>
  <c r="L203" i="24" s="1"/>
  <c r="M203" i="24" s="1"/>
  <c r="N203" i="24" s="1"/>
  <c r="O203" i="24" s="1"/>
  <c r="P203" i="24" s="1"/>
  <c r="AN116" i="104" l="1"/>
  <c r="AN212" i="104"/>
  <c r="AC219" i="105"/>
  <c r="BA124" i="106"/>
  <c r="AC145" i="105"/>
  <c r="AC203" i="105" s="1"/>
  <c r="AK250" i="107"/>
  <c r="AK250" i="106"/>
  <c r="AW250" i="105"/>
  <c r="AC149" i="105"/>
  <c r="AW250" i="107"/>
  <c r="AK250" i="105"/>
  <c r="AW250" i="106"/>
  <c r="AK250" i="104"/>
  <c r="AW250" i="104"/>
  <c r="AW250" i="103"/>
  <c r="AK250" i="103"/>
  <c r="BA120" i="106"/>
  <c r="BA201" i="106" s="1"/>
  <c r="BA149" i="106"/>
  <c r="AZ216" i="106"/>
  <c r="AW216" i="106" s="1"/>
  <c r="AZ215" i="106"/>
  <c r="AN216" i="104"/>
  <c r="AK216" i="104" s="1"/>
  <c r="BA219" i="106"/>
  <c r="AZ147" i="106"/>
  <c r="AZ149" i="106" s="1"/>
  <c r="AZ143" i="106"/>
  <c r="AZ145" i="106" s="1"/>
  <c r="AN143" i="104"/>
  <c r="AN145" i="104" s="1"/>
  <c r="AN215" i="104"/>
  <c r="BA110" i="104"/>
  <c r="BA116" i="104" s="1"/>
  <c r="BA124" i="104" s="1"/>
  <c r="AO219" i="107"/>
  <c r="AO149" i="107"/>
  <c r="AO145" i="107"/>
  <c r="AO203" i="107" s="1"/>
  <c r="BA219" i="107"/>
  <c r="AC219" i="107"/>
  <c r="AO170" i="107"/>
  <c r="AO172" i="107" s="1"/>
  <c r="AO124" i="107"/>
  <c r="AO120" i="107"/>
  <c r="AO201" i="107" s="1"/>
  <c r="AZ219" i="107"/>
  <c r="BA120" i="107"/>
  <c r="BA201" i="107" s="1"/>
  <c r="BA170" i="107"/>
  <c r="BA172" i="107" s="1"/>
  <c r="BA124" i="107"/>
  <c r="AZ124" i="107"/>
  <c r="AZ120" i="107"/>
  <c r="AZ201" i="107" s="1"/>
  <c r="AZ170" i="107"/>
  <c r="AZ172" i="107" s="1"/>
  <c r="AC145" i="107"/>
  <c r="AC203" i="107" s="1"/>
  <c r="AC149" i="107"/>
  <c r="BA149" i="107"/>
  <c r="BA145" i="107"/>
  <c r="BA203" i="107" s="1"/>
  <c r="AC170" i="107"/>
  <c r="AC172" i="107" s="1"/>
  <c r="AC124" i="107"/>
  <c r="AC120" i="107"/>
  <c r="AO215" i="106"/>
  <c r="AO214" i="106"/>
  <c r="AO116" i="106"/>
  <c r="AO212" i="106"/>
  <c r="AO147" i="106"/>
  <c r="AO143" i="106"/>
  <c r="AO141" i="106"/>
  <c r="AN116" i="106"/>
  <c r="AN212" i="106"/>
  <c r="AN213" i="106"/>
  <c r="AK213" i="106" s="1"/>
  <c r="AN215" i="106"/>
  <c r="AN216" i="106"/>
  <c r="AK216" i="106" s="1"/>
  <c r="AZ120" i="106"/>
  <c r="AZ201" i="106" s="1"/>
  <c r="AZ124" i="106"/>
  <c r="AZ170" i="106"/>
  <c r="AZ172" i="106" s="1"/>
  <c r="AC143" i="106"/>
  <c r="AC147" i="106"/>
  <c r="AC141" i="106"/>
  <c r="AC214" i="106"/>
  <c r="AC212" i="106"/>
  <c r="AC215" i="106"/>
  <c r="AC116" i="106"/>
  <c r="AN147" i="106"/>
  <c r="AN149" i="106" s="1"/>
  <c r="AN143" i="106"/>
  <c r="AN145" i="106" s="1"/>
  <c r="BA219" i="105"/>
  <c r="BA145" i="105"/>
  <c r="BA203" i="105" s="1"/>
  <c r="BA149" i="105"/>
  <c r="BA120" i="105"/>
  <c r="BA201" i="105" s="1"/>
  <c r="BA124" i="105"/>
  <c r="BA170" i="105"/>
  <c r="BA172" i="105" s="1"/>
  <c r="AO147" i="105"/>
  <c r="AO141" i="105"/>
  <c r="AO143" i="105"/>
  <c r="AZ219" i="105"/>
  <c r="AN124" i="105"/>
  <c r="AN120" i="105"/>
  <c r="AN201" i="105" s="1"/>
  <c r="AN170" i="105"/>
  <c r="AN172" i="105" s="1"/>
  <c r="AZ170" i="105"/>
  <c r="AZ172" i="105" s="1"/>
  <c r="AZ124" i="105"/>
  <c r="AZ120" i="105"/>
  <c r="AZ201" i="105" s="1"/>
  <c r="AO212" i="105"/>
  <c r="AO116" i="105"/>
  <c r="AO214" i="105"/>
  <c r="AO215" i="105"/>
  <c r="AN219" i="105"/>
  <c r="BA158" i="104"/>
  <c r="BA138" i="104"/>
  <c r="AC116" i="104"/>
  <c r="AC214" i="104"/>
  <c r="AC215" i="104"/>
  <c r="AC212" i="104"/>
  <c r="AZ116" i="104"/>
  <c r="AZ212" i="104"/>
  <c r="AZ213" i="104"/>
  <c r="AW213" i="104" s="1"/>
  <c r="AZ216" i="104"/>
  <c r="AW216" i="104" s="1"/>
  <c r="AZ215" i="104"/>
  <c r="AZ143" i="104"/>
  <c r="AZ145" i="104" s="1"/>
  <c r="AZ147" i="104"/>
  <c r="AZ149" i="104" s="1"/>
  <c r="AN170" i="104"/>
  <c r="AN172" i="104" s="1"/>
  <c r="AN120" i="104"/>
  <c r="AN201" i="104" s="1"/>
  <c r="AN124" i="104"/>
  <c r="AC143" i="104"/>
  <c r="AC147" i="104"/>
  <c r="AC141" i="104"/>
  <c r="AO116" i="104"/>
  <c r="AO212" i="104"/>
  <c r="AO214" i="104"/>
  <c r="AO215" i="104"/>
  <c r="AO147" i="104"/>
  <c r="AO143" i="104"/>
  <c r="AO141" i="104"/>
  <c r="AZ219" i="103"/>
  <c r="BA149" i="103"/>
  <c r="BA145" i="103"/>
  <c r="BA203" i="103" s="1"/>
  <c r="BA124" i="103"/>
  <c r="BA120" i="103"/>
  <c r="BA201" i="103" s="1"/>
  <c r="BA170" i="103"/>
  <c r="BA172" i="103" s="1"/>
  <c r="AZ124" i="103"/>
  <c r="AZ120" i="103"/>
  <c r="AZ201" i="103" s="1"/>
  <c r="AZ170" i="103"/>
  <c r="AZ172" i="103" s="1"/>
  <c r="AC170" i="103"/>
  <c r="AC172" i="103" s="1"/>
  <c r="AC124" i="103"/>
  <c r="AC120" i="103"/>
  <c r="AO212" i="103"/>
  <c r="AO116" i="103"/>
  <c r="AO214" i="103"/>
  <c r="AO215" i="103"/>
  <c r="AN124" i="103"/>
  <c r="AN120" i="103"/>
  <c r="AN201" i="103" s="1"/>
  <c r="AN170" i="103"/>
  <c r="AN172" i="103" s="1"/>
  <c r="AC219" i="103"/>
  <c r="AO147" i="103"/>
  <c r="AO143" i="103"/>
  <c r="AO141" i="103"/>
  <c r="AN219" i="103"/>
  <c r="BA219" i="103"/>
  <c r="AC149" i="103"/>
  <c r="AC145" i="103"/>
  <c r="AC203" i="103" s="1"/>
  <c r="AK246" i="107"/>
  <c r="AW308" i="107"/>
  <c r="AK308" i="107"/>
  <c r="AS174" i="107"/>
  <c r="AS190" i="107" s="1"/>
  <c r="AS194" i="107" s="1"/>
  <c r="AS162" i="107"/>
  <c r="AS165" i="107"/>
  <c r="BE174" i="107"/>
  <c r="BE190" i="107" s="1"/>
  <c r="BE194" i="107" s="1"/>
  <c r="BE162" i="107"/>
  <c r="BE165" i="107"/>
  <c r="AG174" i="107"/>
  <c r="AG190" i="107" s="1"/>
  <c r="AG194" i="107" s="1"/>
  <c r="AG165" i="107"/>
  <c r="AG162" i="107"/>
  <c r="AA250" i="107" s="1"/>
  <c r="Y250" i="107" s="1"/>
  <c r="BF308" i="106"/>
  <c r="BD308" i="106"/>
  <c r="BG308" i="106"/>
  <c r="BB308" i="106"/>
  <c r="AZ308" i="106"/>
  <c r="BC308" i="106"/>
  <c r="BE308" i="106"/>
  <c r="AY308" i="106"/>
  <c r="BA308" i="106"/>
  <c r="AR308" i="106"/>
  <c r="AM308" i="106"/>
  <c r="AN308" i="106"/>
  <c r="AT308" i="106"/>
  <c r="AS308" i="106"/>
  <c r="AU308" i="106"/>
  <c r="AP308" i="106"/>
  <c r="AO308" i="106"/>
  <c r="AQ308" i="106"/>
  <c r="AG174" i="106"/>
  <c r="AG190" i="106" s="1"/>
  <c r="AG194" i="106" s="1"/>
  <c r="AG162" i="106"/>
  <c r="AA250" i="106" s="1"/>
  <c r="Y250" i="106" s="1"/>
  <c r="AG165" i="106"/>
  <c r="AS174" i="106"/>
  <c r="AS190" i="106" s="1"/>
  <c r="AS194" i="106" s="1"/>
  <c r="AS165" i="106"/>
  <c r="AS162" i="106"/>
  <c r="BE174" i="106"/>
  <c r="BE190" i="106" s="1"/>
  <c r="BE194" i="106" s="1"/>
  <c r="BE162" i="106"/>
  <c r="BE165" i="106"/>
  <c r="AY246" i="106"/>
  <c r="AW246" i="106" s="1"/>
  <c r="AN246" i="106"/>
  <c r="AM246" i="106"/>
  <c r="BE174" i="105"/>
  <c r="BE190" i="105" s="1"/>
  <c r="BE194" i="105" s="1"/>
  <c r="BE165" i="105"/>
  <c r="BE162" i="105"/>
  <c r="AG174" i="105"/>
  <c r="AG190" i="105" s="1"/>
  <c r="AG194" i="105" s="1"/>
  <c r="AG165" i="105"/>
  <c r="AG162" i="105"/>
  <c r="AA250" i="105" s="1"/>
  <c r="Y250" i="105" s="1"/>
  <c r="AW308" i="105"/>
  <c r="AK246" i="103"/>
  <c r="AK308" i="103"/>
  <c r="AM246" i="105"/>
  <c r="AN246" i="105"/>
  <c r="AS174" i="105"/>
  <c r="AS190" i="105" s="1"/>
  <c r="AS194" i="105" s="1"/>
  <c r="AS162" i="105"/>
  <c r="AS165" i="105"/>
  <c r="AT308" i="105"/>
  <c r="AQ308" i="105"/>
  <c r="AN308" i="105"/>
  <c r="AU308" i="105"/>
  <c r="AS308" i="105"/>
  <c r="AR308" i="105"/>
  <c r="AP308" i="105"/>
  <c r="AO308" i="105"/>
  <c r="AM308" i="105"/>
  <c r="AU308" i="104"/>
  <c r="AP308" i="104"/>
  <c r="AQ308" i="104"/>
  <c r="AN308" i="104"/>
  <c r="AS308" i="104"/>
  <c r="AM308" i="104"/>
  <c r="AT308" i="104"/>
  <c r="AO308" i="104"/>
  <c r="AR308" i="104"/>
  <c r="AS174" i="104"/>
  <c r="AS190" i="104" s="1"/>
  <c r="AS194" i="104" s="1"/>
  <c r="AS165" i="104"/>
  <c r="AS162" i="104"/>
  <c r="AG174" i="104"/>
  <c r="AG190" i="104" s="1"/>
  <c r="AG194" i="104" s="1"/>
  <c r="AG165" i="104"/>
  <c r="AG162" i="104"/>
  <c r="AA250" i="104" s="1"/>
  <c r="Y250" i="104" s="1"/>
  <c r="BE174" i="104"/>
  <c r="BE190" i="104" s="1"/>
  <c r="BE194" i="104" s="1"/>
  <c r="BE165" i="104"/>
  <c r="BE162" i="104"/>
  <c r="AM246" i="104"/>
  <c r="AN246" i="104"/>
  <c r="BE174" i="103"/>
  <c r="BE190" i="103" s="1"/>
  <c r="BE194" i="103" s="1"/>
  <c r="BE162" i="103"/>
  <c r="BE165" i="103"/>
  <c r="AW308" i="103"/>
  <c r="AG174" i="103"/>
  <c r="AG190" i="103" s="1"/>
  <c r="AG194" i="103" s="1"/>
  <c r="AG165" i="103"/>
  <c r="AG162" i="103"/>
  <c r="AA250" i="103" s="1"/>
  <c r="Y250" i="103" s="1"/>
  <c r="AS174" i="103"/>
  <c r="AS190" i="103" s="1"/>
  <c r="AS194" i="103" s="1"/>
  <c r="AS162" i="103"/>
  <c r="AS165" i="103"/>
  <c r="Q203" i="24"/>
  <c r="BA170" i="104" l="1"/>
  <c r="BA172" i="104" s="1"/>
  <c r="AC201" i="107"/>
  <c r="AC201" i="103"/>
  <c r="AZ219" i="106"/>
  <c r="AN219" i="104"/>
  <c r="BA120" i="104"/>
  <c r="BA201" i="104" s="1"/>
  <c r="BA212" i="104"/>
  <c r="AZ219" i="104"/>
  <c r="AC219" i="106"/>
  <c r="AO219" i="106"/>
  <c r="AO219" i="105"/>
  <c r="AO170" i="106"/>
  <c r="AO172" i="106" s="1"/>
  <c r="AO124" i="106"/>
  <c r="AO120" i="106"/>
  <c r="AO201" i="106" s="1"/>
  <c r="AO149" i="106"/>
  <c r="AO145" i="106"/>
  <c r="AO203" i="106" s="1"/>
  <c r="AK246" i="106"/>
  <c r="AC120" i="106"/>
  <c r="AC124" i="106"/>
  <c r="AC170" i="106"/>
  <c r="AC172" i="106" s="1"/>
  <c r="AC145" i="106"/>
  <c r="AC203" i="106" s="1"/>
  <c r="AC149" i="106"/>
  <c r="AN219" i="106"/>
  <c r="AN124" i="106"/>
  <c r="AN170" i="106"/>
  <c r="AN172" i="106" s="1"/>
  <c r="AN120" i="106"/>
  <c r="AN201" i="106" s="1"/>
  <c r="AO120" i="105"/>
  <c r="AO201" i="105" s="1"/>
  <c r="AO170" i="105"/>
  <c r="AO172" i="105" s="1"/>
  <c r="AO124" i="105"/>
  <c r="AO145" i="105"/>
  <c r="AO203" i="105" s="1"/>
  <c r="AO149" i="105"/>
  <c r="AC219" i="104"/>
  <c r="BA141" i="104"/>
  <c r="BA147" i="104"/>
  <c r="BA215" i="104"/>
  <c r="BA143" i="104"/>
  <c r="BA214" i="104"/>
  <c r="AC149" i="104"/>
  <c r="AC145" i="104"/>
  <c r="AC203" i="104" s="1"/>
  <c r="AZ170" i="104"/>
  <c r="AZ172" i="104" s="1"/>
  <c r="AZ120" i="104"/>
  <c r="AZ201" i="104" s="1"/>
  <c r="AZ124" i="104"/>
  <c r="AO124" i="104"/>
  <c r="AO120" i="104"/>
  <c r="AO201" i="104" s="1"/>
  <c r="AO170" i="104"/>
  <c r="AO172" i="104" s="1"/>
  <c r="AO145" i="104"/>
  <c r="AO203" i="104" s="1"/>
  <c r="AO149" i="104"/>
  <c r="AO219" i="104"/>
  <c r="AC120" i="104"/>
  <c r="AC170" i="104"/>
  <c r="AC172" i="104" s="1"/>
  <c r="AC124" i="104"/>
  <c r="AO120" i="103"/>
  <c r="AO201" i="103" s="1"/>
  <c r="AO170" i="103"/>
  <c r="AO172" i="103" s="1"/>
  <c r="AO124" i="103"/>
  <c r="AO145" i="103"/>
  <c r="AO203" i="103" s="1"/>
  <c r="AO149" i="103"/>
  <c r="AO219" i="103"/>
  <c r="AW308" i="106"/>
  <c r="BE13" i="107"/>
  <c r="BG312" i="107"/>
  <c r="BA312" i="107"/>
  <c r="BB312" i="107"/>
  <c r="BC312" i="107"/>
  <c r="AZ312" i="107"/>
  <c r="AY312" i="107"/>
  <c r="BF312" i="107"/>
  <c r="BE312" i="107"/>
  <c r="BD312" i="107"/>
  <c r="AS13" i="107"/>
  <c r="AU312" i="107"/>
  <c r="AN312" i="107"/>
  <c r="AQ312" i="107"/>
  <c r="AT312" i="107"/>
  <c r="AS312" i="107"/>
  <c r="AM312" i="107"/>
  <c r="AR312" i="107"/>
  <c r="AO312" i="107"/>
  <c r="AP312" i="107"/>
  <c r="AG12" i="107"/>
  <c r="AG205" i="107"/>
  <c r="AG207" i="107" s="1"/>
  <c r="BE12" i="107"/>
  <c r="BE205" i="107"/>
  <c r="BE207" i="107" s="1"/>
  <c r="AS12" i="107"/>
  <c r="AS205" i="107"/>
  <c r="AS207" i="107" s="1"/>
  <c r="AG13" i="107"/>
  <c r="AI312" i="107"/>
  <c r="AC312" i="107"/>
  <c r="AH312" i="107"/>
  <c r="AE312" i="107"/>
  <c r="AF312" i="107"/>
  <c r="AA312" i="107"/>
  <c r="AD312" i="107"/>
  <c r="AG312" i="107"/>
  <c r="AB312" i="107"/>
  <c r="BE13" i="106"/>
  <c r="BG312" i="106"/>
  <c r="BA312" i="106"/>
  <c r="BD312" i="106"/>
  <c r="BC312" i="106"/>
  <c r="BB312" i="106"/>
  <c r="AY312" i="106"/>
  <c r="AZ312" i="106"/>
  <c r="BE312" i="106"/>
  <c r="BF312" i="106"/>
  <c r="AS13" i="106"/>
  <c r="AS312" i="106"/>
  <c r="AM312" i="106"/>
  <c r="AT312" i="106"/>
  <c r="AO312" i="106"/>
  <c r="AR312" i="106"/>
  <c r="AU312" i="106"/>
  <c r="AP312" i="106"/>
  <c r="AQ312" i="106"/>
  <c r="AN312" i="106"/>
  <c r="BE205" i="106"/>
  <c r="BE207" i="106" s="1"/>
  <c r="BE12" i="106"/>
  <c r="AG13" i="106"/>
  <c r="AG312" i="106"/>
  <c r="AD312" i="106"/>
  <c r="AI312" i="106"/>
  <c r="AC312" i="106"/>
  <c r="AB312" i="106"/>
  <c r="AE312" i="106"/>
  <c r="AH312" i="106"/>
  <c r="AA312" i="106"/>
  <c r="AF312" i="106"/>
  <c r="AG205" i="106"/>
  <c r="AG207" i="106" s="1"/>
  <c r="AG12" i="106"/>
  <c r="AS12" i="106"/>
  <c r="AS205" i="106"/>
  <c r="AS207" i="106" s="1"/>
  <c r="AK308" i="106"/>
  <c r="AS12" i="105"/>
  <c r="AS205" i="105"/>
  <c r="AS207" i="105" s="1"/>
  <c r="AK246" i="105"/>
  <c r="BE12" i="105"/>
  <c r="BE205" i="105"/>
  <c r="BE207" i="105" s="1"/>
  <c r="AK308" i="105"/>
  <c r="AG205" i="105"/>
  <c r="AG207" i="105" s="1"/>
  <c r="AG12" i="105"/>
  <c r="BE13" i="105"/>
  <c r="AY312" i="105"/>
  <c r="BF312" i="105"/>
  <c r="BE312" i="105"/>
  <c r="BD312" i="105"/>
  <c r="BG312" i="105"/>
  <c r="BA312" i="105"/>
  <c r="BB312" i="105"/>
  <c r="BC312" i="105"/>
  <c r="AZ312" i="105"/>
  <c r="AG13" i="105"/>
  <c r="AG312" i="105"/>
  <c r="AH312" i="105"/>
  <c r="AI312" i="105"/>
  <c r="AC312" i="105"/>
  <c r="AD312" i="105"/>
  <c r="AE312" i="105"/>
  <c r="AF312" i="105"/>
  <c r="AA312" i="105"/>
  <c r="AB312" i="105"/>
  <c r="AS13" i="105"/>
  <c r="AO312" i="105"/>
  <c r="AP312" i="105"/>
  <c r="AU312" i="105"/>
  <c r="AT312" i="105"/>
  <c r="AQ312" i="105"/>
  <c r="AR312" i="105"/>
  <c r="AS312" i="105"/>
  <c r="AM312" i="105"/>
  <c r="AN312" i="105"/>
  <c r="BE12" i="104"/>
  <c r="BE205" i="104"/>
  <c r="BE207" i="104" s="1"/>
  <c r="AG13" i="104"/>
  <c r="AI312" i="104"/>
  <c r="AC312" i="104"/>
  <c r="AD312" i="104"/>
  <c r="AE312" i="104"/>
  <c r="AB312" i="104"/>
  <c r="AA312" i="104"/>
  <c r="AH312" i="104"/>
  <c r="AG312" i="104"/>
  <c r="AF312" i="104"/>
  <c r="BE13" i="104"/>
  <c r="BC312" i="104"/>
  <c r="BD312" i="104"/>
  <c r="AY312" i="104"/>
  <c r="BB312" i="104"/>
  <c r="BE312" i="104"/>
  <c r="AZ312" i="104"/>
  <c r="BG312" i="104"/>
  <c r="BA312" i="104"/>
  <c r="BF312" i="104"/>
  <c r="AY246" i="104"/>
  <c r="AW246" i="104" s="1"/>
  <c r="AS12" i="104"/>
  <c r="AS205" i="104"/>
  <c r="AS207" i="104" s="1"/>
  <c r="AK308" i="104"/>
  <c r="BC308" i="104"/>
  <c r="BB308" i="104"/>
  <c r="AY308" i="104"/>
  <c r="AZ308" i="104"/>
  <c r="BE308" i="104"/>
  <c r="BF308" i="104"/>
  <c r="BG308" i="104"/>
  <c r="BA308" i="104"/>
  <c r="BD308" i="104"/>
  <c r="AK246" i="104"/>
  <c r="AG12" i="104"/>
  <c r="AG205" i="104"/>
  <c r="AG207" i="104" s="1"/>
  <c r="AS13" i="104"/>
  <c r="AQ312" i="104"/>
  <c r="AP312" i="104"/>
  <c r="AS312" i="104"/>
  <c r="AM312" i="104"/>
  <c r="AN312" i="104"/>
  <c r="AO312" i="104"/>
  <c r="AT312" i="104"/>
  <c r="AU312" i="104"/>
  <c r="AR312" i="104"/>
  <c r="BE13" i="103"/>
  <c r="AY312" i="103"/>
  <c r="BD312" i="103"/>
  <c r="BE312" i="103"/>
  <c r="BB312" i="103"/>
  <c r="BG312" i="103"/>
  <c r="AZ312" i="103"/>
  <c r="BA312" i="103"/>
  <c r="BC312" i="103"/>
  <c r="BF312" i="103"/>
  <c r="AG12" i="103"/>
  <c r="AG205" i="103"/>
  <c r="AG207" i="103" s="1"/>
  <c r="AS13" i="103"/>
  <c r="AS312" i="103"/>
  <c r="AM312" i="103"/>
  <c r="AP312" i="103"/>
  <c r="AO312" i="103"/>
  <c r="AN312" i="103"/>
  <c r="AU312" i="103"/>
  <c r="AT312" i="103"/>
  <c r="AQ312" i="103"/>
  <c r="AR312" i="103"/>
  <c r="AG13" i="103"/>
  <c r="AI312" i="103"/>
  <c r="AC312" i="103"/>
  <c r="AF312" i="103"/>
  <c r="AE312" i="103"/>
  <c r="AD312" i="103"/>
  <c r="AA312" i="103"/>
  <c r="AB312" i="103"/>
  <c r="AG312" i="103"/>
  <c r="AH312" i="103"/>
  <c r="BE12" i="103"/>
  <c r="BE205" i="103"/>
  <c r="BE207" i="103" s="1"/>
  <c r="AS12" i="103"/>
  <c r="AS205" i="103"/>
  <c r="AS207" i="103" s="1"/>
  <c r="AH103" i="24"/>
  <c r="AG103" i="24"/>
  <c r="J103" i="24"/>
  <c r="I103" i="24"/>
  <c r="K77" i="24"/>
  <c r="L77" i="24"/>
  <c r="M77" i="24"/>
  <c r="N77" i="24"/>
  <c r="R77" i="24"/>
  <c r="S77" i="24"/>
  <c r="W77" i="24"/>
  <c r="X77" i="24"/>
  <c r="Y77" i="24"/>
  <c r="Z77" i="24"/>
  <c r="AA77" i="24"/>
  <c r="AB77" i="24"/>
  <c r="AC77" i="24"/>
  <c r="AD77" i="24"/>
  <c r="AD98" i="24" s="1"/>
  <c r="AE77" i="24"/>
  <c r="AE98" i="24" s="1"/>
  <c r="AG77" i="24"/>
  <c r="AH77" i="24"/>
  <c r="R84" i="24"/>
  <c r="S84" i="24"/>
  <c r="U84" i="24"/>
  <c r="W84" i="24"/>
  <c r="X84" i="24"/>
  <c r="Y84" i="24"/>
  <c r="Z84" i="24"/>
  <c r="AA84" i="24"/>
  <c r="AB84" i="24"/>
  <c r="AC84" i="24"/>
  <c r="AD84" i="24"/>
  <c r="AE84" i="24"/>
  <c r="AF84" i="24"/>
  <c r="R85" i="24"/>
  <c r="S85" i="24"/>
  <c r="U85" i="24"/>
  <c r="W85" i="24"/>
  <c r="X85" i="24"/>
  <c r="Y85" i="24"/>
  <c r="Z85" i="24"/>
  <c r="AA85" i="24"/>
  <c r="AB85" i="24"/>
  <c r="AC85" i="24"/>
  <c r="AD85" i="24"/>
  <c r="AE85" i="24"/>
  <c r="AF85" i="24"/>
  <c r="R86" i="24"/>
  <c r="S86" i="24"/>
  <c r="U86" i="24"/>
  <c r="W86" i="24"/>
  <c r="X86" i="24"/>
  <c r="Y86" i="24"/>
  <c r="Z86" i="24"/>
  <c r="AA86" i="24"/>
  <c r="AB86" i="24"/>
  <c r="AC86" i="24"/>
  <c r="AD86" i="24"/>
  <c r="AE86" i="24"/>
  <c r="AF86" i="24"/>
  <c r="L97" i="24"/>
  <c r="Q97" i="24"/>
  <c r="S97" i="24"/>
  <c r="AC201" i="104" l="1"/>
  <c r="AC201" i="106"/>
  <c r="AM84" i="107"/>
  <c r="AM224" i="107" s="1"/>
  <c r="O84" i="107"/>
  <c r="AY84" i="106"/>
  <c r="AY224" i="106" s="1"/>
  <c r="AA84" i="106"/>
  <c r="AA224" i="106" s="1"/>
  <c r="AM84" i="105"/>
  <c r="AM224" i="105" s="1"/>
  <c r="O84" i="105"/>
  <c r="AY84" i="104"/>
  <c r="AY224" i="104" s="1"/>
  <c r="AA84" i="104"/>
  <c r="AA224" i="104" s="1"/>
  <c r="AY84" i="107"/>
  <c r="AY224" i="107" s="1"/>
  <c r="AA84" i="107"/>
  <c r="AA224" i="107" s="1"/>
  <c r="AM84" i="106"/>
  <c r="AM224" i="106" s="1"/>
  <c r="O84" i="106"/>
  <c r="AM84" i="103"/>
  <c r="AM224" i="103" s="1"/>
  <c r="O84" i="103"/>
  <c r="AA84" i="103"/>
  <c r="AA224" i="103" s="1"/>
  <c r="AY84" i="105"/>
  <c r="AY224" i="105" s="1"/>
  <c r="AA84" i="105"/>
  <c r="AA224" i="105" s="1"/>
  <c r="AM84" i="104"/>
  <c r="AM224" i="104" s="1"/>
  <c r="O84" i="104"/>
  <c r="AY84" i="103"/>
  <c r="AY224" i="103" s="1"/>
  <c r="AA135" i="105"/>
  <c r="AM135" i="103"/>
  <c r="AA135" i="103"/>
  <c r="O135" i="107"/>
  <c r="O135" i="105"/>
  <c r="O135" i="104"/>
  <c r="O135" i="103"/>
  <c r="AA135" i="106"/>
  <c r="AA135" i="107"/>
  <c r="AM135" i="107"/>
  <c r="AY135" i="107"/>
  <c r="O135" i="106"/>
  <c r="AM135" i="106"/>
  <c r="AM135" i="104"/>
  <c r="AY135" i="106"/>
  <c r="AY135" i="105"/>
  <c r="AM135" i="105"/>
  <c r="AY135" i="104"/>
  <c r="AA135" i="104"/>
  <c r="AY135" i="103"/>
  <c r="BA219" i="104"/>
  <c r="BA145" i="104"/>
  <c r="BA203" i="104" s="1"/>
  <c r="BA149" i="104"/>
  <c r="AW312" i="107"/>
  <c r="Y312" i="107"/>
  <c r="AK312" i="107"/>
  <c r="Y312" i="106"/>
  <c r="AW312" i="106"/>
  <c r="AK312" i="105"/>
  <c r="AK312" i="106"/>
  <c r="Y312" i="105"/>
  <c r="AW312" i="105"/>
  <c r="AW308" i="104"/>
  <c r="AW312" i="104"/>
  <c r="AK312" i="104"/>
  <c r="Y312" i="104"/>
  <c r="AK312" i="103"/>
  <c r="AW312" i="103"/>
  <c r="Y312" i="103"/>
  <c r="AM135" i="55"/>
  <c r="AY135" i="55"/>
  <c r="O135" i="55"/>
  <c r="AA135" i="55"/>
  <c r="AH89" i="24"/>
  <c r="N89" i="24"/>
  <c r="L89" i="24"/>
  <c r="S89" i="24"/>
  <c r="M89" i="24"/>
  <c r="AG89" i="24"/>
  <c r="Q98" i="24"/>
  <c r="L98" i="24"/>
  <c r="Z89" i="24"/>
  <c r="Z98" i="24"/>
  <c r="AB89" i="24"/>
  <c r="AB98" i="24"/>
  <c r="W89" i="24"/>
  <c r="W98" i="24"/>
  <c r="AA89" i="24"/>
  <c r="AA98" i="24"/>
  <c r="X89" i="24"/>
  <c r="X98" i="24"/>
  <c r="R89" i="24"/>
  <c r="R98" i="24"/>
  <c r="Y89" i="24"/>
  <c r="Y98" i="24"/>
  <c r="AE89" i="24"/>
  <c r="K89" i="24"/>
  <c r="K98" i="24"/>
  <c r="AF98" i="24"/>
  <c r="AF89" i="24"/>
  <c r="AD89" i="24"/>
  <c r="S98" i="24"/>
  <c r="AC89" i="24"/>
  <c r="AC98" i="24"/>
  <c r="O224" i="105" l="1"/>
  <c r="O224" i="103"/>
  <c r="O224" i="106"/>
  <c r="O224" i="104"/>
  <c r="O224" i="107"/>
  <c r="AA202" i="106"/>
  <c r="AA136" i="106"/>
  <c r="AY202" i="105"/>
  <c r="AY136" i="105"/>
  <c r="AA202" i="104"/>
  <c r="AA136" i="104"/>
  <c r="AY202" i="106"/>
  <c r="AY136" i="106"/>
  <c r="AY202" i="107"/>
  <c r="AY136" i="107"/>
  <c r="O202" i="103"/>
  <c r="O136" i="103"/>
  <c r="AA202" i="103"/>
  <c r="AA136" i="103"/>
  <c r="AY202" i="103"/>
  <c r="AY136" i="103"/>
  <c r="AY202" i="104"/>
  <c r="AY136" i="104"/>
  <c r="AM202" i="104"/>
  <c r="AM136" i="104"/>
  <c r="AM202" i="107"/>
  <c r="AM136" i="107"/>
  <c r="O202" i="104"/>
  <c r="O136" i="104"/>
  <c r="AM202" i="103"/>
  <c r="AM136" i="103"/>
  <c r="O202" i="106"/>
  <c r="O136" i="106"/>
  <c r="O202" i="107"/>
  <c r="O136" i="107"/>
  <c r="AM202" i="105"/>
  <c r="AM136" i="105"/>
  <c r="AM202" i="106"/>
  <c r="AM136" i="106"/>
  <c r="AA202" i="107"/>
  <c r="AA136" i="107"/>
  <c r="O202" i="105"/>
  <c r="O136" i="105"/>
  <c r="AA202" i="105"/>
  <c r="AA136" i="105"/>
  <c r="I289" i="24"/>
  <c r="J289" i="24" s="1"/>
  <c r="K289" i="24" s="1"/>
  <c r="L289" i="24" s="1"/>
  <c r="M289" i="24" s="1"/>
  <c r="N289" i="24" s="1"/>
  <c r="O289" i="24" s="1"/>
  <c r="P289" i="24" s="1"/>
  <c r="Q289" i="24" s="1"/>
  <c r="R289" i="24" s="1"/>
  <c r="S289" i="24" s="1"/>
  <c r="T289" i="24" s="1"/>
  <c r="I281" i="24"/>
  <c r="J281" i="24" s="1"/>
  <c r="K281" i="24" s="1"/>
  <c r="L281" i="24" s="1"/>
  <c r="M281" i="24" s="1"/>
  <c r="N281" i="24" s="1"/>
  <c r="O281" i="24" s="1"/>
  <c r="P281" i="24" s="1"/>
  <c r="Q281" i="24" s="1"/>
  <c r="R281" i="24" s="1"/>
  <c r="S281" i="24" s="1"/>
  <c r="T281" i="24" s="1"/>
  <c r="I326" i="24" l="1"/>
  <c r="D384" i="24"/>
  <c r="I381" i="24"/>
  <c r="J381" i="24" s="1"/>
  <c r="K381" i="24" s="1"/>
  <c r="L381" i="24" s="1"/>
  <c r="M381" i="24" s="1"/>
  <c r="T373" i="24"/>
  <c r="T372" i="24"/>
  <c r="D372" i="24"/>
  <c r="D373" i="24" s="1"/>
  <c r="T371" i="24"/>
  <c r="S371" i="24"/>
  <c r="R371" i="24"/>
  <c r="Q371" i="24"/>
  <c r="P371" i="24"/>
  <c r="O371" i="24"/>
  <c r="N371" i="24"/>
  <c r="M371" i="24"/>
  <c r="L371" i="24"/>
  <c r="K371" i="24"/>
  <c r="J371" i="24"/>
  <c r="I371" i="24"/>
  <c r="I369" i="24"/>
  <c r="J369" i="24" s="1"/>
  <c r="K369" i="24" s="1"/>
  <c r="L369" i="24" s="1"/>
  <c r="M369" i="24" s="1"/>
  <c r="N369" i="24" s="1"/>
  <c r="O369" i="24" s="1"/>
  <c r="P369" i="24" s="1"/>
  <c r="Q369" i="24" s="1"/>
  <c r="R369" i="24" s="1"/>
  <c r="S369" i="24" s="1"/>
  <c r="T369" i="24" s="1"/>
  <c r="AA66" i="106" l="1"/>
  <c r="AB66" i="106"/>
  <c r="AB66" i="104"/>
  <c r="AA66" i="105"/>
  <c r="AA66" i="104"/>
  <c r="AA66" i="107"/>
  <c r="AA66" i="103"/>
  <c r="AB66" i="107"/>
  <c r="AB66" i="105"/>
  <c r="AB66" i="103"/>
  <c r="S66" i="103"/>
  <c r="P66" i="106"/>
  <c r="R66" i="106"/>
  <c r="P66" i="105"/>
  <c r="R66" i="104"/>
  <c r="Q66" i="103"/>
  <c r="O66" i="107"/>
  <c r="R66" i="107"/>
  <c r="P66" i="104"/>
  <c r="O66" i="104"/>
  <c r="O66" i="106"/>
  <c r="P66" i="103"/>
  <c r="Q66" i="107"/>
  <c r="P66" i="107"/>
  <c r="Q66" i="106"/>
  <c r="Q66" i="104"/>
  <c r="Q66" i="105"/>
  <c r="O66" i="105"/>
  <c r="O66" i="103"/>
  <c r="R66" i="105"/>
  <c r="R66" i="103"/>
  <c r="AF66" i="55"/>
  <c r="T66" i="55"/>
  <c r="BD66" i="55"/>
  <c r="AR66" i="55"/>
  <c r="AD78" i="103" l="1"/>
  <c r="Y66" i="103"/>
  <c r="AD78" i="107"/>
  <c r="Y66" i="107"/>
  <c r="AD78" i="104"/>
  <c r="Y66" i="104"/>
  <c r="AD78" i="105"/>
  <c r="Y66" i="105"/>
  <c r="Y66" i="106"/>
  <c r="AD78" i="106"/>
  <c r="S232" i="103"/>
  <c r="R232" i="106"/>
  <c r="Q232" i="103"/>
  <c r="Q232" i="104"/>
  <c r="S232" i="106"/>
  <c r="R232" i="103"/>
  <c r="Q232" i="105"/>
  <c r="Q232" i="107"/>
  <c r="S232" i="107"/>
  <c r="R232" i="105"/>
  <c r="R232" i="104"/>
  <c r="R232" i="107"/>
  <c r="S232" i="104"/>
  <c r="S232" i="105"/>
  <c r="Q232" i="106"/>
  <c r="T64" i="24"/>
  <c r="S64" i="24"/>
  <c r="R64" i="24"/>
  <c r="Q64" i="24"/>
  <c r="P64" i="24"/>
  <c r="O64" i="24"/>
  <c r="N64" i="24"/>
  <c r="M64" i="24"/>
  <c r="L64" i="24"/>
  <c r="K64" i="24"/>
  <c r="J64" i="24"/>
  <c r="I64" i="24"/>
  <c r="E66" i="24"/>
  <c r="E67" i="24"/>
  <c r="E65" i="24"/>
  <c r="T58" i="24"/>
  <c r="S58" i="24"/>
  <c r="R58" i="24"/>
  <c r="Q58" i="24"/>
  <c r="P58" i="24"/>
  <c r="O58" i="24"/>
  <c r="N58" i="24"/>
  <c r="M58" i="24"/>
  <c r="L58" i="24"/>
  <c r="K58" i="24"/>
  <c r="J58" i="24"/>
  <c r="I58" i="24"/>
  <c r="I56" i="24"/>
  <c r="J56" i="24" s="1"/>
  <c r="K56" i="24" s="1"/>
  <c r="L56" i="24" s="1"/>
  <c r="M56" i="24" s="1"/>
  <c r="N56" i="24" s="1"/>
  <c r="O56" i="24" s="1"/>
  <c r="P56" i="24" s="1"/>
  <c r="Q56" i="24" s="1"/>
  <c r="R56" i="24" s="1"/>
  <c r="S56" i="24" s="1"/>
  <c r="T56" i="24" s="1"/>
  <c r="AA20" i="55"/>
  <c r="AA19" i="55"/>
  <c r="AA24" i="55"/>
  <c r="T391" i="24"/>
  <c r="S391" i="24"/>
  <c r="R391" i="24"/>
  <c r="Q391" i="24"/>
  <c r="P391" i="24"/>
  <c r="O391" i="24"/>
  <c r="N391" i="24"/>
  <c r="M391" i="24"/>
  <c r="L391" i="24"/>
  <c r="K391" i="24"/>
  <c r="J391" i="24"/>
  <c r="I391" i="24"/>
  <c r="I389" i="24"/>
  <c r="J389" i="24" s="1"/>
  <c r="K389" i="24" s="1"/>
  <c r="L389" i="24" s="1"/>
  <c r="M389" i="24" s="1"/>
  <c r="N389" i="24" s="1"/>
  <c r="O389" i="24" s="1"/>
  <c r="P389" i="24" s="1"/>
  <c r="Q389" i="24" s="1"/>
  <c r="R389" i="24" s="1"/>
  <c r="S389" i="24" s="1"/>
  <c r="T389" i="24" s="1"/>
  <c r="T293" i="24"/>
  <c r="S293" i="24"/>
  <c r="K38" i="23"/>
  <c r="J174" i="23"/>
  <c r="J178" i="23"/>
  <c r="K232" i="23"/>
  <c r="K148" i="23"/>
  <c r="J52" i="23"/>
  <c r="K94" i="23"/>
  <c r="J39" i="23"/>
  <c r="J71" i="23"/>
  <c r="J104" i="23"/>
  <c r="K159" i="23"/>
  <c r="K194" i="23"/>
  <c r="J69" i="23"/>
  <c r="J65" i="23"/>
  <c r="J21" i="23"/>
  <c r="K25" i="23"/>
  <c r="K90" i="23"/>
  <c r="K58" i="23"/>
  <c r="K219" i="23"/>
  <c r="J103" i="23"/>
  <c r="K52" i="23"/>
  <c r="J233" i="23"/>
  <c r="K96" i="23"/>
  <c r="J141" i="23"/>
  <c r="K33" i="23"/>
  <c r="J211" i="23"/>
  <c r="K135" i="23"/>
  <c r="J209" i="23"/>
  <c r="K32" i="23"/>
  <c r="J88" i="23"/>
  <c r="K137" i="23"/>
  <c r="J181" i="23"/>
  <c r="J148" i="23"/>
  <c r="K110" i="23"/>
  <c r="K120" i="23"/>
  <c r="J106" i="23"/>
  <c r="K158" i="23"/>
  <c r="J192" i="23"/>
  <c r="J121" i="23"/>
  <c r="K203" i="23"/>
  <c r="K21" i="23"/>
  <c r="K71" i="23"/>
  <c r="K174" i="23"/>
  <c r="J118" i="23"/>
  <c r="K134" i="23"/>
  <c r="K108" i="23"/>
  <c r="J134" i="23"/>
  <c r="J11" i="23"/>
  <c r="J125" i="23"/>
  <c r="K59" i="23"/>
  <c r="K207" i="23"/>
  <c r="K91" i="23"/>
  <c r="K181" i="23"/>
  <c r="J218" i="23"/>
  <c r="J166" i="23"/>
  <c r="J205" i="23"/>
  <c r="K178" i="23"/>
  <c r="K233" i="23"/>
  <c r="J95" i="23"/>
  <c r="K40" i="23"/>
  <c r="J150" i="23"/>
  <c r="J237" i="23"/>
  <c r="J220" i="23"/>
  <c r="J50" i="23"/>
  <c r="K176" i="23"/>
  <c r="J25" i="23"/>
  <c r="J44" i="23"/>
  <c r="J51" i="23"/>
  <c r="J179" i="23"/>
  <c r="K41" i="23"/>
  <c r="K70" i="23"/>
  <c r="J224" i="23"/>
  <c r="J47" i="23"/>
  <c r="K28" i="23"/>
  <c r="K151" i="23"/>
  <c r="K119" i="23"/>
  <c r="K64" i="23"/>
  <c r="J96" i="23"/>
  <c r="J18" i="23"/>
  <c r="J160" i="23"/>
  <c r="K179" i="23"/>
  <c r="K231" i="23"/>
  <c r="J89" i="23"/>
  <c r="K27" i="23"/>
  <c r="J94" i="23"/>
  <c r="J176" i="23"/>
  <c r="K211" i="23"/>
  <c r="J165" i="23"/>
  <c r="J133" i="23"/>
  <c r="K65" i="23"/>
  <c r="J91" i="23"/>
  <c r="J208" i="23"/>
  <c r="J120" i="23"/>
  <c r="K189" i="23"/>
  <c r="J110" i="23"/>
  <c r="K62" i="23"/>
  <c r="J207" i="23"/>
  <c r="J111" i="23"/>
  <c r="J38" i="23"/>
  <c r="J190" i="23"/>
  <c r="J230" i="23"/>
  <c r="K191" i="23"/>
  <c r="J163" i="23"/>
  <c r="K88" i="23"/>
  <c r="K95" i="23"/>
  <c r="K204" i="23"/>
  <c r="J90" i="23"/>
  <c r="J139" i="23"/>
  <c r="J175" i="23"/>
  <c r="J35" i="23"/>
  <c r="J92" i="23"/>
  <c r="K177" i="23"/>
  <c r="K161" i="23"/>
  <c r="J46" i="23"/>
  <c r="J236" i="23"/>
  <c r="K195" i="23"/>
  <c r="J158" i="23"/>
  <c r="K138" i="23"/>
  <c r="K141" i="23"/>
  <c r="K121" i="23"/>
  <c r="J177" i="23"/>
  <c r="J108" i="23"/>
  <c r="K218" i="23"/>
  <c r="J194" i="23"/>
  <c r="K175" i="23"/>
  <c r="K224" i="23"/>
  <c r="J195" i="23"/>
  <c r="J210" i="23"/>
  <c r="J188" i="23"/>
  <c r="J136" i="23"/>
  <c r="J41" i="23"/>
  <c r="K47" i="23"/>
  <c r="J19" i="23"/>
  <c r="J63" i="23"/>
  <c r="K173" i="23"/>
  <c r="J28" i="23"/>
  <c r="K190" i="23"/>
  <c r="J12" i="23"/>
  <c r="K20" i="23"/>
  <c r="K133" i="23"/>
  <c r="J107" i="23"/>
  <c r="J34" i="23"/>
  <c r="J219" i="23"/>
  <c r="K111" i="23"/>
  <c r="K92" i="23"/>
  <c r="K139" i="23"/>
  <c r="K89" i="23"/>
  <c r="J123" i="23"/>
  <c r="K68" i="23"/>
  <c r="K188" i="23"/>
  <c r="K44" i="23"/>
  <c r="K241" i="23"/>
  <c r="J56" i="23"/>
  <c r="K242" i="23"/>
  <c r="J189" i="23"/>
  <c r="J203" i="23"/>
  <c r="K105" i="23"/>
  <c r="K227" i="23"/>
  <c r="J135" i="23"/>
  <c r="J162" i="23"/>
  <c r="K230" i="23"/>
  <c r="K109" i="23"/>
  <c r="K192" i="23"/>
  <c r="J93" i="23"/>
  <c r="K34" i="23"/>
  <c r="J242" i="23"/>
  <c r="K123" i="23"/>
  <c r="K238" i="23"/>
  <c r="K11" i="23"/>
  <c r="K239" i="23"/>
  <c r="K39" i="23"/>
  <c r="K206" i="23"/>
  <c r="K19" i="23"/>
  <c r="J239" i="23"/>
  <c r="K57" i="23"/>
  <c r="J193" i="23"/>
  <c r="K56" i="23"/>
  <c r="J180" i="23"/>
  <c r="J20" i="23"/>
  <c r="K193" i="23"/>
  <c r="J225" i="23"/>
  <c r="J57" i="23"/>
  <c r="K162" i="23"/>
  <c r="K140" i="23"/>
  <c r="K125" i="23"/>
  <c r="K46" i="23"/>
  <c r="J119" i="23"/>
  <c r="J31" i="23"/>
  <c r="J191" i="23"/>
  <c r="K225" i="23"/>
  <c r="K164" i="23"/>
  <c r="J64" i="23"/>
  <c r="J173" i="23"/>
  <c r="K136" i="23"/>
  <c r="K180" i="23"/>
  <c r="J227" i="23"/>
  <c r="K160" i="23"/>
  <c r="K163" i="23"/>
  <c r="K205" i="23"/>
  <c r="J159" i="23"/>
  <c r="K237" i="23"/>
  <c r="K240" i="23"/>
  <c r="K53" i="23"/>
  <c r="K63" i="23"/>
  <c r="J140" i="23"/>
  <c r="J59" i="23"/>
  <c r="J26" i="23"/>
  <c r="J204" i="23"/>
  <c r="J27" i="23"/>
  <c r="K12" i="23"/>
  <c r="K104" i="23"/>
  <c r="K165" i="23"/>
  <c r="J122" i="23"/>
  <c r="J68" i="23"/>
  <c r="J124" i="23"/>
  <c r="K150" i="23"/>
  <c r="K210" i="23"/>
  <c r="J226" i="23"/>
  <c r="K220" i="23"/>
  <c r="J33" i="23"/>
  <c r="J221" i="23"/>
  <c r="J138" i="23"/>
  <c r="K124" i="23"/>
  <c r="J109" i="23"/>
  <c r="J53" i="23"/>
  <c r="K149" i="23"/>
  <c r="K122" i="23"/>
  <c r="K166" i="23"/>
  <c r="K103" i="23"/>
  <c r="K208" i="23"/>
  <c r="J151" i="23"/>
  <c r="J238" i="23"/>
  <c r="J70" i="23"/>
  <c r="K93" i="23"/>
  <c r="K45" i="23"/>
  <c r="J105" i="23"/>
  <c r="J58" i="23"/>
  <c r="K196" i="23"/>
  <c r="J126" i="23"/>
  <c r="J231" i="23"/>
  <c r="K35" i="23"/>
  <c r="K51" i="23"/>
  <c r="J137" i="23"/>
  <c r="J240" i="23"/>
  <c r="J45" i="23"/>
  <c r="K50" i="23"/>
  <c r="J164" i="23"/>
  <c r="J40" i="23"/>
  <c r="K107" i="23"/>
  <c r="K118" i="23"/>
  <c r="J232" i="23"/>
  <c r="K106" i="23"/>
  <c r="J149" i="23"/>
  <c r="J161" i="23"/>
  <c r="J32" i="23"/>
  <c r="K226" i="23"/>
  <c r="K221" i="23"/>
  <c r="K126" i="23"/>
  <c r="K18" i="23"/>
  <c r="K209" i="23"/>
  <c r="K26" i="23"/>
  <c r="J206" i="23"/>
  <c r="K69" i="23"/>
  <c r="J62" i="23"/>
  <c r="J196" i="23"/>
  <c r="K236" i="23"/>
  <c r="J241" i="23"/>
  <c r="K31" i="23"/>
  <c r="AB67" i="107" l="1"/>
  <c r="AA67" i="106"/>
  <c r="AB67" i="106"/>
  <c r="AB67" i="105"/>
  <c r="AA67" i="107"/>
  <c r="AB67" i="103"/>
  <c r="AA67" i="104"/>
  <c r="AA67" i="103"/>
  <c r="AB67" i="104"/>
  <c r="AA67" i="105"/>
  <c r="AD157" i="104"/>
  <c r="AD157" i="107"/>
  <c r="AD157" i="106"/>
  <c r="AA283" i="107"/>
  <c r="AA283" i="105"/>
  <c r="AB283" i="106"/>
  <c r="AB283" i="104"/>
  <c r="AB283" i="105"/>
  <c r="AB283" i="103"/>
  <c r="AA283" i="106"/>
  <c r="AB283" i="107"/>
  <c r="AA283" i="104"/>
  <c r="AA283" i="103"/>
  <c r="AD157" i="105"/>
  <c r="AD157" i="103"/>
  <c r="AA40" i="55"/>
  <c r="I33" i="23" s="1"/>
  <c r="O232" i="105"/>
  <c r="O232" i="106"/>
  <c r="O232" i="104"/>
  <c r="O232" i="103"/>
  <c r="O232" i="107"/>
  <c r="O283" i="107"/>
  <c r="S283" i="105"/>
  <c r="S283" i="103"/>
  <c r="R283" i="107"/>
  <c r="S283" i="104"/>
  <c r="R283" i="103"/>
  <c r="R283" i="105"/>
  <c r="R283" i="106"/>
  <c r="Q283" i="106"/>
  <c r="O283" i="106"/>
  <c r="S283" i="107"/>
  <c r="Q283" i="103"/>
  <c r="Q283" i="105"/>
  <c r="Q283" i="107"/>
  <c r="O283" i="105"/>
  <c r="O283" i="103"/>
  <c r="O283" i="104"/>
  <c r="S283" i="106"/>
  <c r="R283" i="104"/>
  <c r="Q283" i="104"/>
  <c r="R67" i="106"/>
  <c r="P67" i="105"/>
  <c r="S67" i="104"/>
  <c r="R67" i="103"/>
  <c r="Q67" i="106"/>
  <c r="O67" i="104"/>
  <c r="P67" i="107"/>
  <c r="P67" i="106"/>
  <c r="R67" i="107"/>
  <c r="O67" i="103"/>
  <c r="O67" i="107"/>
  <c r="Q67" i="104"/>
  <c r="S67" i="107"/>
  <c r="Q67" i="107"/>
  <c r="O67" i="106"/>
  <c r="S67" i="106"/>
  <c r="Q67" i="103"/>
  <c r="R67" i="104"/>
  <c r="O67" i="105"/>
  <c r="P67" i="103"/>
  <c r="Q67" i="105"/>
  <c r="S67" i="103"/>
  <c r="S67" i="105"/>
  <c r="R67" i="105"/>
  <c r="P67" i="104"/>
  <c r="AF67" i="55"/>
  <c r="BD67" i="55"/>
  <c r="AR67" i="55"/>
  <c r="T67" i="55"/>
  <c r="AA35" i="55"/>
  <c r="BD283" i="55"/>
  <c r="AR283" i="55"/>
  <c r="AF283" i="55"/>
  <c r="T283" i="55"/>
  <c r="AA31" i="55"/>
  <c r="AI17" i="55"/>
  <c r="AB17" i="55"/>
  <c r="W17" i="55"/>
  <c r="AA17" i="55"/>
  <c r="V17" i="55"/>
  <c r="U17" i="55"/>
  <c r="AH17" i="55"/>
  <c r="AE17" i="55"/>
  <c r="S17" i="55"/>
  <c r="R17" i="55"/>
  <c r="Q17" i="55"/>
  <c r="AG22" i="55"/>
  <c r="AG17" i="55"/>
  <c r="AD22" i="55"/>
  <c r="AD17" i="55"/>
  <c r="AC22" i="55"/>
  <c r="AC17" i="55"/>
  <c r="Q21" i="55"/>
  <c r="Q289" i="55" s="1"/>
  <c r="AE22" i="55"/>
  <c r="S21" i="55"/>
  <c r="S289" i="55" s="1"/>
  <c r="V21" i="55"/>
  <c r="V289" i="55" s="1"/>
  <c r="R21" i="55"/>
  <c r="R289" i="55" s="1"/>
  <c r="AB22" i="55"/>
  <c r="AB21" i="55"/>
  <c r="AB289" i="55" s="1"/>
  <c r="AI21" i="55"/>
  <c r="AI289" i="55" s="1"/>
  <c r="W21" i="55"/>
  <c r="W289" i="55" s="1"/>
  <c r="Q22" i="55"/>
  <c r="U21" i="55"/>
  <c r="U289" i="55" s="1"/>
  <c r="R22" i="55"/>
  <c r="S22" i="55"/>
  <c r="U22" i="55"/>
  <c r="V22" i="55"/>
  <c r="AA22" i="55"/>
  <c r="W22" i="55"/>
  <c r="AA21" i="55"/>
  <c r="AA289" i="55" s="1"/>
  <c r="AC21" i="55"/>
  <c r="AC289" i="55" s="1"/>
  <c r="AD21" i="55"/>
  <c r="AD289" i="55" s="1"/>
  <c r="AE21" i="55"/>
  <c r="AE289" i="55" s="1"/>
  <c r="AG21" i="55"/>
  <c r="AG289" i="55" s="1"/>
  <c r="AH21" i="55"/>
  <c r="AH289" i="55" s="1"/>
  <c r="AI22" i="55"/>
  <c r="AH22" i="55"/>
  <c r="N20" i="23"/>
  <c r="O20" i="23"/>
  <c r="O19" i="23"/>
  <c r="P19" i="23"/>
  <c r="P20" i="23"/>
  <c r="Q21" i="23"/>
  <c r="M11" i="23"/>
  <c r="O11" i="23"/>
  <c r="R19" i="23"/>
  <c r="Q19" i="23"/>
  <c r="O21" i="23"/>
  <c r="P21" i="23"/>
  <c r="R20" i="23"/>
  <c r="Q20" i="23"/>
  <c r="R21" i="23"/>
  <c r="R11" i="23"/>
  <c r="P11" i="23"/>
  <c r="N11" i="23"/>
  <c r="N21" i="23"/>
  <c r="Q11" i="23"/>
  <c r="N19" i="23"/>
  <c r="AH228" i="55" l="1"/>
  <c r="AA59" i="55"/>
  <c r="AB235" i="55"/>
  <c r="W228" i="55"/>
  <c r="AI281" i="55"/>
  <c r="AH61" i="55"/>
  <c r="AH63" i="55"/>
  <c r="AG61" i="55"/>
  <c r="AG63" i="55"/>
  <c r="AB51" i="55"/>
  <c r="AB63" i="55"/>
  <c r="AB61" i="55"/>
  <c r="Q51" i="55"/>
  <c r="Q63" i="55"/>
  <c r="Q61" i="55"/>
  <c r="U67" i="55"/>
  <c r="U63" i="55"/>
  <c r="U61" i="55"/>
  <c r="AA67" i="55"/>
  <c r="AA63" i="55"/>
  <c r="AA61" i="55"/>
  <c r="W67" i="55"/>
  <c r="W63" i="55"/>
  <c r="W61" i="55"/>
  <c r="AE61" i="55"/>
  <c r="AE63" i="55"/>
  <c r="AD61" i="55"/>
  <c r="AD63" i="55"/>
  <c r="R51" i="55"/>
  <c r="R61" i="55"/>
  <c r="R63" i="55"/>
  <c r="V67" i="55"/>
  <c r="V63" i="55"/>
  <c r="V61" i="55"/>
  <c r="S61" i="55"/>
  <c r="S63" i="55"/>
  <c r="AC63" i="55"/>
  <c r="AC61" i="55"/>
  <c r="AI63" i="55"/>
  <c r="AI61" i="55"/>
  <c r="AB287" i="107" a="1"/>
  <c r="AB287" i="107" s="1"/>
  <c r="AB286" i="107" a="1"/>
  <c r="AB286" i="107" s="1"/>
  <c r="Y67" i="103"/>
  <c r="AE78" i="103"/>
  <c r="AA287" i="106" a="1"/>
  <c r="AA287" i="106" s="1"/>
  <c r="AA286" i="106" a="1"/>
  <c r="AA286" i="106" s="1"/>
  <c r="AD174" i="106"/>
  <c r="AD190" i="106" s="1"/>
  <c r="AD194" i="106" s="1"/>
  <c r="AD162" i="106"/>
  <c r="AD165" i="106"/>
  <c r="Y67" i="104"/>
  <c r="AE78" i="104"/>
  <c r="AB286" i="103" a="1"/>
  <c r="AB286" i="103" s="1"/>
  <c r="AB287" i="103" a="1"/>
  <c r="AB287" i="103" s="1"/>
  <c r="AD174" i="103"/>
  <c r="AD190" i="103" s="1"/>
  <c r="AD194" i="103" s="1"/>
  <c r="AD162" i="103"/>
  <c r="AD165" i="103"/>
  <c r="AB286" i="105" a="1"/>
  <c r="AB286" i="105" s="1"/>
  <c r="AB287" i="105" a="1"/>
  <c r="AB287" i="105" s="1"/>
  <c r="AD162" i="107"/>
  <c r="AD165" i="107"/>
  <c r="AD174" i="107"/>
  <c r="AD190" i="107" s="1"/>
  <c r="AD194" i="107" s="1"/>
  <c r="Y67" i="107"/>
  <c r="AE78" i="107"/>
  <c r="AB287" i="104" a="1"/>
  <c r="AB287" i="104" s="1"/>
  <c r="AB286" i="104" a="1"/>
  <c r="AB286" i="104" s="1"/>
  <c r="AD174" i="105"/>
  <c r="AD190" i="105" s="1"/>
  <c r="AD194" i="105" s="1"/>
  <c r="AD165" i="105"/>
  <c r="AD162" i="105"/>
  <c r="AB286" i="106" a="1"/>
  <c r="AB286" i="106" s="1"/>
  <c r="AB287" i="106" a="1"/>
  <c r="AB287" i="106" s="1"/>
  <c r="AD174" i="104"/>
  <c r="AD190" i="104" s="1"/>
  <c r="AD194" i="104" s="1"/>
  <c r="AD162" i="104"/>
  <c r="AD165" i="104"/>
  <c r="AA286" i="103" a="1"/>
  <c r="AA286" i="103" s="1"/>
  <c r="AA287" i="103" a="1"/>
  <c r="AA287" i="103" s="1"/>
  <c r="AA287" i="105" a="1"/>
  <c r="AA287" i="105" s="1"/>
  <c r="AA286" i="105" a="1"/>
  <c r="AA286" i="105" s="1"/>
  <c r="Y67" i="105"/>
  <c r="AE78" i="105"/>
  <c r="AE78" i="106"/>
  <c r="Y67" i="106"/>
  <c r="AA287" i="104" a="1"/>
  <c r="AA287" i="104" s="1"/>
  <c r="AA286" i="104" a="1"/>
  <c r="AA286" i="104" s="1"/>
  <c r="AA287" i="107" a="1"/>
  <c r="AA287" i="107" s="1"/>
  <c r="AA286" i="107" a="1"/>
  <c r="AA286" i="107" s="1"/>
  <c r="AA51" i="55"/>
  <c r="S67" i="55"/>
  <c r="S51" i="55"/>
  <c r="Q287" i="104" a="1"/>
  <c r="Q287" i="104" s="1"/>
  <c r="Q285" i="104" a="1"/>
  <c r="Q285" i="104" s="1"/>
  <c r="Q286" i="104" a="1"/>
  <c r="Q286" i="104" s="1"/>
  <c r="O287" i="103" a="1"/>
  <c r="O287" i="103" s="1"/>
  <c r="O285" i="103" a="1"/>
  <c r="O285" i="103" s="1"/>
  <c r="O286" i="103" a="1"/>
  <c r="O286" i="103" s="1"/>
  <c r="Q286" i="103" a="1"/>
  <c r="Q286" i="103" s="1"/>
  <c r="Q285" i="103" a="1"/>
  <c r="Q285" i="103" s="1"/>
  <c r="Q287" i="103" a="1"/>
  <c r="Q287" i="103" s="1"/>
  <c r="R287" i="106" a="1"/>
  <c r="R287" i="106" s="1"/>
  <c r="R286" i="106" a="1"/>
  <c r="R286" i="106" s="1"/>
  <c r="R285" i="106" a="1"/>
  <c r="R285" i="106" s="1"/>
  <c r="R287" i="107" a="1"/>
  <c r="R287" i="107" s="1"/>
  <c r="R286" i="107" a="1"/>
  <c r="R286" i="107" s="1"/>
  <c r="R285" i="107" a="1"/>
  <c r="R285" i="107" s="1"/>
  <c r="R286" i="104" a="1"/>
  <c r="R286" i="104" s="1"/>
  <c r="R287" i="104" a="1"/>
  <c r="R287" i="104" s="1"/>
  <c r="R285" i="104" a="1"/>
  <c r="R285" i="104" s="1"/>
  <c r="O286" i="105" a="1"/>
  <c r="O286" i="105" s="1"/>
  <c r="O285" i="105" a="1"/>
  <c r="O285" i="105" s="1"/>
  <c r="O287" i="105" a="1"/>
  <c r="O287" i="105" s="1"/>
  <c r="S301" i="107"/>
  <c r="S285" i="107" a="1"/>
  <c r="S285" i="107" s="1"/>
  <c r="S298" i="107"/>
  <c r="S287" i="107" a="1"/>
  <c r="S287" i="107" s="1"/>
  <c r="S286" i="107" a="1"/>
  <c r="S286" i="107" s="1"/>
  <c r="R286" i="105" a="1"/>
  <c r="R286" i="105" s="1"/>
  <c r="R285" i="105" a="1"/>
  <c r="R285" i="105" s="1"/>
  <c r="R287" i="105" a="1"/>
  <c r="R287" i="105" s="1"/>
  <c r="S301" i="103"/>
  <c r="S286" i="103" a="1"/>
  <c r="S286" i="103" s="1"/>
  <c r="S287" i="103" a="1"/>
  <c r="S287" i="103" s="1"/>
  <c r="S285" i="103" a="1"/>
  <c r="S285" i="103" s="1"/>
  <c r="S298" i="103"/>
  <c r="S286" i="106" a="1"/>
  <c r="S286" i="106" s="1"/>
  <c r="S287" i="106" a="1"/>
  <c r="S287" i="106" s="1"/>
  <c r="S285" i="106" a="1"/>
  <c r="S285" i="106" s="1"/>
  <c r="S298" i="106"/>
  <c r="S301" i="106"/>
  <c r="Q286" i="107" a="1"/>
  <c r="Q286" i="107" s="1"/>
  <c r="Q287" i="107" a="1"/>
  <c r="Q287" i="107" s="1"/>
  <c r="Q285" i="107" a="1"/>
  <c r="Q285" i="107" s="1"/>
  <c r="O286" i="106" a="1"/>
  <c r="O286" i="106" s="1"/>
  <c r="O287" i="106" a="1"/>
  <c r="O287" i="106" s="1"/>
  <c r="O285" i="106" a="1"/>
  <c r="O285" i="106" s="1"/>
  <c r="R286" i="103" a="1"/>
  <c r="R286" i="103" s="1"/>
  <c r="R287" i="103" a="1"/>
  <c r="R287" i="103" s="1"/>
  <c r="R285" i="103" a="1"/>
  <c r="R285" i="103" s="1"/>
  <c r="S287" i="105" a="1"/>
  <c r="S287" i="105" s="1"/>
  <c r="S285" i="105" a="1"/>
  <c r="S285" i="105" s="1"/>
  <c r="S301" i="105"/>
  <c r="S298" i="105"/>
  <c r="S286" i="105" a="1"/>
  <c r="S286" i="105" s="1"/>
  <c r="O287" i="104" a="1"/>
  <c r="O287" i="104" s="1"/>
  <c r="O286" i="104" a="1"/>
  <c r="O286" i="104" s="1"/>
  <c r="O285" i="104" a="1"/>
  <c r="O285" i="104" s="1"/>
  <c r="Q285" i="105" a="1"/>
  <c r="Q285" i="105" s="1"/>
  <c r="Q286" i="105" a="1"/>
  <c r="Q286" i="105" s="1"/>
  <c r="Q287" i="105" a="1"/>
  <c r="Q287" i="105" s="1"/>
  <c r="Q286" i="106" a="1"/>
  <c r="Q286" i="106" s="1"/>
  <c r="Q287" i="106" a="1"/>
  <c r="Q287" i="106" s="1"/>
  <c r="Q285" i="106" a="1"/>
  <c r="Q285" i="106" s="1"/>
  <c r="S285" i="104" a="1"/>
  <c r="S285" i="104" s="1"/>
  <c r="S298" i="104"/>
  <c r="S301" i="104"/>
  <c r="S287" i="104" a="1"/>
  <c r="S287" i="104" s="1"/>
  <c r="S286" i="104" a="1"/>
  <c r="S286" i="104" s="1"/>
  <c r="O287" i="107" a="1"/>
  <c r="O287" i="107" s="1"/>
  <c r="O286" i="107" a="1"/>
  <c r="O286" i="107" s="1"/>
  <c r="O285" i="107" a="1"/>
  <c r="O285" i="107" s="1"/>
  <c r="Q56" i="55" a="1"/>
  <c r="Q56" i="55" s="1"/>
  <c r="Q54" i="55" s="1"/>
  <c r="Q67" i="55"/>
  <c r="R56" i="55" a="1"/>
  <c r="R56" i="55" s="1"/>
  <c r="R54" i="55" s="1"/>
  <c r="R67" i="55"/>
  <c r="AG283" i="55"/>
  <c r="AG286" i="55" s="1" a="1"/>
  <c r="AG286" i="55" s="1"/>
  <c r="AG67" i="55"/>
  <c r="AH283" i="55"/>
  <c r="AH287" i="55" s="1" a="1"/>
  <c r="AH287" i="55" s="1"/>
  <c r="AH67" i="55"/>
  <c r="AI283" i="55"/>
  <c r="AI287" i="55" s="1" a="1"/>
  <c r="AI287" i="55" s="1"/>
  <c r="AI67" i="55"/>
  <c r="AE283" i="55"/>
  <c r="AE286" i="55" s="1" a="1"/>
  <c r="AE286" i="55" s="1"/>
  <c r="AE67" i="55"/>
  <c r="AC283" i="55"/>
  <c r="AC287" i="55" s="1" a="1"/>
  <c r="AC287" i="55" s="1"/>
  <c r="AC67" i="55"/>
  <c r="AD283" i="55"/>
  <c r="AD286" i="55" s="1" a="1"/>
  <c r="AD286" i="55" s="1"/>
  <c r="AD67" i="55"/>
  <c r="AB283" i="55"/>
  <c r="AB287" i="55" s="1" a="1"/>
  <c r="AB287" i="55" s="1"/>
  <c r="AB67" i="55"/>
  <c r="V283" i="55"/>
  <c r="U283" i="55"/>
  <c r="S283" i="55"/>
  <c r="S287" i="55" s="1" a="1"/>
  <c r="S287" i="55" s="1"/>
  <c r="R283" i="55"/>
  <c r="Q283" i="55"/>
  <c r="Q286" i="55" s="1" a="1"/>
  <c r="Q286" i="55" s="1"/>
  <c r="BD286" i="55" a="1"/>
  <c r="BD286" i="55" s="1"/>
  <c r="BD287" i="55" a="1"/>
  <c r="BD287" i="55" s="1"/>
  <c r="T286" i="55" a="1"/>
  <c r="T286" i="55" s="1"/>
  <c r="T287" i="55" a="1"/>
  <c r="T287" i="55" s="1"/>
  <c r="AA283" i="55"/>
  <c r="AR286" i="55" a="1"/>
  <c r="AR286" i="55" s="1"/>
  <c r="AR287" i="55" a="1"/>
  <c r="AR287" i="55" s="1"/>
  <c r="AF286" i="55" a="1"/>
  <c r="AF286" i="55" s="1"/>
  <c r="AF287" i="55" a="1"/>
  <c r="AF287" i="55" s="1"/>
  <c r="AH69" i="55"/>
  <c r="AH65" i="55"/>
  <c r="AG69" i="55"/>
  <c r="AG65" i="55"/>
  <c r="AE69" i="55"/>
  <c r="AE65" i="55"/>
  <c r="AI69" i="55"/>
  <c r="AI65" i="55"/>
  <c r="AD69" i="55"/>
  <c r="AD65" i="55"/>
  <c r="AB69" i="55"/>
  <c r="AB65" i="55"/>
  <c r="AC69" i="55"/>
  <c r="AC65" i="55"/>
  <c r="S65" i="55"/>
  <c r="V69" i="55"/>
  <c r="V65" i="55"/>
  <c r="U69" i="55"/>
  <c r="U65" i="55"/>
  <c r="AA66" i="55"/>
  <c r="AA69" i="55"/>
  <c r="R69" i="55"/>
  <c r="R65" i="55"/>
  <c r="AA65" i="55"/>
  <c r="Q69" i="55"/>
  <c r="Q65" i="55"/>
  <c r="W66" i="55"/>
  <c r="U66" i="55"/>
  <c r="V66" i="55"/>
  <c r="AG66" i="55"/>
  <c r="R66" i="55"/>
  <c r="Q66" i="55"/>
  <c r="AC66" i="55"/>
  <c r="AE66" i="55"/>
  <c r="AD66" i="55"/>
  <c r="AH66" i="55"/>
  <c r="AI66" i="55"/>
  <c r="S66" i="55"/>
  <c r="AB66" i="55"/>
  <c r="AD27" i="55"/>
  <c r="AD26" i="55"/>
  <c r="S27" i="55"/>
  <c r="S26" i="55"/>
  <c r="U27" i="55"/>
  <c r="U26" i="55"/>
  <c r="AE27" i="55"/>
  <c r="AE26" i="55"/>
  <c r="AC27" i="55"/>
  <c r="AC26" i="55"/>
  <c r="AI26" i="55"/>
  <c r="AI27" i="55"/>
  <c r="V27" i="55"/>
  <c r="V26" i="55"/>
  <c r="Q26" i="55"/>
  <c r="Q27" i="55"/>
  <c r="AA26" i="55"/>
  <c r="AA27" i="55"/>
  <c r="AH27" i="55"/>
  <c r="AH26" i="55"/>
  <c r="AG27" i="55"/>
  <c r="AG26" i="55"/>
  <c r="W27" i="55"/>
  <c r="W26" i="55"/>
  <c r="AB27" i="55"/>
  <c r="AB26" i="55"/>
  <c r="R27" i="55"/>
  <c r="R26" i="55"/>
  <c r="AI38" i="55"/>
  <c r="AI304" i="55"/>
  <c r="AI228" i="55"/>
  <c r="W235" i="55"/>
  <c r="W281" i="55"/>
  <c r="W304" i="55"/>
  <c r="AA235" i="55"/>
  <c r="AA242" i="55"/>
  <c r="AA263" i="55"/>
  <c r="AI59" i="55"/>
  <c r="AI235" i="55"/>
  <c r="AI263" i="55"/>
  <c r="AI242" i="55"/>
  <c r="W242" i="55"/>
  <c r="W59" i="55"/>
  <c r="AB242" i="55"/>
  <c r="AB263" i="55"/>
  <c r="AB38" i="55"/>
  <c r="AB281" i="55"/>
  <c r="AB304" i="55"/>
  <c r="AB228" i="55"/>
  <c r="W263" i="55"/>
  <c r="AB59" i="55"/>
  <c r="W38" i="55"/>
  <c r="P17" i="55"/>
  <c r="AA281" i="55"/>
  <c r="AA38" i="55"/>
  <c r="AA304" i="55"/>
  <c r="AA228" i="55"/>
  <c r="AH235" i="55"/>
  <c r="AH38" i="55"/>
  <c r="AH263" i="55"/>
  <c r="V38" i="55"/>
  <c r="R228" i="55"/>
  <c r="U38" i="55"/>
  <c r="V281" i="55"/>
  <c r="V235" i="55"/>
  <c r="S59" i="55"/>
  <c r="V59" i="55"/>
  <c r="AE263" i="55"/>
  <c r="V242" i="55"/>
  <c r="V304" i="55"/>
  <c r="AH304" i="55"/>
  <c r="AH242" i="55"/>
  <c r="AH59" i="55"/>
  <c r="AH281" i="55"/>
  <c r="U281" i="55"/>
  <c r="S242" i="55"/>
  <c r="AE235" i="55"/>
  <c r="U228" i="55"/>
  <c r="S228" i="55"/>
  <c r="AE38" i="55"/>
  <c r="U235" i="55"/>
  <c r="S304" i="55"/>
  <c r="AE242" i="55"/>
  <c r="U59" i="55"/>
  <c r="V263" i="55"/>
  <c r="U242" i="55"/>
  <c r="V228" i="55"/>
  <c r="U304" i="55"/>
  <c r="U263" i="55"/>
  <c r="R281" i="55"/>
  <c r="AE304" i="55"/>
  <c r="AE281" i="55"/>
  <c r="AE228" i="55"/>
  <c r="AE59" i="55"/>
  <c r="R263" i="55"/>
  <c r="Q235" i="55"/>
  <c r="Q281" i="55"/>
  <c r="Q263" i="55"/>
  <c r="Q38" i="55"/>
  <c r="R38" i="55"/>
  <c r="Q242" i="55"/>
  <c r="S263" i="55"/>
  <c r="Q59" i="55"/>
  <c r="R59" i="55"/>
  <c r="S281" i="55"/>
  <c r="Q304" i="55"/>
  <c r="R235" i="55"/>
  <c r="S235" i="55"/>
  <c r="Q228" i="55"/>
  <c r="R242" i="55"/>
  <c r="R304" i="55"/>
  <c r="S38" i="55"/>
  <c r="R32" i="55"/>
  <c r="Q32" i="55"/>
  <c r="V32" i="55"/>
  <c r="U32" i="55"/>
  <c r="S32" i="55"/>
  <c r="AB32" i="55"/>
  <c r="AG32" i="55"/>
  <c r="AH32" i="55"/>
  <c r="AE32" i="55"/>
  <c r="AD32" i="55"/>
  <c r="AC32" i="55"/>
  <c r="AD228" i="55"/>
  <c r="AD281" i="55"/>
  <c r="AD242" i="55"/>
  <c r="AD235" i="55"/>
  <c r="AD304" i="55"/>
  <c r="AD38" i="55"/>
  <c r="AD263" i="55"/>
  <c r="AD59" i="55"/>
  <c r="AC59" i="55"/>
  <c r="AC228" i="55"/>
  <c r="AC281" i="55"/>
  <c r="AC235" i="55"/>
  <c r="AC304" i="55"/>
  <c r="AC38" i="55"/>
  <c r="AC242" i="55"/>
  <c r="AC263" i="55"/>
  <c r="AG228" i="55"/>
  <c r="AG263" i="55"/>
  <c r="AG38" i="55"/>
  <c r="AG281" i="55"/>
  <c r="AG242" i="55"/>
  <c r="AG304" i="55"/>
  <c r="AG235" i="55"/>
  <c r="AG59" i="55"/>
  <c r="P21" i="55"/>
  <c r="P289" i="55" s="1"/>
  <c r="P22" i="55"/>
  <c r="Q47" i="23"/>
  <c r="Q53" i="23"/>
  <c r="Q52" i="23"/>
  <c r="Q124" i="23"/>
  <c r="Q41" i="23"/>
  <c r="Q46" i="23"/>
  <c r="Q58" i="23"/>
  <c r="Q28" i="23"/>
  <c r="Q59" i="23"/>
  <c r="Q65" i="23"/>
  <c r="Q64" i="23"/>
  <c r="Q40" i="23"/>
  <c r="Q139" i="23"/>
  <c r="Q27" i="23"/>
  <c r="P65" i="23"/>
  <c r="P28" i="23"/>
  <c r="P64" i="23"/>
  <c r="P27" i="23"/>
  <c r="P58" i="23"/>
  <c r="P41" i="23"/>
  <c r="P40" i="23"/>
  <c r="P59" i="23"/>
  <c r="P46" i="23"/>
  <c r="P53" i="23"/>
  <c r="P124" i="23"/>
  <c r="P139" i="23"/>
  <c r="P52" i="23"/>
  <c r="P47" i="23"/>
  <c r="O53" i="23"/>
  <c r="O124" i="23"/>
  <c r="O41" i="23"/>
  <c r="O59" i="23"/>
  <c r="O40" i="23"/>
  <c r="O58" i="23"/>
  <c r="O28" i="23"/>
  <c r="O139" i="23"/>
  <c r="O52" i="23"/>
  <c r="O27" i="23"/>
  <c r="O64" i="23"/>
  <c r="O65" i="23"/>
  <c r="O47" i="23"/>
  <c r="O46" i="23"/>
  <c r="N59" i="23"/>
  <c r="N58" i="23"/>
  <c r="N28" i="23"/>
  <c r="N64" i="23"/>
  <c r="N41" i="23"/>
  <c r="N46" i="23"/>
  <c r="N40" i="23"/>
  <c r="N139" i="23"/>
  <c r="N47" i="23"/>
  <c r="N53" i="23"/>
  <c r="N27" i="23"/>
  <c r="N65" i="23"/>
  <c r="N52" i="23"/>
  <c r="R65" i="23"/>
  <c r="R139" i="23"/>
  <c r="R41" i="23"/>
  <c r="R40" i="23"/>
  <c r="R27" i="23"/>
  <c r="R58" i="23"/>
  <c r="R47" i="23"/>
  <c r="R28" i="23"/>
  <c r="R59" i="23"/>
  <c r="R52" i="23"/>
  <c r="R46" i="23"/>
  <c r="R64" i="23"/>
  <c r="R53" i="23"/>
  <c r="R124" i="23"/>
  <c r="Q26" i="23"/>
  <c r="P39" i="23"/>
  <c r="O26" i="23"/>
  <c r="R57" i="23"/>
  <c r="P51" i="23"/>
  <c r="Q51" i="23"/>
  <c r="P45" i="23"/>
  <c r="P57" i="23"/>
  <c r="Q39" i="23"/>
  <c r="N26" i="23"/>
  <c r="O57" i="23"/>
  <c r="O39" i="23"/>
  <c r="R39" i="23"/>
  <c r="R26" i="23"/>
  <c r="N39" i="23"/>
  <c r="R51" i="23"/>
  <c r="O51" i="23"/>
  <c r="N51" i="23"/>
  <c r="O45" i="23"/>
  <c r="Q57" i="23"/>
  <c r="N57" i="23"/>
  <c r="R45" i="23"/>
  <c r="N45" i="23"/>
  <c r="Q45" i="23"/>
  <c r="P26" i="23"/>
  <c r="P59" i="55" l="1"/>
  <c r="P63" i="55"/>
  <c r="P61" i="55"/>
  <c r="AH248" i="106"/>
  <c r="AF248" i="106"/>
  <c r="AG248" i="106"/>
  <c r="AI248" i="106"/>
  <c r="AE248" i="106"/>
  <c r="AE157" i="106"/>
  <c r="AD248" i="106"/>
  <c r="AC248" i="106"/>
  <c r="AC248" i="105"/>
  <c r="AF248" i="105"/>
  <c r="AE157" i="105"/>
  <c r="AH248" i="105"/>
  <c r="AD248" i="105"/>
  <c r="AE248" i="105"/>
  <c r="AI248" i="105"/>
  <c r="AG248" i="105"/>
  <c r="AD248" i="107"/>
  <c r="AF248" i="107"/>
  <c r="AI248" i="107"/>
  <c r="AC248" i="107"/>
  <c r="AG248" i="107"/>
  <c r="AE248" i="107"/>
  <c r="AE157" i="107"/>
  <c r="AH248" i="107"/>
  <c r="AD248" i="104"/>
  <c r="AE157" i="104"/>
  <c r="AE248" i="104"/>
  <c r="AF248" i="104"/>
  <c r="AG248" i="104"/>
  <c r="AH248" i="104"/>
  <c r="AC248" i="104"/>
  <c r="AI248" i="104"/>
  <c r="AB247" i="105"/>
  <c r="AA247" i="105"/>
  <c r="AD205" i="105"/>
  <c r="AD207" i="105" s="1"/>
  <c r="AD12" i="105"/>
  <c r="AD13" i="103"/>
  <c r="AA309" i="103"/>
  <c r="AF309" i="103"/>
  <c r="AI309" i="103"/>
  <c r="AD309" i="103"/>
  <c r="AG309" i="103"/>
  <c r="AB309" i="103"/>
  <c r="AC309" i="103"/>
  <c r="AE309" i="103"/>
  <c r="AH309" i="103"/>
  <c r="AD248" i="103"/>
  <c r="AE248" i="103"/>
  <c r="AH248" i="103"/>
  <c r="AF248" i="103"/>
  <c r="AG248" i="103"/>
  <c r="AE157" i="103"/>
  <c r="AI248" i="103"/>
  <c r="AC248" i="103"/>
  <c r="AD13" i="104"/>
  <c r="AB309" i="104"/>
  <c r="AA309" i="104"/>
  <c r="AH309" i="104"/>
  <c r="AF309" i="104"/>
  <c r="AC309" i="104"/>
  <c r="AI309" i="104"/>
  <c r="AD309" i="104"/>
  <c r="AE309" i="104"/>
  <c r="AG309" i="104"/>
  <c r="AD13" i="105"/>
  <c r="AB309" i="105"/>
  <c r="AI309" i="105"/>
  <c r="AG309" i="105"/>
  <c r="AD309" i="105"/>
  <c r="AF309" i="105"/>
  <c r="AC309" i="105"/>
  <c r="AA309" i="105"/>
  <c r="AH309" i="105"/>
  <c r="AE309" i="105"/>
  <c r="AB247" i="103"/>
  <c r="AD205" i="103"/>
  <c r="AD207" i="103" s="1"/>
  <c r="AD12" i="103"/>
  <c r="AA247" i="103"/>
  <c r="AD13" i="106"/>
  <c r="AG309" i="106"/>
  <c r="AI309" i="106"/>
  <c r="AD309" i="106"/>
  <c r="AC309" i="106"/>
  <c r="AE309" i="106"/>
  <c r="AF309" i="106"/>
  <c r="AB309" i="106"/>
  <c r="AH309" i="106"/>
  <c r="AA309" i="106"/>
  <c r="AB247" i="104"/>
  <c r="AD12" i="104"/>
  <c r="AD205" i="104"/>
  <c r="AD207" i="104" s="1"/>
  <c r="AA247" i="104"/>
  <c r="AD13" i="107"/>
  <c r="AD309" i="107"/>
  <c r="AE309" i="107"/>
  <c r="AB309" i="107"/>
  <c r="AA309" i="107"/>
  <c r="AG309" i="107"/>
  <c r="AF309" i="107"/>
  <c r="AH309" i="107"/>
  <c r="AI309" i="107"/>
  <c r="AC309" i="107"/>
  <c r="AB247" i="106"/>
  <c r="AD205" i="106"/>
  <c r="AD207" i="106" s="1"/>
  <c r="AD12" i="106"/>
  <c r="AA247" i="106"/>
  <c r="AB247" i="107"/>
  <c r="AD12" i="107"/>
  <c r="AA247" i="107"/>
  <c r="AD205" i="107"/>
  <c r="AD207" i="107" s="1"/>
  <c r="P67" i="55"/>
  <c r="P51" i="55"/>
  <c r="S297" i="103"/>
  <c r="S300" i="103" a="1"/>
  <c r="S300" i="103" s="1"/>
  <c r="S300" i="107" a="1"/>
  <c r="S300" i="107" s="1"/>
  <c r="S297" i="107"/>
  <c r="S297" i="104"/>
  <c r="S300" i="104" a="1"/>
  <c r="S300" i="104" s="1"/>
  <c r="S300" i="105" a="1"/>
  <c r="S300" i="105" s="1"/>
  <c r="S297" i="105"/>
  <c r="S297" i="106"/>
  <c r="S300" i="106" a="1"/>
  <c r="S300" i="106" s="1"/>
  <c r="AN230" i="106"/>
  <c r="AM230" i="104"/>
  <c r="AE287" i="55" a="1"/>
  <c r="AE287" i="55" s="1"/>
  <c r="AG287" i="55" a="1"/>
  <c r="AG287" i="55" s="1"/>
  <c r="AC286" i="55" a="1"/>
  <c r="AC286" i="55" s="1"/>
  <c r="AH286" i="55" a="1"/>
  <c r="AH286" i="55" s="1"/>
  <c r="AD287" i="55" a="1"/>
  <c r="AD287" i="55" s="1"/>
  <c r="AB286" i="55" a="1"/>
  <c r="AB286" i="55" s="1"/>
  <c r="AI286" i="55" a="1"/>
  <c r="AI286" i="55" s="1"/>
  <c r="S286" i="55" a="1"/>
  <c r="S286" i="55" s="1"/>
  <c r="V287" i="55" a="1"/>
  <c r="V287" i="55" s="1"/>
  <c r="V286" i="55" a="1"/>
  <c r="V286" i="55" s="1"/>
  <c r="U286" i="55" a="1"/>
  <c r="U286" i="55" s="1"/>
  <c r="U287" i="55" a="1"/>
  <c r="U287" i="55" s="1"/>
  <c r="R286" i="55" a="1"/>
  <c r="R286" i="55" s="1"/>
  <c r="R287" i="55" a="1"/>
  <c r="R287" i="55" s="1"/>
  <c r="Q287" i="55" a="1"/>
  <c r="Q287" i="55" s="1"/>
  <c r="AA287" i="55" a="1"/>
  <c r="AA287" i="55" s="1"/>
  <c r="AA286" i="55" a="1"/>
  <c r="AA286" i="55" s="1"/>
  <c r="V28" i="55"/>
  <c r="AI28" i="55"/>
  <c r="Y26" i="55"/>
  <c r="P66" i="55"/>
  <c r="AA28" i="55"/>
  <c r="AG28" i="55"/>
  <c r="U28" i="55"/>
  <c r="Q28" i="55"/>
  <c r="W28" i="55"/>
  <c r="AE28" i="55"/>
  <c r="P27" i="55"/>
  <c r="P26" i="55"/>
  <c r="R28" i="55"/>
  <c r="AH28" i="55"/>
  <c r="S28" i="55"/>
  <c r="AB28" i="55"/>
  <c r="AC28" i="55"/>
  <c r="AD28" i="55"/>
  <c r="P38" i="55"/>
  <c r="P263" i="55"/>
  <c r="P228" i="55"/>
  <c r="P281" i="55"/>
  <c r="P242" i="55"/>
  <c r="P235" i="55"/>
  <c r="P304" i="55"/>
  <c r="Y27" i="55"/>
  <c r="Y247" i="103" l="1"/>
  <c r="Y247" i="105"/>
  <c r="Y247" i="106"/>
  <c r="Y247" i="107"/>
  <c r="Y309" i="107"/>
  <c r="Y309" i="104"/>
  <c r="Y309" i="106"/>
  <c r="Y309" i="105"/>
  <c r="AE174" i="105"/>
  <c r="AE190" i="105" s="1"/>
  <c r="AE194" i="105" s="1"/>
  <c r="AE162" i="105"/>
  <c r="AE165" i="105"/>
  <c r="AE162" i="106"/>
  <c r="AE165" i="106"/>
  <c r="AE174" i="106"/>
  <c r="AE190" i="106" s="1"/>
  <c r="AE194" i="106" s="1"/>
  <c r="AE174" i="107"/>
  <c r="AE190" i="107" s="1"/>
  <c r="AE194" i="107" s="1"/>
  <c r="AE165" i="107"/>
  <c r="AE162" i="107"/>
  <c r="AE165" i="103"/>
  <c r="AE162" i="103"/>
  <c r="AE174" i="103"/>
  <c r="AE190" i="103" s="1"/>
  <c r="AE194" i="103" s="1"/>
  <c r="AE174" i="104"/>
  <c r="AE190" i="104" s="1"/>
  <c r="AE194" i="104" s="1"/>
  <c r="AE162" i="104"/>
  <c r="AE165" i="104"/>
  <c r="Y247" i="104"/>
  <c r="Y309" i="103"/>
  <c r="AN298" i="106"/>
  <c r="AN301" i="106"/>
  <c r="AM230" i="106"/>
  <c r="AM78" i="106"/>
  <c r="AK54" i="106"/>
  <c r="AM230" i="105"/>
  <c r="AM301" i="104"/>
  <c r="AM298" i="104"/>
  <c r="R295" i="55"/>
  <c r="AD295" i="55"/>
  <c r="AE295" i="55"/>
  <c r="AI295" i="55"/>
  <c r="AC295" i="55"/>
  <c r="W295" i="55"/>
  <c r="V295" i="55"/>
  <c r="AB295" i="55"/>
  <c r="Q295" i="55"/>
  <c r="S295" i="55"/>
  <c r="U295" i="55"/>
  <c r="AA295" i="55"/>
  <c r="AG295" i="55"/>
  <c r="AH295" i="55"/>
  <c r="AI78" i="55"/>
  <c r="AI171" i="55" s="1"/>
  <c r="AA274" i="55"/>
  <c r="Y28" i="55"/>
  <c r="Y29" i="55" s="1"/>
  <c r="P28" i="55"/>
  <c r="P295" i="55" s="1"/>
  <c r="R41" i="24"/>
  <c r="S41" i="24"/>
  <c r="T41" i="24"/>
  <c r="U41" i="24"/>
  <c r="V41" i="24"/>
  <c r="R42" i="24"/>
  <c r="S42" i="24"/>
  <c r="T42" i="24"/>
  <c r="U42" i="24"/>
  <c r="V42" i="24"/>
  <c r="R43" i="24"/>
  <c r="S43" i="24"/>
  <c r="T43" i="24"/>
  <c r="U43" i="24"/>
  <c r="V43" i="24"/>
  <c r="I42" i="24"/>
  <c r="I43" i="24"/>
  <c r="I41" i="24"/>
  <c r="R39" i="24"/>
  <c r="R40" i="24" s="1"/>
  <c r="S39" i="24"/>
  <c r="S40" i="24" s="1"/>
  <c r="T39" i="24"/>
  <c r="T40" i="24" s="1"/>
  <c r="U39" i="24"/>
  <c r="U40" i="24" s="1"/>
  <c r="V39" i="24"/>
  <c r="V40" i="24" s="1"/>
  <c r="I39" i="24"/>
  <c r="I40" i="24" s="1"/>
  <c r="I32" i="24"/>
  <c r="J32" i="24" s="1"/>
  <c r="K32" i="24" s="1"/>
  <c r="L32" i="24" s="1"/>
  <c r="M32" i="24" s="1"/>
  <c r="N32" i="24" s="1"/>
  <c r="O32" i="24" s="1"/>
  <c r="P32" i="24" s="1"/>
  <c r="Q32" i="24" s="1"/>
  <c r="R32" i="24" s="1"/>
  <c r="S32" i="24" s="1"/>
  <c r="T32" i="24" s="1"/>
  <c r="U32" i="24" s="1"/>
  <c r="V32" i="24" s="1"/>
  <c r="DX26" i="24"/>
  <c r="DY26" i="24"/>
  <c r="DZ26" i="24"/>
  <c r="EA26" i="24"/>
  <c r="EB26" i="24"/>
  <c r="DW26" i="24"/>
  <c r="Q136" i="23"/>
  <c r="P136" i="23"/>
  <c r="O136" i="23"/>
  <c r="N136" i="23"/>
  <c r="R136" i="23"/>
  <c r="AE205" i="103" l="1"/>
  <c r="AE207" i="103" s="1"/>
  <c r="AE12" i="103"/>
  <c r="AA248" i="103"/>
  <c r="AB248" i="103"/>
  <c r="AE13" i="105"/>
  <c r="AF310" i="105"/>
  <c r="AA310" i="105"/>
  <c r="AC310" i="105"/>
  <c r="AD310" i="105"/>
  <c r="AI310" i="105"/>
  <c r="AE310" i="105"/>
  <c r="AB310" i="105"/>
  <c r="AH310" i="105"/>
  <c r="AG310" i="105"/>
  <c r="AF310" i="103"/>
  <c r="AE13" i="103"/>
  <c r="AH310" i="103"/>
  <c r="AB310" i="103"/>
  <c r="AC310" i="103"/>
  <c r="AA310" i="103"/>
  <c r="AE310" i="103"/>
  <c r="AG310" i="103"/>
  <c r="AD310" i="103"/>
  <c r="AI310" i="103"/>
  <c r="AE205" i="105"/>
  <c r="AE207" i="105" s="1"/>
  <c r="AE12" i="105"/>
  <c r="AA248" i="105"/>
  <c r="AB248" i="105"/>
  <c r="AE12" i="106"/>
  <c r="AE205" i="106"/>
  <c r="AE207" i="106" s="1"/>
  <c r="AA248" i="106"/>
  <c r="AB248" i="106"/>
  <c r="AE12" i="107"/>
  <c r="AE205" i="107"/>
  <c r="AE207" i="107" s="1"/>
  <c r="AA248" i="107"/>
  <c r="AB248" i="107"/>
  <c r="AE13" i="107"/>
  <c r="AC310" i="107"/>
  <c r="AD310" i="107"/>
  <c r="AA310" i="107"/>
  <c r="AI310" i="107"/>
  <c r="AF310" i="107"/>
  <c r="AG310" i="107"/>
  <c r="AE310" i="107"/>
  <c r="AB310" i="107"/>
  <c r="AH310" i="107"/>
  <c r="AE13" i="104"/>
  <c r="AI310" i="104"/>
  <c r="AH310" i="104"/>
  <c r="AA310" i="104"/>
  <c r="AF310" i="104"/>
  <c r="AE310" i="104"/>
  <c r="AB310" i="104"/>
  <c r="AD310" i="104"/>
  <c r="AG310" i="104"/>
  <c r="AC310" i="104"/>
  <c r="AE205" i="104"/>
  <c r="AE207" i="104" s="1"/>
  <c r="AE12" i="104"/>
  <c r="AA248" i="104"/>
  <c r="AB248" i="104"/>
  <c r="AE13" i="106"/>
  <c r="AE310" i="106"/>
  <c r="AC310" i="106"/>
  <c r="AG310" i="106"/>
  <c r="AB310" i="106"/>
  <c r="AF310" i="106"/>
  <c r="AA310" i="106"/>
  <c r="AI310" i="106"/>
  <c r="AH310" i="106"/>
  <c r="AD310" i="106"/>
  <c r="P53" i="55"/>
  <c r="P53" i="103"/>
  <c r="Q230" i="106"/>
  <c r="Q298" i="106" s="1"/>
  <c r="S230" i="106"/>
  <c r="S230" i="105"/>
  <c r="S230" i="103"/>
  <c r="Q230" i="105"/>
  <c r="S230" i="107"/>
  <c r="S230" i="104"/>
  <c r="R230" i="106"/>
  <c r="R230" i="103"/>
  <c r="R230" i="107"/>
  <c r="R230" i="105"/>
  <c r="R230" i="104"/>
  <c r="Q230" i="103"/>
  <c r="Q230" i="107"/>
  <c r="Q230" i="104"/>
  <c r="P230" i="107"/>
  <c r="AN230" i="107"/>
  <c r="P230" i="106"/>
  <c r="AM298" i="106"/>
  <c r="AM301" i="106"/>
  <c r="AT237" i="106"/>
  <c r="AQ237" i="106"/>
  <c r="AU237" i="106"/>
  <c r="AM237" i="106"/>
  <c r="AP237" i="106"/>
  <c r="AN237" i="106"/>
  <c r="AR237" i="106"/>
  <c r="AS237" i="106"/>
  <c r="AO237" i="106"/>
  <c r="AM88" i="106"/>
  <c r="AM191" i="106" s="1"/>
  <c r="AK78" i="106"/>
  <c r="AN300" i="106" a="1"/>
  <c r="AN300" i="106" s="1"/>
  <c r="AN297" i="106"/>
  <c r="P230" i="105"/>
  <c r="AM301" i="105"/>
  <c r="AM298" i="105"/>
  <c r="P230" i="104"/>
  <c r="AM297" i="104"/>
  <c r="AM300" i="104" a="1"/>
  <c r="AM300" i="104" s="1"/>
  <c r="AN230" i="103"/>
  <c r="BC53" i="55"/>
  <c r="M68" i="43"/>
  <c r="AN53" i="55"/>
  <c r="AE53" i="55"/>
  <c r="AE56" i="55" s="1" a="1"/>
  <c r="AE56" i="55" s="1"/>
  <c r="AE54" i="55" s="1"/>
  <c r="AH53" i="55"/>
  <c r="AH56" i="55" s="1" a="1"/>
  <c r="AH56" i="55" s="1"/>
  <c r="AH54" i="55" s="1"/>
  <c r="AF53" i="55"/>
  <c r="AF56" i="55" s="1" a="1"/>
  <c r="AF56" i="55" s="1"/>
  <c r="AF54" i="55" s="1"/>
  <c r="AD53" i="55"/>
  <c r="AD56" i="55" s="1" a="1"/>
  <c r="AD56" i="55" s="1"/>
  <c r="AD54" i="55" s="1"/>
  <c r="AI53" i="55"/>
  <c r="AI56" i="55" s="1" a="1"/>
  <c r="AI56" i="55" s="1"/>
  <c r="AI54" i="55" s="1"/>
  <c r="AC53" i="55"/>
  <c r="AC56" i="55" s="1" a="1"/>
  <c r="AC56" i="55" s="1"/>
  <c r="AC54" i="55" s="1"/>
  <c r="AG53" i="55"/>
  <c r="AG56" i="55" s="1" a="1"/>
  <c r="AG56" i="55" s="1"/>
  <c r="AG54" i="55" s="1"/>
  <c r="AU53" i="55"/>
  <c r="T53" i="55"/>
  <c r="T56" i="55" s="1" a="1"/>
  <c r="T56" i="55" s="1"/>
  <c r="T54" i="55" s="1"/>
  <c r="BE53" i="55"/>
  <c r="BF53" i="55"/>
  <c r="U53" i="55"/>
  <c r="U56" i="55" s="1" a="1"/>
  <c r="U56" i="55" s="1"/>
  <c r="U54" i="55" s="1"/>
  <c r="V53" i="55"/>
  <c r="V56" i="55" s="1" a="1"/>
  <c r="V56" i="55" s="1"/>
  <c r="V54" i="55" s="1"/>
  <c r="S53" i="55"/>
  <c r="BD53" i="55"/>
  <c r="BD56" i="55" s="1" a="1"/>
  <c r="BD56" i="55" s="1"/>
  <c r="BD54" i="55" s="1"/>
  <c r="BA53" i="55"/>
  <c r="BB53" i="55"/>
  <c r="BG53" i="55"/>
  <c r="AZ53" i="55"/>
  <c r="AS53" i="55"/>
  <c r="AT53" i="55"/>
  <c r="AR53" i="55"/>
  <c r="AR56" i="55" s="1" a="1"/>
  <c r="AR56" i="55" s="1"/>
  <c r="AR54" i="55" s="1"/>
  <c r="AB53" i="55"/>
  <c r="AO53" i="55"/>
  <c r="AP53" i="55"/>
  <c r="AQ53" i="55"/>
  <c r="AA53" i="55"/>
  <c r="CT26" i="24"/>
  <c r="CU26" i="24"/>
  <c r="J26" i="24"/>
  <c r="DV26" i="24"/>
  <c r="DU26" i="24"/>
  <c r="W53" i="55"/>
  <c r="W56" i="55" s="1" a="1"/>
  <c r="W56" i="55" s="1"/>
  <c r="W54" i="55" s="1"/>
  <c r="P290" i="103" l="1"/>
  <c r="P56" i="103" a="1"/>
  <c r="P56" i="103" s="1"/>
  <c r="P62" i="103"/>
  <c r="AB56" i="55" a="1"/>
  <c r="AB56" i="55" s="1"/>
  <c r="AB54" i="55" s="1"/>
  <c r="P56" i="55" a="1"/>
  <c r="P56" i="55" s="1"/>
  <c r="P54" i="55" s="1"/>
  <c r="S56" i="55" a="1"/>
  <c r="S56" i="55" s="1"/>
  <c r="S54" i="55" s="1"/>
  <c r="Y248" i="104"/>
  <c r="Y310" i="107"/>
  <c r="Y248" i="106"/>
  <c r="Y310" i="105"/>
  <c r="Y310" i="106"/>
  <c r="Y310" i="103"/>
  <c r="Y310" i="104"/>
  <c r="Y248" i="107"/>
  <c r="Y248" i="105"/>
  <c r="Y248" i="103"/>
  <c r="Q301" i="106"/>
  <c r="Q301" i="105"/>
  <c r="Q298" i="105"/>
  <c r="O230" i="107"/>
  <c r="O298" i="107" s="1"/>
  <c r="O230" i="104"/>
  <c r="O301" i="104" s="1"/>
  <c r="O230" i="105"/>
  <c r="O298" i="105" s="1"/>
  <c r="O230" i="103"/>
  <c r="O301" i="103" s="1"/>
  <c r="O230" i="106"/>
  <c r="O301" i="106" s="1"/>
  <c r="R298" i="103"/>
  <c r="R301" i="103"/>
  <c r="R301" i="104"/>
  <c r="R298" i="104"/>
  <c r="R301" i="106"/>
  <c r="R298" i="106"/>
  <c r="R298" i="105"/>
  <c r="R301" i="105"/>
  <c r="R298" i="107"/>
  <c r="R301" i="107"/>
  <c r="Q298" i="104"/>
  <c r="Q301" i="104"/>
  <c r="Q298" i="107"/>
  <c r="Q301" i="107"/>
  <c r="Q301" i="103"/>
  <c r="Q298" i="103"/>
  <c r="Q297" i="106"/>
  <c r="Q300" i="106" a="1"/>
  <c r="Q300" i="106" s="1"/>
  <c r="AM91" i="106"/>
  <c r="AM217" i="106" s="1"/>
  <c r="AK217" i="106" s="1"/>
  <c r="AM230" i="107"/>
  <c r="AM78" i="107"/>
  <c r="AK54" i="107"/>
  <c r="AN298" i="107"/>
  <c r="AN301" i="107"/>
  <c r="AY230" i="107"/>
  <c r="AY78" i="107"/>
  <c r="AW54" i="107"/>
  <c r="AM195" i="106"/>
  <c r="AN272" i="106"/>
  <c r="AY230" i="106"/>
  <c r="AY78" i="106"/>
  <c r="AW54" i="106"/>
  <c r="AK237" i="106"/>
  <c r="AM272" i="106"/>
  <c r="AM297" i="106"/>
  <c r="AM300" i="106" a="1"/>
  <c r="AM300" i="106" s="1"/>
  <c r="AM297" i="105"/>
  <c r="AM300" i="105" a="1"/>
  <c r="AM300" i="105" s="1"/>
  <c r="AY230" i="105"/>
  <c r="AY78" i="105"/>
  <c r="AW54" i="105"/>
  <c r="AN230" i="105"/>
  <c r="AK54" i="105"/>
  <c r="AM78" i="105"/>
  <c r="AN230" i="104"/>
  <c r="AM78" i="104"/>
  <c r="AK54" i="104"/>
  <c r="AY230" i="104"/>
  <c r="AY78" i="104"/>
  <c r="AW54" i="104"/>
  <c r="AY230" i="103"/>
  <c r="AY78" i="103"/>
  <c r="AW54" i="103"/>
  <c r="AN298" i="103"/>
  <c r="AN301" i="103"/>
  <c r="AM230" i="103"/>
  <c r="AM78" i="103"/>
  <c r="AK54" i="103"/>
  <c r="AA56" i="55" a="1"/>
  <c r="AA56" i="55" s="1"/>
  <c r="AA54" i="55" s="1"/>
  <c r="K26" i="24"/>
  <c r="Q122" i="23"/>
  <c r="Q137" i="23"/>
  <c r="P122" i="23"/>
  <c r="P137" i="23"/>
  <c r="O137" i="23"/>
  <c r="O122" i="23"/>
  <c r="N122" i="23"/>
  <c r="N137" i="23"/>
  <c r="R137" i="23"/>
  <c r="R122" i="23"/>
  <c r="O301" i="105" l="1"/>
  <c r="AA34" i="107"/>
  <c r="AA64" i="107" s="1"/>
  <c r="AA34" i="104"/>
  <c r="AA64" i="104" s="1"/>
  <c r="AA34" i="105"/>
  <c r="AA64" i="105" s="1"/>
  <c r="AA34" i="106"/>
  <c r="AA64" i="106" s="1"/>
  <c r="AA34" i="103"/>
  <c r="AA64" i="103" s="1"/>
  <c r="P230" i="103"/>
  <c r="Q297" i="105"/>
  <c r="Q300" i="105" a="1"/>
  <c r="Q300" i="105" s="1"/>
  <c r="O298" i="104"/>
  <c r="O300" i="104" s="1" a="1"/>
  <c r="O300" i="104" s="1"/>
  <c r="O301" i="107"/>
  <c r="O298" i="106"/>
  <c r="O300" i="106" s="1" a="1"/>
  <c r="O300" i="106" s="1"/>
  <c r="O298" i="103"/>
  <c r="O300" i="103" s="1" a="1"/>
  <c r="O300" i="103" s="1"/>
  <c r="AK272" i="106"/>
  <c r="R300" i="104" a="1"/>
  <c r="R300" i="104" s="1"/>
  <c r="R297" i="104"/>
  <c r="R297" i="105"/>
  <c r="R300" i="105" a="1"/>
  <c r="R300" i="105" s="1"/>
  <c r="R300" i="106" a="1"/>
  <c r="R300" i="106" s="1"/>
  <c r="R297" i="106"/>
  <c r="R297" i="107"/>
  <c r="R300" i="107" a="1"/>
  <c r="R300" i="107" s="1"/>
  <c r="R300" i="103" a="1"/>
  <c r="R300" i="103" s="1"/>
  <c r="R297" i="103"/>
  <c r="Q297" i="107"/>
  <c r="Q300" i="107" a="1"/>
  <c r="Q300" i="107" s="1"/>
  <c r="Q300" i="103" a="1"/>
  <c r="Q300" i="103" s="1"/>
  <c r="Q297" i="103"/>
  <c r="Q297" i="104"/>
  <c r="Q300" i="104" a="1"/>
  <c r="Q300" i="104" s="1"/>
  <c r="AM97" i="106"/>
  <c r="AM115" i="106" s="1"/>
  <c r="AZ237" i="107"/>
  <c r="BF237" i="107"/>
  <c r="BG237" i="107"/>
  <c r="BA237" i="107"/>
  <c r="BC237" i="107"/>
  <c r="BD237" i="107"/>
  <c r="AY237" i="107"/>
  <c r="BE237" i="107"/>
  <c r="BB237" i="107"/>
  <c r="AM88" i="107"/>
  <c r="AM91" i="107" s="1"/>
  <c r="AM217" i="107" s="1"/>
  <c r="AK217" i="107" s="1"/>
  <c r="AK78" i="107"/>
  <c r="O300" i="107" a="1"/>
  <c r="O300" i="107" s="1"/>
  <c r="O297" i="107"/>
  <c r="AM157" i="106"/>
  <c r="AK157" i="106" s="1"/>
  <c r="AY88" i="107"/>
  <c r="AW78" i="107"/>
  <c r="AP237" i="107"/>
  <c r="AN237" i="107"/>
  <c r="AM237" i="107"/>
  <c r="AQ237" i="107"/>
  <c r="AR237" i="107"/>
  <c r="AO237" i="107"/>
  <c r="AS237" i="107"/>
  <c r="AU237" i="107"/>
  <c r="AT237" i="107"/>
  <c r="AY298" i="107"/>
  <c r="AY301" i="107"/>
  <c r="AN297" i="107"/>
  <c r="AN300" i="107" a="1"/>
  <c r="AN300" i="107" s="1"/>
  <c r="AM301" i="107"/>
  <c r="AM298" i="107"/>
  <c r="AY88" i="106"/>
  <c r="AY191" i="106" s="1"/>
  <c r="AW78" i="106"/>
  <c r="BG237" i="106"/>
  <c r="BE237" i="106"/>
  <c r="BC237" i="106"/>
  <c r="BA237" i="106"/>
  <c r="AY237" i="106"/>
  <c r="BB237" i="106"/>
  <c r="BF237" i="106"/>
  <c r="AZ237" i="106"/>
  <c r="BD237" i="106"/>
  <c r="AY298" i="106"/>
  <c r="AY301" i="106"/>
  <c r="AP237" i="105"/>
  <c r="AU237" i="105"/>
  <c r="AN237" i="105"/>
  <c r="AR237" i="105"/>
  <c r="AS237" i="105"/>
  <c r="AT237" i="105"/>
  <c r="AM237" i="105"/>
  <c r="AQ237" i="105"/>
  <c r="AO237" i="105"/>
  <c r="AY301" i="105"/>
  <c r="AY298" i="105"/>
  <c r="O300" i="105" a="1"/>
  <c r="O300" i="105" s="1"/>
  <c r="O297" i="105"/>
  <c r="AN298" i="105"/>
  <c r="AN301" i="105"/>
  <c r="AK78" i="105"/>
  <c r="AM88" i="105"/>
  <c r="AY88" i="105"/>
  <c r="AY191" i="105" s="1"/>
  <c r="AW78" i="105"/>
  <c r="BB237" i="105"/>
  <c r="BC237" i="105"/>
  <c r="BE237" i="105"/>
  <c r="BG237" i="105"/>
  <c r="BD237" i="105"/>
  <c r="BF237" i="105"/>
  <c r="BA237" i="105"/>
  <c r="AY237" i="105"/>
  <c r="AZ237" i="105"/>
  <c r="AZ237" i="104"/>
  <c r="BE237" i="104"/>
  <c r="BB237" i="104"/>
  <c r="AY237" i="104"/>
  <c r="BG237" i="104"/>
  <c r="BD237" i="104"/>
  <c r="BF237" i="104"/>
  <c r="BA237" i="104"/>
  <c r="BC237" i="104"/>
  <c r="AM88" i="104"/>
  <c r="AK78" i="104"/>
  <c r="AY88" i="104"/>
  <c r="AW78" i="104"/>
  <c r="AO237" i="104"/>
  <c r="AP237" i="104"/>
  <c r="AQ237" i="104"/>
  <c r="AN237" i="104"/>
  <c r="AT237" i="104"/>
  <c r="AR237" i="104"/>
  <c r="AS237" i="104"/>
  <c r="AM237" i="104"/>
  <c r="AU237" i="104"/>
  <c r="AY301" i="104"/>
  <c r="AY298" i="104"/>
  <c r="AN301" i="104"/>
  <c r="AN298" i="104"/>
  <c r="AK78" i="103"/>
  <c r="AM88" i="103"/>
  <c r="AM191" i="103" s="1"/>
  <c r="AY88" i="103"/>
  <c r="AY191" i="103" s="1"/>
  <c r="AW78" i="103"/>
  <c r="AM298" i="103"/>
  <c r="AM301" i="103"/>
  <c r="AN300" i="103" a="1"/>
  <c r="AN300" i="103" s="1"/>
  <c r="AN297" i="103"/>
  <c r="AY301" i="103"/>
  <c r="AY298" i="103"/>
  <c r="AR237" i="103"/>
  <c r="AM237" i="103"/>
  <c r="AU237" i="103"/>
  <c r="AN237" i="103"/>
  <c r="AT237" i="103"/>
  <c r="AO237" i="103"/>
  <c r="AP237" i="103"/>
  <c r="AS237" i="103"/>
  <c r="AQ237" i="103"/>
  <c r="AY237" i="103"/>
  <c r="BC237" i="103"/>
  <c r="BG237" i="103"/>
  <c r="AZ237" i="103"/>
  <c r="BD237" i="103"/>
  <c r="BA237" i="103"/>
  <c r="BE237" i="103"/>
  <c r="BF237" i="103"/>
  <c r="BB237" i="103"/>
  <c r="L68" i="43"/>
  <c r="L54" i="43"/>
  <c r="L26" i="24"/>
  <c r="T24" i="43"/>
  <c r="M24" i="43"/>
  <c r="P31" i="107" s="1"/>
  <c r="I11" i="24"/>
  <c r="J11" i="24" s="1"/>
  <c r="K11" i="24" s="1"/>
  <c r="L11" i="24" s="1"/>
  <c r="M11" i="24" s="1"/>
  <c r="AA290" i="105" l="1"/>
  <c r="AA290" i="104"/>
  <c r="AA290" i="103"/>
  <c r="AA290" i="106"/>
  <c r="AA290" i="107"/>
  <c r="M62" i="107"/>
  <c r="AA62" i="107"/>
  <c r="AA62" i="106"/>
  <c r="AA62" i="105"/>
  <c r="AA62" i="104"/>
  <c r="AA62" i="103"/>
  <c r="AA285" i="103" a="1"/>
  <c r="AA285" i="103" s="1"/>
  <c r="AA285" i="106" a="1"/>
  <c r="AA285" i="106" s="1"/>
  <c r="AA285" i="105" a="1"/>
  <c r="AA285" i="105" s="1"/>
  <c r="AA285" i="104" a="1"/>
  <c r="AA285" i="104" s="1"/>
  <c r="AA285" i="107" a="1"/>
  <c r="AA285" i="107" s="1"/>
  <c r="P69" i="107"/>
  <c r="O297" i="103"/>
  <c r="O297" i="104"/>
  <c r="O297" i="106"/>
  <c r="AM97" i="107"/>
  <c r="AM115" i="107" s="1"/>
  <c r="AY91" i="107"/>
  <c r="AY217" i="107" s="1"/>
  <c r="AW217" i="107" s="1"/>
  <c r="AN126" i="106"/>
  <c r="AN156" i="106" s="1"/>
  <c r="AO126" i="106"/>
  <c r="AO156" i="106" s="1"/>
  <c r="AM126" i="106"/>
  <c r="AK115" i="106"/>
  <c r="AY91" i="106"/>
  <c r="AY217" i="106" s="1"/>
  <c r="AW217" i="106" s="1"/>
  <c r="AM138" i="106"/>
  <c r="AM99" i="106"/>
  <c r="AM158" i="106"/>
  <c r="AK158" i="106" s="1"/>
  <c r="AM98" i="106"/>
  <c r="AM110" i="106"/>
  <c r="AM91" i="105"/>
  <c r="AM217" i="105" s="1"/>
  <c r="AK217" i="105" s="1"/>
  <c r="AY91" i="105"/>
  <c r="AY217" i="105" s="1"/>
  <c r="AW217" i="105" s="1"/>
  <c r="AM91" i="104"/>
  <c r="AM217" i="104" s="1"/>
  <c r="AK217" i="104" s="1"/>
  <c r="AY91" i="104"/>
  <c r="AY217" i="104" s="1"/>
  <c r="AW217" i="104" s="1"/>
  <c r="AM91" i="103"/>
  <c r="AM217" i="103" s="1"/>
  <c r="AK217" i="103" s="1"/>
  <c r="AY91" i="103"/>
  <c r="AY217" i="103" s="1"/>
  <c r="AW217" i="103" s="1"/>
  <c r="P65" i="107"/>
  <c r="P274" i="107"/>
  <c r="P283" i="107"/>
  <c r="P68" i="107"/>
  <c r="P32" i="107"/>
  <c r="M64" i="107" s="1"/>
  <c r="P251" i="107"/>
  <c r="M251" i="107" s="1"/>
  <c r="J251" i="107" s="1"/>
  <c r="P313" i="107"/>
  <c r="M313" i="107" s="1"/>
  <c r="J313" i="107" s="1"/>
  <c r="O33" i="107"/>
  <c r="P33" i="107"/>
  <c r="W33" i="107"/>
  <c r="W194" i="107" s="1"/>
  <c r="O78" i="107"/>
  <c r="S33" i="107"/>
  <c r="V33" i="107"/>
  <c r="V194" i="107" s="1"/>
  <c r="M67" i="107"/>
  <c r="J67" i="107" s="1"/>
  <c r="Q33" i="107"/>
  <c r="U33" i="107"/>
  <c r="T33" i="107"/>
  <c r="M31" i="107"/>
  <c r="M66" i="107"/>
  <c r="J66" i="107" s="1"/>
  <c r="R33" i="107"/>
  <c r="R78" i="107"/>
  <c r="S78" i="107"/>
  <c r="AY191" i="107"/>
  <c r="AM191" i="107"/>
  <c r="AM300" i="107" a="1"/>
  <c r="AM300" i="107" s="1"/>
  <c r="AM297" i="107"/>
  <c r="AK237" i="107"/>
  <c r="AM272" i="107"/>
  <c r="AY297" i="107"/>
  <c r="AY300" i="107" a="1"/>
  <c r="AY300" i="107" s="1"/>
  <c r="AN272" i="107"/>
  <c r="AW237" i="107"/>
  <c r="AY272" i="107"/>
  <c r="AW272" i="107" s="1"/>
  <c r="AY195" i="106"/>
  <c r="P31" i="105"/>
  <c r="P31" i="106"/>
  <c r="AM270" i="106"/>
  <c r="AN270" i="106"/>
  <c r="AM269" i="106"/>
  <c r="AN269" i="106"/>
  <c r="AY300" i="106" a="1"/>
  <c r="AY300" i="106" s="1"/>
  <c r="AY297" i="106"/>
  <c r="AM189" i="106"/>
  <c r="AN267" i="106"/>
  <c r="AN276" i="106" s="1"/>
  <c r="AM267" i="106"/>
  <c r="AW237" i="106"/>
  <c r="AY272" i="106"/>
  <c r="AW272" i="106" s="1"/>
  <c r="AM191" i="105"/>
  <c r="AM195" i="105" s="1"/>
  <c r="AY195" i="105"/>
  <c r="AY297" i="105"/>
  <c r="AY300" i="105" a="1"/>
  <c r="AY300" i="105" s="1"/>
  <c r="AK237" i="105"/>
  <c r="AM272" i="105"/>
  <c r="AN272" i="105"/>
  <c r="AN297" i="105"/>
  <c r="AN300" i="105" a="1"/>
  <c r="AN300" i="105" s="1"/>
  <c r="AW237" i="105"/>
  <c r="AY272" i="105"/>
  <c r="AW272" i="105" s="1"/>
  <c r="AM191" i="104"/>
  <c r="P31" i="103"/>
  <c r="M62" i="103" s="1"/>
  <c r="P31" i="104"/>
  <c r="AN300" i="104" a="1"/>
  <c r="AN300" i="104" s="1"/>
  <c r="AN297" i="104"/>
  <c r="AY191" i="104"/>
  <c r="AK237" i="104"/>
  <c r="AM272" i="104"/>
  <c r="AN272" i="104"/>
  <c r="AM195" i="104"/>
  <c r="AW237" i="104"/>
  <c r="AY272" i="104"/>
  <c r="AW272" i="104" s="1"/>
  <c r="AY300" i="104" a="1"/>
  <c r="AY300" i="104" s="1"/>
  <c r="AY297" i="104"/>
  <c r="AY195" i="103"/>
  <c r="AK237" i="103"/>
  <c r="AM272" i="103"/>
  <c r="AY300" i="103" a="1"/>
  <c r="AY300" i="103" s="1"/>
  <c r="AY297" i="103"/>
  <c r="AW237" i="103"/>
  <c r="AY272" i="103"/>
  <c r="AW272" i="103" s="1"/>
  <c r="AM300" i="103" a="1"/>
  <c r="AM300" i="103" s="1"/>
  <c r="AM297" i="103"/>
  <c r="AN272" i="103"/>
  <c r="AM195" i="103"/>
  <c r="P68" i="43"/>
  <c r="N68" i="43"/>
  <c r="O68" i="43"/>
  <c r="S34" i="55"/>
  <c r="Q40" i="43"/>
  <c r="Q68" i="43"/>
  <c r="O40" i="43"/>
  <c r="O26" i="43"/>
  <c r="R68" i="43"/>
  <c r="P40" i="43"/>
  <c r="T54" i="43"/>
  <c r="AD34" i="55"/>
  <c r="N26" i="43"/>
  <c r="T68" i="43"/>
  <c r="N40" i="43"/>
  <c r="R26" i="43"/>
  <c r="AE34" i="55"/>
  <c r="U34" i="55"/>
  <c r="P54" i="43"/>
  <c r="AF34" i="55"/>
  <c r="T34" i="55"/>
  <c r="Q34" i="55"/>
  <c r="R40" i="43"/>
  <c r="AR34" i="55"/>
  <c r="AC34" i="55"/>
  <c r="AG34" i="55"/>
  <c r="R34" i="55"/>
  <c r="N54" i="43"/>
  <c r="Q26" i="43"/>
  <c r="P26" i="43"/>
  <c r="BD34" i="55"/>
  <c r="O54" i="43"/>
  <c r="Q54" i="43"/>
  <c r="R54" i="43"/>
  <c r="L26" i="43"/>
  <c r="R274" i="55"/>
  <c r="U274" i="55"/>
  <c r="Q274" i="55"/>
  <c r="S274" i="55"/>
  <c r="T274" i="55"/>
  <c r="W31" i="55"/>
  <c r="W65" i="55" s="1"/>
  <c r="P31" i="55"/>
  <c r="N11" i="24"/>
  <c r="O11" i="24" s="1"/>
  <c r="S40" i="43"/>
  <c r="AH34" i="55"/>
  <c r="M12" i="43"/>
  <c r="L12" i="43"/>
  <c r="L40" i="43"/>
  <c r="T40" i="43"/>
  <c r="T26" i="43"/>
  <c r="J24" i="43"/>
  <c r="M26" i="24"/>
  <c r="AW304" i="55"/>
  <c r="AK304" i="55"/>
  <c r="Y304" i="55"/>
  <c r="M304" i="55"/>
  <c r="J304" i="55"/>
  <c r="AW242" i="55"/>
  <c r="AK242" i="55"/>
  <c r="Y242" i="55"/>
  <c r="M242" i="55"/>
  <c r="J242" i="55"/>
  <c r="AW235" i="55"/>
  <c r="AK235" i="55"/>
  <c r="Y235" i="55"/>
  <c r="M235" i="55"/>
  <c r="J235" i="55"/>
  <c r="AW222" i="55"/>
  <c r="AK222" i="55"/>
  <c r="Y222" i="55"/>
  <c r="M222" i="55"/>
  <c r="J222" i="55"/>
  <c r="AW198" i="55"/>
  <c r="AK198" i="55"/>
  <c r="Y198" i="55"/>
  <c r="W198" i="55"/>
  <c r="V198" i="55"/>
  <c r="U198" i="55"/>
  <c r="S198" i="55"/>
  <c r="R198" i="55"/>
  <c r="Q198" i="55"/>
  <c r="P198" i="55"/>
  <c r="O198" i="55"/>
  <c r="M198" i="55"/>
  <c r="J198" i="55"/>
  <c r="H191" i="55"/>
  <c r="H190" i="55"/>
  <c r="H189" i="55"/>
  <c r="AW187" i="55"/>
  <c r="AK187" i="55"/>
  <c r="Y187" i="55"/>
  <c r="W187" i="55"/>
  <c r="V187" i="55"/>
  <c r="U187" i="55"/>
  <c r="S187" i="55"/>
  <c r="R187" i="55"/>
  <c r="Q187" i="55"/>
  <c r="P187" i="55"/>
  <c r="O187" i="55"/>
  <c r="M187" i="55"/>
  <c r="W168" i="55"/>
  <c r="V168" i="55"/>
  <c r="U168" i="55"/>
  <c r="S168" i="55"/>
  <c r="R168" i="55"/>
  <c r="Q168" i="55"/>
  <c r="P168" i="55"/>
  <c r="O168" i="55"/>
  <c r="J168" i="55"/>
  <c r="BA154" i="55"/>
  <c r="AZ154" i="55"/>
  <c r="AY154" i="55"/>
  <c r="AO154" i="55"/>
  <c r="AN154" i="55"/>
  <c r="AM154" i="55"/>
  <c r="AC154" i="55"/>
  <c r="AB154" i="55"/>
  <c r="AA154" i="55"/>
  <c r="Q154" i="55"/>
  <c r="P154" i="55"/>
  <c r="O154" i="55"/>
  <c r="BA139" i="55"/>
  <c r="AZ139" i="55"/>
  <c r="AZ141" i="55" s="1"/>
  <c r="AY139" i="55"/>
  <c r="AO139" i="55"/>
  <c r="AN139" i="55"/>
  <c r="AN141" i="55" s="1"/>
  <c r="AM139" i="55"/>
  <c r="AC139" i="55"/>
  <c r="AB139" i="55"/>
  <c r="AB141" i="55" s="1"/>
  <c r="AA139" i="55"/>
  <c r="Q139" i="55"/>
  <c r="P139" i="55"/>
  <c r="P141" i="55" s="1"/>
  <c r="AZ136" i="55"/>
  <c r="AY136" i="55"/>
  <c r="AN136" i="55"/>
  <c r="AM136" i="55"/>
  <c r="AB136" i="55"/>
  <c r="AA136" i="55"/>
  <c r="P136" i="55"/>
  <c r="O136" i="55"/>
  <c r="AZ202" i="55"/>
  <c r="AZ203" i="55" s="1"/>
  <c r="AN202" i="55"/>
  <c r="AN203" i="55" s="1"/>
  <c r="AB202" i="55"/>
  <c r="AB203" i="55" s="1"/>
  <c r="P202" i="55"/>
  <c r="P203" i="55" s="1"/>
  <c r="BA127" i="55"/>
  <c r="AZ127" i="55"/>
  <c r="AY127" i="55"/>
  <c r="AO127" i="55"/>
  <c r="AN127" i="55"/>
  <c r="AM127" i="55"/>
  <c r="AC127" i="55"/>
  <c r="AB127" i="55"/>
  <c r="AA127" i="55"/>
  <c r="Q127" i="55"/>
  <c r="P127" i="55"/>
  <c r="O127" i="55"/>
  <c r="BA114" i="55"/>
  <c r="AY114" i="55"/>
  <c r="AO114" i="55"/>
  <c r="AM114" i="55"/>
  <c r="AC114" i="55"/>
  <c r="AA114" i="55"/>
  <c r="Q114" i="55"/>
  <c r="O114" i="55"/>
  <c r="AZ111" i="55"/>
  <c r="AY111" i="55"/>
  <c r="AN111" i="55"/>
  <c r="AM111" i="55"/>
  <c r="AB111" i="55"/>
  <c r="AA111" i="55"/>
  <c r="AZ137" i="55"/>
  <c r="AY137" i="55"/>
  <c r="AN137" i="55"/>
  <c r="AM137" i="55"/>
  <c r="AB137" i="55"/>
  <c r="AA137" i="55"/>
  <c r="P137" i="55"/>
  <c r="O137" i="55"/>
  <c r="BA86" i="55"/>
  <c r="AZ86" i="55"/>
  <c r="AY86" i="55"/>
  <c r="AO86" i="55"/>
  <c r="AN86" i="55"/>
  <c r="AM86" i="55"/>
  <c r="AC86" i="55"/>
  <c r="AB86" i="55"/>
  <c r="AA86" i="55"/>
  <c r="Q86" i="55"/>
  <c r="O86" i="55"/>
  <c r="AZ105" i="55"/>
  <c r="AZ122" i="55" s="1"/>
  <c r="AO105" i="55"/>
  <c r="AN105" i="55"/>
  <c r="AN122" i="55" s="1"/>
  <c r="AB105" i="55"/>
  <c r="AB122" i="55" s="1"/>
  <c r="P105" i="55"/>
  <c r="AZ84" i="55"/>
  <c r="AZ224" i="55" s="1"/>
  <c r="AN84" i="55"/>
  <c r="AN224" i="55" s="1"/>
  <c r="AM84" i="55"/>
  <c r="AB84" i="55"/>
  <c r="AB224" i="55" s="1"/>
  <c r="P84" i="55"/>
  <c r="E84" i="55"/>
  <c r="W76" i="55"/>
  <c r="V76" i="55"/>
  <c r="U76" i="55"/>
  <c r="S76" i="55"/>
  <c r="R76" i="55"/>
  <c r="Q76" i="55"/>
  <c r="P76" i="55"/>
  <c r="O76" i="55"/>
  <c r="AW59" i="55"/>
  <c r="AK59" i="55"/>
  <c r="Y59" i="55"/>
  <c r="M59" i="55"/>
  <c r="J59" i="55"/>
  <c r="AY24" i="55"/>
  <c r="AM24" i="55"/>
  <c r="AY19" i="55"/>
  <c r="AM19" i="55"/>
  <c r="O19" i="55"/>
  <c r="O40" i="55" s="1"/>
  <c r="AY20" i="55"/>
  <c r="AM20" i="55"/>
  <c r="O20" i="55"/>
  <c r="AW17" i="55"/>
  <c r="AK17" i="55"/>
  <c r="Y17" i="55"/>
  <c r="M17" i="55"/>
  <c r="J17" i="55"/>
  <c r="BG10" i="55"/>
  <c r="BG222" i="55" s="1"/>
  <c r="BF10" i="55"/>
  <c r="BE10" i="55"/>
  <c r="BC10" i="55"/>
  <c r="BB10" i="55"/>
  <c r="BA10" i="55"/>
  <c r="AZ10" i="55"/>
  <c r="AY10" i="55"/>
  <c r="AU10" i="55"/>
  <c r="AU222" i="55" s="1"/>
  <c r="AT10" i="55"/>
  <c r="AS10" i="55"/>
  <c r="AQ10" i="55"/>
  <c r="AP10" i="55"/>
  <c r="AO10" i="55"/>
  <c r="AN10" i="55"/>
  <c r="AM10" i="55"/>
  <c r="AI10" i="55"/>
  <c r="AI222" i="55" s="1"/>
  <c r="AH10" i="55"/>
  <c r="AG10" i="55"/>
  <c r="AE10" i="55"/>
  <c r="AD10" i="55"/>
  <c r="AC10" i="55"/>
  <c r="AB10" i="55"/>
  <c r="AA10" i="55"/>
  <c r="E2" i="55"/>
  <c r="R290" i="55" l="1"/>
  <c r="R232" i="55"/>
  <c r="Q290" i="55"/>
  <c r="Q232" i="55"/>
  <c r="S232" i="55"/>
  <c r="S290" i="55"/>
  <c r="M54" i="107"/>
  <c r="P78" i="107"/>
  <c r="M62" i="106"/>
  <c r="M62" i="104"/>
  <c r="Q62" i="55"/>
  <c r="Q230" i="55" s="1"/>
  <c r="S62" i="55"/>
  <c r="S230" i="55" s="1"/>
  <c r="R62" i="55"/>
  <c r="P32" i="105"/>
  <c r="M64" i="105" s="1"/>
  <c r="M62" i="105"/>
  <c r="AM40" i="55"/>
  <c r="AM53" i="55" s="1"/>
  <c r="AM51" i="55"/>
  <c r="AY40" i="55"/>
  <c r="AY64" i="55" s="1"/>
  <c r="AY51" i="55"/>
  <c r="AA230" i="106"/>
  <c r="AB34" i="107"/>
  <c r="AB34" i="106"/>
  <c r="AB34" i="103"/>
  <c r="AB34" i="104"/>
  <c r="AB34" i="105"/>
  <c r="AB34" i="55"/>
  <c r="AA232" i="104"/>
  <c r="AA232" i="106"/>
  <c r="AA230" i="104"/>
  <c r="AA230" i="107"/>
  <c r="AA230" i="105"/>
  <c r="AA230" i="103"/>
  <c r="M40" i="43"/>
  <c r="J40" i="43" s="1"/>
  <c r="AA232" i="107"/>
  <c r="AA232" i="105"/>
  <c r="AA232" i="103"/>
  <c r="Q78" i="107"/>
  <c r="Q88" i="107" s="1"/>
  <c r="M65" i="107"/>
  <c r="S239" i="107" s="1"/>
  <c r="P69" i="104"/>
  <c r="P69" i="106"/>
  <c r="O33" i="103"/>
  <c r="P224" i="55"/>
  <c r="P69" i="105"/>
  <c r="M68" i="107"/>
  <c r="J68" i="107" s="1"/>
  <c r="P122" i="55"/>
  <c r="AY97" i="105"/>
  <c r="AY115" i="105" s="1"/>
  <c r="U33" i="105"/>
  <c r="AM158" i="107"/>
  <c r="AK158" i="107" s="1"/>
  <c r="AY97" i="103"/>
  <c r="AY115" i="103" s="1"/>
  <c r="BA126" i="103" s="1"/>
  <c r="BA156" i="103" s="1"/>
  <c r="M31" i="103"/>
  <c r="J83" i="103" s="1"/>
  <c r="O33" i="105"/>
  <c r="T78" i="107"/>
  <c r="T311" i="107" s="1"/>
  <c r="R33" i="105"/>
  <c r="P274" i="105"/>
  <c r="M67" i="105"/>
  <c r="J67" i="105" s="1"/>
  <c r="P33" i="103"/>
  <c r="R33" i="103"/>
  <c r="Q33" i="105"/>
  <c r="R78" i="105"/>
  <c r="R157" i="105" s="1"/>
  <c r="P33" i="105"/>
  <c r="P65" i="105"/>
  <c r="R78" i="103"/>
  <c r="R157" i="103" s="1"/>
  <c r="W33" i="103"/>
  <c r="W194" i="103" s="1"/>
  <c r="M31" i="105"/>
  <c r="J83" i="105" s="1"/>
  <c r="M66" i="105"/>
  <c r="J66" i="105" s="1"/>
  <c r="P313" i="105"/>
  <c r="M313" i="105" s="1"/>
  <c r="J313" i="105" s="1"/>
  <c r="T33" i="103"/>
  <c r="T33" i="105"/>
  <c r="P251" i="105"/>
  <c r="M251" i="105" s="1"/>
  <c r="J251" i="105" s="1"/>
  <c r="P68" i="105"/>
  <c r="P283" i="103"/>
  <c r="P287" i="103" s="1" a="1"/>
  <c r="P287" i="103" s="1"/>
  <c r="P69" i="103"/>
  <c r="S78" i="103"/>
  <c r="S157" i="103" s="1"/>
  <c r="P313" i="103"/>
  <c r="M313" i="103" s="1"/>
  <c r="J313" i="103" s="1"/>
  <c r="V33" i="105"/>
  <c r="V194" i="105" s="1"/>
  <c r="O78" i="105"/>
  <c r="AT294" i="105" s="1"/>
  <c r="W33" i="105"/>
  <c r="W194" i="105" s="1"/>
  <c r="S78" i="105"/>
  <c r="S157" i="105" s="1"/>
  <c r="S33" i="105"/>
  <c r="P283" i="105"/>
  <c r="AM97" i="103"/>
  <c r="P251" i="103"/>
  <c r="M251" i="103" s="1"/>
  <c r="J251" i="103" s="1"/>
  <c r="AM98" i="107"/>
  <c r="AM157" i="107" s="1"/>
  <c r="AK157" i="107" s="1"/>
  <c r="AM99" i="107"/>
  <c r="AM110" i="107"/>
  <c r="AK110" i="107" s="1"/>
  <c r="AM138" i="107"/>
  <c r="AO126" i="107"/>
  <c r="AO156" i="107" s="1"/>
  <c r="AM126" i="107"/>
  <c r="AK115" i="107"/>
  <c r="AN126" i="107"/>
  <c r="AN156" i="107" s="1"/>
  <c r="AY97" i="107"/>
  <c r="AY115" i="107" s="1"/>
  <c r="AK126" i="106"/>
  <c r="AM156" i="106"/>
  <c r="AK156" i="106" s="1"/>
  <c r="AO162" i="106"/>
  <c r="AO165" i="106"/>
  <c r="AO13" i="106" s="1"/>
  <c r="AN162" i="106"/>
  <c r="AN165" i="106"/>
  <c r="AN13" i="106" s="1"/>
  <c r="AN174" i="106"/>
  <c r="AY97" i="106"/>
  <c r="AY115" i="106" s="1"/>
  <c r="AK110" i="106"/>
  <c r="AM116" i="106"/>
  <c r="AM214" i="106"/>
  <c r="AK214" i="106" s="1"/>
  <c r="AM215" i="106"/>
  <c r="AK215" i="106" s="1"/>
  <c r="AM212" i="106"/>
  <c r="AM141" i="106"/>
  <c r="AM143" i="106"/>
  <c r="AM147" i="106"/>
  <c r="AK138" i="106"/>
  <c r="AM97" i="105"/>
  <c r="AM115" i="105" s="1"/>
  <c r="AY97" i="104"/>
  <c r="AY115" i="104" s="1"/>
  <c r="AM97" i="104"/>
  <c r="AM115" i="104" s="1"/>
  <c r="AM195" i="107"/>
  <c r="AY195" i="107"/>
  <c r="R157" i="107"/>
  <c r="J83" i="107"/>
  <c r="J31" i="107"/>
  <c r="O237" i="107"/>
  <c r="S237" i="107"/>
  <c r="W237" i="107"/>
  <c r="P237" i="107"/>
  <c r="R237" i="107"/>
  <c r="T237" i="107"/>
  <c r="V237" i="107"/>
  <c r="U237" i="107"/>
  <c r="Q237" i="107"/>
  <c r="O88" i="107"/>
  <c r="T244" i="107"/>
  <c r="AD294" i="107"/>
  <c r="BF294" i="107"/>
  <c r="U244" i="107"/>
  <c r="AI294" i="107"/>
  <c r="AS294" i="107"/>
  <c r="BC294" i="107"/>
  <c r="BG294" i="107"/>
  <c r="V294" i="107"/>
  <c r="AE294" i="107"/>
  <c r="V244" i="107"/>
  <c r="AP294" i="107"/>
  <c r="AT294" i="107"/>
  <c r="AZ294" i="107"/>
  <c r="AR294" i="107"/>
  <c r="BD294" i="107"/>
  <c r="BB294" i="107"/>
  <c r="AQ294" i="107"/>
  <c r="AH294" i="107"/>
  <c r="AO294" i="107"/>
  <c r="AU294" i="107"/>
  <c r="U294" i="107"/>
  <c r="W294" i="107"/>
  <c r="AC294" i="107"/>
  <c r="T294" i="107"/>
  <c r="AF294" i="107"/>
  <c r="W244" i="107"/>
  <c r="AG294" i="107"/>
  <c r="BA294" i="107"/>
  <c r="BE294" i="107"/>
  <c r="AK272" i="107"/>
  <c r="P287" i="107" a="1"/>
  <c r="P287" i="107" s="1"/>
  <c r="P286" i="107" a="1"/>
  <c r="P286" i="107" s="1"/>
  <c r="P301" i="107"/>
  <c r="P298" i="107"/>
  <c r="P285" i="107" a="1"/>
  <c r="P285" i="107" s="1"/>
  <c r="S157" i="107"/>
  <c r="T248" i="107"/>
  <c r="U248" i="107"/>
  <c r="W248" i="107"/>
  <c r="V248" i="107"/>
  <c r="M274" i="107"/>
  <c r="J274" i="107" s="1"/>
  <c r="AM157" i="105"/>
  <c r="AK157" i="105" s="1"/>
  <c r="AK267" i="106"/>
  <c r="AM276" i="106"/>
  <c r="AK276" i="106" s="1"/>
  <c r="AM14" i="106"/>
  <c r="AM193" i="106"/>
  <c r="AN244" i="106"/>
  <c r="AM244" i="106"/>
  <c r="P65" i="106"/>
  <c r="P283" i="106"/>
  <c r="P274" i="106"/>
  <c r="P68" i="106"/>
  <c r="P32" i="106"/>
  <c r="M64" i="106" s="1"/>
  <c r="P313" i="106"/>
  <c r="M313" i="106" s="1"/>
  <c r="J313" i="106" s="1"/>
  <c r="P251" i="106"/>
  <c r="M251" i="106" s="1"/>
  <c r="J251" i="106" s="1"/>
  <c r="Q33" i="106"/>
  <c r="R78" i="106"/>
  <c r="T33" i="106"/>
  <c r="W33" i="106"/>
  <c r="W194" i="106" s="1"/>
  <c r="P33" i="106"/>
  <c r="R33" i="106"/>
  <c r="O78" i="106"/>
  <c r="S78" i="106"/>
  <c r="U33" i="106"/>
  <c r="M66" i="106"/>
  <c r="J66" i="106" s="1"/>
  <c r="M31" i="106"/>
  <c r="O33" i="106"/>
  <c r="S33" i="106"/>
  <c r="V33" i="106"/>
  <c r="V194" i="106" s="1"/>
  <c r="M67" i="106"/>
  <c r="J67" i="106" s="1"/>
  <c r="AM190" i="106"/>
  <c r="AS306" i="106"/>
  <c r="AS314" i="106" s="1"/>
  <c r="AM306" i="106"/>
  <c r="AR306" i="106"/>
  <c r="AR314" i="106" s="1"/>
  <c r="AO306" i="106"/>
  <c r="AO314" i="106" s="1"/>
  <c r="AP306" i="106"/>
  <c r="AP314" i="106" s="1"/>
  <c r="AU306" i="106"/>
  <c r="AU314" i="106" s="1"/>
  <c r="AN306" i="106"/>
  <c r="AN314" i="106" s="1"/>
  <c r="AQ306" i="106"/>
  <c r="AQ314" i="106" s="1"/>
  <c r="AT306" i="106"/>
  <c r="AT314" i="106" s="1"/>
  <c r="AK269" i="106"/>
  <c r="AK270" i="106"/>
  <c r="AY157" i="104"/>
  <c r="AW157" i="104" s="1"/>
  <c r="AM157" i="104"/>
  <c r="AK272" i="105"/>
  <c r="M67" i="103"/>
  <c r="J67" i="103" s="1"/>
  <c r="AY157" i="105"/>
  <c r="O78" i="103"/>
  <c r="BF294" i="103" s="1"/>
  <c r="M66" i="103"/>
  <c r="J66" i="103" s="1"/>
  <c r="P65" i="103"/>
  <c r="P274" i="103"/>
  <c r="P68" i="103"/>
  <c r="P32" i="104"/>
  <c r="M64" i="104" s="1"/>
  <c r="P274" i="104"/>
  <c r="P283" i="104"/>
  <c r="P68" i="104"/>
  <c r="P65" i="104"/>
  <c r="P251" i="104"/>
  <c r="M251" i="104" s="1"/>
  <c r="J251" i="104" s="1"/>
  <c r="P313" i="104"/>
  <c r="M313" i="104" s="1"/>
  <c r="J313" i="104" s="1"/>
  <c r="O33" i="104"/>
  <c r="R78" i="104"/>
  <c r="U33" i="104"/>
  <c r="V33" i="104"/>
  <c r="V194" i="104" s="1"/>
  <c r="P33" i="104"/>
  <c r="O78" i="104"/>
  <c r="Q33" i="104"/>
  <c r="R33" i="104"/>
  <c r="M66" i="104"/>
  <c r="J66" i="104" s="1"/>
  <c r="S33" i="104"/>
  <c r="W33" i="104"/>
  <c r="W194" i="104" s="1"/>
  <c r="M31" i="104"/>
  <c r="M67" i="104"/>
  <c r="J67" i="104" s="1"/>
  <c r="T33" i="104"/>
  <c r="S78" i="104"/>
  <c r="AK272" i="104"/>
  <c r="AY195" i="104"/>
  <c r="Q33" i="103"/>
  <c r="U33" i="103"/>
  <c r="V33" i="103"/>
  <c r="V194" i="103" s="1"/>
  <c r="S33" i="103"/>
  <c r="P32" i="103"/>
  <c r="M64" i="103" s="1"/>
  <c r="AM157" i="103"/>
  <c r="AK157" i="103" s="1"/>
  <c r="AK272" i="103"/>
  <c r="AG285" i="55" a="1"/>
  <c r="AG285" i="55" s="1"/>
  <c r="AG230" i="55"/>
  <c r="AG232" i="55"/>
  <c r="AC285" i="55" a="1"/>
  <c r="AC285" i="55" s="1"/>
  <c r="AC230" i="55"/>
  <c r="AC232" i="55"/>
  <c r="AR285" i="55" a="1"/>
  <c r="AR285" i="55" s="1"/>
  <c r="AR230" i="55"/>
  <c r="AR232" i="55"/>
  <c r="Q285" i="55" a="1"/>
  <c r="Q285" i="55" s="1"/>
  <c r="T285" i="55" a="1"/>
  <c r="T285" i="55" s="1"/>
  <c r="T232" i="55"/>
  <c r="T230" i="55"/>
  <c r="AF230" i="55"/>
  <c r="AF232" i="55"/>
  <c r="AF285" i="55" a="1"/>
  <c r="AF285" i="55" s="1"/>
  <c r="S285" i="55" a="1"/>
  <c r="S285" i="55" s="1"/>
  <c r="U285" i="55" a="1"/>
  <c r="U285" i="55" s="1"/>
  <c r="U230" i="55"/>
  <c r="U232" i="55"/>
  <c r="P34" i="55"/>
  <c r="M54" i="43"/>
  <c r="AE285" i="55" a="1"/>
  <c r="AE285" i="55" s="1"/>
  <c r="AE230" i="55"/>
  <c r="AE232" i="55"/>
  <c r="BD285" i="55" a="1"/>
  <c r="BD285" i="55" s="1"/>
  <c r="BD232" i="55"/>
  <c r="BD230" i="55"/>
  <c r="AD230" i="55"/>
  <c r="AD232" i="55"/>
  <c r="AD285" i="55" a="1"/>
  <c r="AD285" i="55" s="1"/>
  <c r="R285" i="55" a="1"/>
  <c r="R285" i="55" s="1"/>
  <c r="AH285" i="55" a="1"/>
  <c r="AH285" i="55" s="1"/>
  <c r="AH230" i="55"/>
  <c r="AM35" i="55"/>
  <c r="AE152" i="55"/>
  <c r="AE222" i="55"/>
  <c r="BC152" i="55"/>
  <c r="BC222" i="55"/>
  <c r="AG152" i="55"/>
  <c r="AG222" i="55"/>
  <c r="BE152" i="55"/>
  <c r="BE222" i="55"/>
  <c r="AH152" i="55"/>
  <c r="AH222" i="55"/>
  <c r="BF152" i="55"/>
  <c r="BF222" i="55"/>
  <c r="BB152" i="55"/>
  <c r="BB222" i="55"/>
  <c r="AM152" i="55"/>
  <c r="AM222" i="55"/>
  <c r="AN152" i="55"/>
  <c r="AN222" i="55"/>
  <c r="AO152" i="55"/>
  <c r="AO222" i="55"/>
  <c r="AD152" i="55"/>
  <c r="AD222" i="55"/>
  <c r="AQ152" i="55"/>
  <c r="AQ222" i="55"/>
  <c r="AS152" i="55"/>
  <c r="AS222" i="55"/>
  <c r="AP152" i="55"/>
  <c r="AP222" i="55"/>
  <c r="AY152" i="55"/>
  <c r="AY222" i="55"/>
  <c r="AT152" i="55"/>
  <c r="AT222" i="55"/>
  <c r="AA152" i="55"/>
  <c r="AA222" i="55"/>
  <c r="AB152" i="55"/>
  <c r="AB222" i="55"/>
  <c r="AZ152" i="55"/>
  <c r="AZ222" i="55"/>
  <c r="AC152" i="55"/>
  <c r="AC222" i="55"/>
  <c r="BA152" i="55"/>
  <c r="BA222" i="55"/>
  <c r="AM224" i="55"/>
  <c r="AN200" i="55"/>
  <c r="AN106" i="55"/>
  <c r="AO200" i="55"/>
  <c r="AO106" i="55"/>
  <c r="AZ200" i="55"/>
  <c r="AZ106" i="55"/>
  <c r="P200" i="55"/>
  <c r="P106" i="55"/>
  <c r="AB200" i="55"/>
  <c r="AB106" i="55"/>
  <c r="P283" i="55"/>
  <c r="W283" i="55"/>
  <c r="AY35" i="55"/>
  <c r="O35" i="55"/>
  <c r="O34" i="55"/>
  <c r="AH232" i="55"/>
  <c r="P69" i="55"/>
  <c r="W69" i="55"/>
  <c r="P65" i="55"/>
  <c r="AM202" i="55"/>
  <c r="AY31" i="55"/>
  <c r="O31" i="55"/>
  <c r="AM31" i="55"/>
  <c r="V34" i="55"/>
  <c r="AA202" i="55"/>
  <c r="S68" i="43"/>
  <c r="J68" i="43" s="1"/>
  <c r="S54" i="43"/>
  <c r="S26" i="43"/>
  <c r="P11" i="24"/>
  <c r="Q11" i="24" s="1"/>
  <c r="R11" i="24" s="1"/>
  <c r="S11" i="24" s="1"/>
  <c r="T11" i="24" s="1"/>
  <c r="U11" i="24" s="1"/>
  <c r="V11" i="24" s="1"/>
  <c r="W11" i="24" s="1"/>
  <c r="X11" i="24" s="1"/>
  <c r="Y11" i="24" s="1"/>
  <c r="Z11" i="24" s="1"/>
  <c r="AA11" i="24" s="1"/>
  <c r="AB11" i="24" s="1"/>
  <c r="AC11" i="24" s="1"/>
  <c r="AD11" i="24" s="1"/>
  <c r="AE11" i="24" s="1"/>
  <c r="AF11" i="24" s="1"/>
  <c r="AG11" i="24" s="1"/>
  <c r="AH11" i="24" s="1"/>
  <c r="AI11" i="24" s="1"/>
  <c r="AJ11" i="24" s="1"/>
  <c r="AK11" i="24" s="1"/>
  <c r="AL11" i="24" s="1"/>
  <c r="AM11" i="24" s="1"/>
  <c r="AN11" i="24" s="1"/>
  <c r="AO11" i="24" s="1"/>
  <c r="AP11" i="24" s="1"/>
  <c r="AQ11" i="24" s="1"/>
  <c r="AR11" i="24" s="1"/>
  <c r="AS11" i="24" s="1"/>
  <c r="AT11" i="24" s="1"/>
  <c r="AU11" i="24" s="1"/>
  <c r="AV11" i="24" s="1"/>
  <c r="AW11" i="24" s="1"/>
  <c r="AX11" i="24" s="1"/>
  <c r="AY11" i="24" s="1"/>
  <c r="AZ11" i="24" s="1"/>
  <c r="BA11" i="24" s="1"/>
  <c r="BB11" i="24" s="1"/>
  <c r="BC11" i="24" s="1"/>
  <c r="BD11" i="24" s="1"/>
  <c r="BE11" i="24" s="1"/>
  <c r="BF11" i="24" s="1"/>
  <c r="BG11" i="24" s="1"/>
  <c r="BH11" i="24" s="1"/>
  <c r="BI11" i="24" s="1"/>
  <c r="BJ11" i="24" s="1"/>
  <c r="BK11" i="24" s="1"/>
  <c r="BL11" i="24" s="1"/>
  <c r="BM11" i="24" s="1"/>
  <c r="BN11" i="24" s="1"/>
  <c r="O202" i="55"/>
  <c r="AB33" i="55"/>
  <c r="AI33" i="55"/>
  <c r="AH33" i="55"/>
  <c r="AG33" i="55"/>
  <c r="AF33" i="55"/>
  <c r="AE33" i="55"/>
  <c r="AD33" i="55"/>
  <c r="AC33" i="55"/>
  <c r="AA33" i="55"/>
  <c r="AY202" i="55"/>
  <c r="W34" i="55"/>
  <c r="AB210" i="55"/>
  <c r="AT76" i="55"/>
  <c r="AU210" i="55"/>
  <c r="AA210" i="55"/>
  <c r="AC210" i="55"/>
  <c r="AD76" i="55"/>
  <c r="BB76" i="55"/>
  <c r="AG76" i="55"/>
  <c r="BE76" i="55"/>
  <c r="BG210" i="55"/>
  <c r="BC76" i="55"/>
  <c r="AE76" i="55"/>
  <c r="AI210" i="55"/>
  <c r="AM210" i="55"/>
  <c r="AN210" i="55"/>
  <c r="AO210" i="55"/>
  <c r="AY17" i="55"/>
  <c r="O17" i="55"/>
  <c r="BA210" i="55"/>
  <c r="AY210" i="55"/>
  <c r="AZ210" i="55"/>
  <c r="BG17" i="55"/>
  <c r="AA32" i="55"/>
  <c r="BB17" i="55"/>
  <c r="AO17" i="55"/>
  <c r="AP17" i="55"/>
  <c r="AQ17" i="55"/>
  <c r="AS17" i="55"/>
  <c r="BF17" i="55"/>
  <c r="AT17" i="55"/>
  <c r="BC17" i="55"/>
  <c r="AN17" i="55"/>
  <c r="AZ17" i="55"/>
  <c r="BE17" i="55"/>
  <c r="AU17" i="55"/>
  <c r="BA17" i="55"/>
  <c r="AM17" i="55"/>
  <c r="P32" i="55"/>
  <c r="W32" i="55"/>
  <c r="AI32" i="55"/>
  <c r="J12" i="43"/>
  <c r="G2" i="43" s="1"/>
  <c r="AA102" i="55"/>
  <c r="AU76" i="55"/>
  <c r="AB102" i="55"/>
  <c r="AM102" i="55"/>
  <c r="AN102" i="55"/>
  <c r="AO102" i="55"/>
  <c r="AC102" i="55"/>
  <c r="M26" i="43"/>
  <c r="Y31" i="55"/>
  <c r="I26" i="23" s="1"/>
  <c r="E244" i="55"/>
  <c r="E306" i="55"/>
  <c r="E245" i="55"/>
  <c r="E307" i="55"/>
  <c r="E246" i="55"/>
  <c r="E308" i="55"/>
  <c r="E247" i="55"/>
  <c r="E309" i="55"/>
  <c r="E248" i="55"/>
  <c r="E310" i="55"/>
  <c r="E250" i="55"/>
  <c r="E312" i="55"/>
  <c r="E251" i="55"/>
  <c r="E313" i="55"/>
  <c r="AY102" i="55"/>
  <c r="AZ102" i="55"/>
  <c r="BA102" i="55"/>
  <c r="BB21" i="55"/>
  <c r="BB289" i="55" s="1"/>
  <c r="BE21" i="55"/>
  <c r="BE289" i="55" s="1"/>
  <c r="BF21" i="55"/>
  <c r="BF289" i="55" s="1"/>
  <c r="BG21" i="55"/>
  <c r="BG289" i="55" s="1"/>
  <c r="AM22" i="55"/>
  <c r="AM21" i="55"/>
  <c r="AM289" i="55" s="1"/>
  <c r="AM34" i="55"/>
  <c r="AN22" i="55"/>
  <c r="AN21" i="55"/>
  <c r="AN289" i="55" s="1"/>
  <c r="AN34" i="55"/>
  <c r="BC21" i="55"/>
  <c r="BC289" i="55" s="1"/>
  <c r="O22" i="55"/>
  <c r="AP34" i="55"/>
  <c r="AP21" i="55"/>
  <c r="AP289" i="55" s="1"/>
  <c r="AP22" i="55"/>
  <c r="AQ21" i="55"/>
  <c r="AQ289" i="55" s="1"/>
  <c r="AQ34" i="55"/>
  <c r="AQ22" i="55"/>
  <c r="AS21" i="55"/>
  <c r="AS289" i="55" s="1"/>
  <c r="AS34" i="55"/>
  <c r="AS22" i="55"/>
  <c r="AO22" i="55"/>
  <c r="AO21" i="55"/>
  <c r="AO289" i="55" s="1"/>
  <c r="AO34" i="55"/>
  <c r="AU21" i="55"/>
  <c r="AU289" i="55" s="1"/>
  <c r="AU22" i="55"/>
  <c r="AU34" i="55"/>
  <c r="AT34" i="55"/>
  <c r="AT21" i="55"/>
  <c r="AT289" i="55" s="1"/>
  <c r="AT22" i="55"/>
  <c r="AY21" i="55"/>
  <c r="AY289" i="55" s="1"/>
  <c r="AZ21" i="55"/>
  <c r="AZ289" i="55" s="1"/>
  <c r="BA21" i="55"/>
  <c r="BA289" i="55" s="1"/>
  <c r="AA34" i="55"/>
  <c r="AA64" i="55" s="1"/>
  <c r="AI34" i="55"/>
  <c r="BG22" i="55"/>
  <c r="BG34" i="55"/>
  <c r="AY22" i="55"/>
  <c r="AY34" i="55"/>
  <c r="AZ34" i="55"/>
  <c r="AZ22" i="55"/>
  <c r="BA22" i="55"/>
  <c r="BA34" i="55"/>
  <c r="BB22" i="55"/>
  <c r="BB34" i="55"/>
  <c r="BC34" i="55"/>
  <c r="BC22" i="55"/>
  <c r="BE22" i="55"/>
  <c r="BE34" i="55"/>
  <c r="BF22" i="55"/>
  <c r="BF34" i="55"/>
  <c r="O21" i="55"/>
  <c r="AA76" i="55"/>
  <c r="BF78" i="55"/>
  <c r="BF157" i="55" s="1"/>
  <c r="AH198" i="55"/>
  <c r="AH168" i="55"/>
  <c r="AH187" i="55"/>
  <c r="BF198" i="55"/>
  <c r="BF168" i="55"/>
  <c r="BF187" i="55"/>
  <c r="AK24" i="55"/>
  <c r="AE187" i="55"/>
  <c r="AM198" i="55"/>
  <c r="AM168" i="55"/>
  <c r="AM187" i="55"/>
  <c r="AB76" i="55"/>
  <c r="AN198" i="55"/>
  <c r="AN168" i="55"/>
  <c r="AN187" i="55"/>
  <c r="Y73" i="55"/>
  <c r="AC76" i="55"/>
  <c r="AY76" i="55"/>
  <c r="BA187" i="55"/>
  <c r="AO198" i="55"/>
  <c r="AO168" i="55"/>
  <c r="AO187" i="55"/>
  <c r="AZ76" i="55"/>
  <c r="AI198" i="55"/>
  <c r="AI168" i="55"/>
  <c r="AI187" i="55"/>
  <c r="BA76" i="55"/>
  <c r="V78" i="55"/>
  <c r="V157" i="55" s="1"/>
  <c r="AQ168" i="55"/>
  <c r="AQ187" i="55"/>
  <c r="AQ198" i="55"/>
  <c r="AB168" i="55"/>
  <c r="AS168" i="55"/>
  <c r="AS187" i="55"/>
  <c r="Y24" i="55"/>
  <c r="AH76" i="55"/>
  <c r="AZ168" i="55"/>
  <c r="AI76" i="55"/>
  <c r="AU168" i="55"/>
  <c r="AU187" i="55"/>
  <c r="AU198" i="55"/>
  <c r="AW24" i="55"/>
  <c r="BF76" i="55"/>
  <c r="AH78" i="55"/>
  <c r="AH157" i="55" s="1"/>
  <c r="BG198" i="55"/>
  <c r="BG168" i="55"/>
  <c r="BG187" i="55"/>
  <c r="AY187" i="55"/>
  <c r="AY198" i="55"/>
  <c r="AY168" i="55"/>
  <c r="AM76" i="55"/>
  <c r="BG76" i="55"/>
  <c r="AI172" i="55"/>
  <c r="AP198" i="55"/>
  <c r="AP168" i="55"/>
  <c r="AP187" i="55"/>
  <c r="AB187" i="55"/>
  <c r="AB198" i="55"/>
  <c r="AZ198" i="55"/>
  <c r="AZ187" i="55"/>
  <c r="AN76" i="55"/>
  <c r="AT168" i="55"/>
  <c r="AT187" i="55"/>
  <c r="AT198" i="55"/>
  <c r="AA187" i="55"/>
  <c r="AA198" i="55"/>
  <c r="AA168" i="55"/>
  <c r="AC187" i="55"/>
  <c r="AC198" i="55"/>
  <c r="AC168" i="55"/>
  <c r="BA198" i="55"/>
  <c r="BA168" i="55"/>
  <c r="M71" i="55"/>
  <c r="I38" i="23" s="1"/>
  <c r="AO76" i="55"/>
  <c r="AS198" i="55"/>
  <c r="AD198" i="55"/>
  <c r="AD168" i="55"/>
  <c r="AD187" i="55"/>
  <c r="BB198" i="55"/>
  <c r="BB168" i="55"/>
  <c r="BB187" i="55"/>
  <c r="Y71" i="55"/>
  <c r="I39" i="23" s="1"/>
  <c r="AP76" i="55"/>
  <c r="AE198" i="55"/>
  <c r="AE168" i="55"/>
  <c r="BC198" i="55"/>
  <c r="BC168" i="55"/>
  <c r="BC187" i="55"/>
  <c r="AK71" i="55"/>
  <c r="I40" i="23" s="1"/>
  <c r="AQ76" i="55"/>
  <c r="AT78" i="55"/>
  <c r="AT157" i="55" s="1"/>
  <c r="AG198" i="55"/>
  <c r="AG168" i="55"/>
  <c r="AG187" i="55"/>
  <c r="BE198" i="55"/>
  <c r="BE168" i="55"/>
  <c r="BE187" i="55"/>
  <c r="AW71" i="55"/>
  <c r="I41" i="23" s="1"/>
  <c r="AS76" i="55"/>
  <c r="P121" i="23"/>
  <c r="O121" i="23"/>
  <c r="I34" i="23" l="1"/>
  <c r="AM64" i="55"/>
  <c r="AZ304" i="55"/>
  <c r="AY228" i="55"/>
  <c r="AN304" i="55"/>
  <c r="BC263" i="55"/>
  <c r="BG281" i="55"/>
  <c r="O304" i="55"/>
  <c r="AB290" i="105"/>
  <c r="Y64" i="105"/>
  <c r="J64" i="105" s="1"/>
  <c r="M274" i="105"/>
  <c r="J274" i="105" s="1"/>
  <c r="AB290" i="104"/>
  <c r="Y64" i="104"/>
  <c r="J64" i="104" s="1"/>
  <c r="AA62" i="55"/>
  <c r="AA290" i="55"/>
  <c r="AB232" i="55"/>
  <c r="AB290" i="55"/>
  <c r="AY62" i="55"/>
  <c r="AW62" i="55" s="1"/>
  <c r="AY290" i="55"/>
  <c r="AY53" i="55"/>
  <c r="P62" i="55"/>
  <c r="P230" i="55" s="1"/>
  <c r="P298" i="55" s="1"/>
  <c r="P300" i="55" s="1" a="1"/>
  <c r="P300" i="55" s="1"/>
  <c r="P290" i="55"/>
  <c r="AM62" i="55"/>
  <c r="AK62" i="55" s="1"/>
  <c r="AM290" i="55"/>
  <c r="O63" i="55"/>
  <c r="O289" i="55"/>
  <c r="AA232" i="55"/>
  <c r="AB290" i="103"/>
  <c r="Y64" i="103"/>
  <c r="J64" i="103" s="1"/>
  <c r="AB290" i="106"/>
  <c r="Y64" i="106"/>
  <c r="J64" i="106" s="1"/>
  <c r="AB290" i="107"/>
  <c r="Y64" i="107"/>
  <c r="J64" i="107" s="1"/>
  <c r="P232" i="107"/>
  <c r="AB62" i="107"/>
  <c r="Y62" i="107" s="1"/>
  <c r="J62" i="107" s="1"/>
  <c r="M54" i="106"/>
  <c r="P78" i="106"/>
  <c r="AB62" i="106"/>
  <c r="Y62" i="106" s="1"/>
  <c r="J62" i="106" s="1"/>
  <c r="M54" i="105"/>
  <c r="P232" i="105"/>
  <c r="AB62" i="105"/>
  <c r="Y62" i="105" s="1"/>
  <c r="J62" i="105" s="1"/>
  <c r="M54" i="104"/>
  <c r="P78" i="104"/>
  <c r="AB62" i="104"/>
  <c r="Y62" i="104" s="1"/>
  <c r="J62" i="104" s="1"/>
  <c r="M54" i="103"/>
  <c r="P78" i="103"/>
  <c r="V245" i="103" s="1"/>
  <c r="AB62" i="103"/>
  <c r="Y62" i="103" s="1"/>
  <c r="J62" i="103" s="1"/>
  <c r="AB62" i="55"/>
  <c r="R239" i="107"/>
  <c r="W239" i="107"/>
  <c r="O239" i="107"/>
  <c r="O65" i="55"/>
  <c r="U239" i="107"/>
  <c r="Q239" i="107"/>
  <c r="J65" i="107"/>
  <c r="T239" i="107"/>
  <c r="V239" i="107"/>
  <c r="P239" i="107"/>
  <c r="J31" i="105"/>
  <c r="AM67" i="55"/>
  <c r="AM63" i="55"/>
  <c r="AM61" i="55"/>
  <c r="AT56" i="55" a="1"/>
  <c r="AT56" i="55" s="1"/>
  <c r="AT54" i="55" s="1"/>
  <c r="AT61" i="55"/>
  <c r="AT63" i="55"/>
  <c r="AP56" i="55" a="1"/>
  <c r="AP56" i="55" s="1"/>
  <c r="AP54" i="55" s="1"/>
  <c r="AP61" i="55"/>
  <c r="AP63" i="55"/>
  <c r="BE56" i="55" a="1"/>
  <c r="BE56" i="55" s="1"/>
  <c r="BE54" i="55" s="1"/>
  <c r="BE63" i="55"/>
  <c r="BE61" i="55"/>
  <c r="BC56" i="55" a="1"/>
  <c r="BC56" i="55" s="1"/>
  <c r="BC54" i="55" s="1"/>
  <c r="BC61" i="55"/>
  <c r="BC63" i="55"/>
  <c r="BA56" i="55" a="1"/>
  <c r="BA56" i="55" s="1"/>
  <c r="BA54" i="55" s="1"/>
  <c r="BA61" i="55"/>
  <c r="BA63" i="55"/>
  <c r="AU56" i="55" a="1"/>
  <c r="AU56" i="55" s="1"/>
  <c r="AU54" i="55" s="1"/>
  <c r="AU63" i="55"/>
  <c r="AU61" i="55"/>
  <c r="AN56" i="55" a="1"/>
  <c r="AN56" i="55" s="1"/>
  <c r="AN54" i="55" s="1"/>
  <c r="AN61" i="55"/>
  <c r="AN63" i="55"/>
  <c r="BB56" i="55" a="1"/>
  <c r="BB56" i="55" s="1"/>
  <c r="BB54" i="55" s="1"/>
  <c r="BB61" i="55"/>
  <c r="BB63" i="55"/>
  <c r="O61" i="55"/>
  <c r="BG56" i="55" a="1"/>
  <c r="BG56" i="55" s="1"/>
  <c r="BG54" i="55" s="1"/>
  <c r="BG63" i="55"/>
  <c r="BG61" i="55"/>
  <c r="AS56" i="55" a="1"/>
  <c r="AS56" i="55" s="1"/>
  <c r="AS54" i="55" s="1"/>
  <c r="AS61" i="55"/>
  <c r="AS63" i="55"/>
  <c r="BF56" i="55" a="1"/>
  <c r="BF56" i="55" s="1"/>
  <c r="BF54" i="55" s="1"/>
  <c r="BF63" i="55"/>
  <c r="BF61" i="55"/>
  <c r="AZ56" i="55" a="1"/>
  <c r="AZ56" i="55" s="1"/>
  <c r="AZ54" i="55" s="1"/>
  <c r="AZ61" i="55"/>
  <c r="AZ63" i="55"/>
  <c r="AQ56" i="55" a="1"/>
  <c r="AQ56" i="55" s="1"/>
  <c r="AQ54" i="55" s="1"/>
  <c r="AQ61" i="55"/>
  <c r="AQ63" i="55"/>
  <c r="AB285" i="55" a="1"/>
  <c r="AB285" i="55" s="1"/>
  <c r="AY67" i="55"/>
  <c r="AY63" i="55"/>
  <c r="AY61" i="55"/>
  <c r="AO56" i="55" a="1"/>
  <c r="AO56" i="55" s="1"/>
  <c r="AO54" i="55" s="1"/>
  <c r="AO63" i="55"/>
  <c r="AO61" i="55"/>
  <c r="J31" i="103"/>
  <c r="O67" i="55"/>
  <c r="I35" i="23"/>
  <c r="R230" i="55"/>
  <c r="O238" i="107"/>
  <c r="AB285" i="104" a="1"/>
  <c r="AB285" i="104" s="1"/>
  <c r="AB285" i="103" a="1"/>
  <c r="AB285" i="103" s="1"/>
  <c r="AB285" i="106" a="1"/>
  <c r="AB285" i="106" s="1"/>
  <c r="AA301" i="103"/>
  <c r="AA298" i="103"/>
  <c r="AA298" i="107"/>
  <c r="AA301" i="107"/>
  <c r="AB285" i="107" a="1"/>
  <c r="AB285" i="107" s="1"/>
  <c r="AA298" i="105"/>
  <c r="AA301" i="105"/>
  <c r="AA298" i="104"/>
  <c r="AA301" i="104"/>
  <c r="AB285" i="105" a="1"/>
  <c r="AB285" i="105" s="1"/>
  <c r="AA298" i="106"/>
  <c r="AA301" i="106"/>
  <c r="M65" i="106"/>
  <c r="R239" i="106" s="1"/>
  <c r="Q78" i="104"/>
  <c r="Q88" i="104" s="1"/>
  <c r="Q91" i="104" s="1"/>
  <c r="Q217" i="104" s="1"/>
  <c r="M65" i="105"/>
  <c r="Q78" i="103"/>
  <c r="Q88" i="103" s="1"/>
  <c r="R237" i="105"/>
  <c r="O237" i="103"/>
  <c r="T248" i="103"/>
  <c r="P298" i="103"/>
  <c r="P300" i="103" s="1" a="1"/>
  <c r="P300" i="103" s="1"/>
  <c r="P285" i="103" a="1"/>
  <c r="P285" i="103" s="1"/>
  <c r="P301" i="103"/>
  <c r="P286" i="103" a="1"/>
  <c r="P286" i="103" s="1"/>
  <c r="U248" i="105"/>
  <c r="T248" i="105"/>
  <c r="AM165" i="106"/>
  <c r="AK165" i="106" s="1"/>
  <c r="AY110" i="105"/>
  <c r="AW110" i="105" s="1"/>
  <c r="AY158" i="105"/>
  <c r="AW158" i="105" s="1"/>
  <c r="AY138" i="105"/>
  <c r="AW138" i="105" s="1"/>
  <c r="AY98" i="105"/>
  <c r="AY99" i="105"/>
  <c r="O51" i="55"/>
  <c r="T78" i="106"/>
  <c r="R311" i="106" s="1"/>
  <c r="M68" i="105"/>
  <c r="J68" i="105" s="1"/>
  <c r="M68" i="104"/>
  <c r="J68" i="104" s="1"/>
  <c r="AW115" i="103"/>
  <c r="AY98" i="103"/>
  <c r="S249" i="107"/>
  <c r="Q78" i="106"/>
  <c r="Q88" i="106" s="1"/>
  <c r="T159" i="107"/>
  <c r="T162" i="107" s="1"/>
  <c r="T12" i="107" s="1"/>
  <c r="Q311" i="107"/>
  <c r="T205" i="107"/>
  <c r="T207" i="107" s="1"/>
  <c r="U311" i="107"/>
  <c r="P287" i="105" a="1"/>
  <c r="P287" i="105" s="1"/>
  <c r="M68" i="106"/>
  <c r="J68" i="106" s="1"/>
  <c r="U237" i="103"/>
  <c r="W249" i="107"/>
  <c r="R311" i="107"/>
  <c r="V249" i="107"/>
  <c r="V311" i="107"/>
  <c r="R249" i="107"/>
  <c r="U249" i="107"/>
  <c r="Q249" i="107"/>
  <c r="T249" i="107"/>
  <c r="P249" i="107"/>
  <c r="O249" i="107"/>
  <c r="O311" i="107"/>
  <c r="P301" i="105"/>
  <c r="S311" i="107"/>
  <c r="P285" i="105" a="1"/>
  <c r="P285" i="105" s="1"/>
  <c r="W311" i="107"/>
  <c r="P298" i="105"/>
  <c r="P297" i="105" s="1"/>
  <c r="P311" i="107"/>
  <c r="P286" i="105" a="1"/>
  <c r="P286" i="105" s="1"/>
  <c r="Q78" i="105"/>
  <c r="Q88" i="105" s="1"/>
  <c r="AM116" i="107"/>
  <c r="AM120" i="107" s="1"/>
  <c r="AM215" i="107"/>
  <c r="AK215" i="107" s="1"/>
  <c r="AM212" i="107"/>
  <c r="P237" i="105"/>
  <c r="AK138" i="107"/>
  <c r="AM214" i="107"/>
  <c r="AK214" i="107" s="1"/>
  <c r="AY110" i="103"/>
  <c r="AW110" i="103" s="1"/>
  <c r="AZ126" i="103"/>
  <c r="AZ156" i="103" s="1"/>
  <c r="AZ165" i="103" s="1"/>
  <c r="AZ13" i="103" s="1"/>
  <c r="AY99" i="103"/>
  <c r="AY138" i="103"/>
  <c r="AY141" i="103" s="1"/>
  <c r="AY158" i="103"/>
  <c r="AW158" i="103" s="1"/>
  <c r="AY126" i="103"/>
  <c r="AY156" i="103" s="1"/>
  <c r="Q237" i="105"/>
  <c r="O237" i="105"/>
  <c r="T237" i="105"/>
  <c r="S237" i="105"/>
  <c r="BF294" i="105"/>
  <c r="W237" i="105"/>
  <c r="V237" i="105"/>
  <c r="U237" i="105"/>
  <c r="Q237" i="103"/>
  <c r="S237" i="103"/>
  <c r="T237" i="103"/>
  <c r="AY98" i="106"/>
  <c r="AM141" i="107"/>
  <c r="AK141" i="107" s="1"/>
  <c r="R237" i="103"/>
  <c r="W237" i="103"/>
  <c r="V237" i="103"/>
  <c r="AM143" i="107"/>
  <c r="AM147" i="107"/>
  <c r="W248" i="105"/>
  <c r="R238" i="107"/>
  <c r="V248" i="105"/>
  <c r="AG294" i="103"/>
  <c r="BC294" i="105"/>
  <c r="BE294" i="105"/>
  <c r="V294" i="105"/>
  <c r="AG294" i="105"/>
  <c r="U244" i="105"/>
  <c r="AF294" i="105"/>
  <c r="AQ294" i="105"/>
  <c r="U294" i="103"/>
  <c r="BB294" i="103"/>
  <c r="U248" i="103"/>
  <c r="W248" i="103"/>
  <c r="V248" i="103"/>
  <c r="U238" i="107"/>
  <c r="P238" i="107"/>
  <c r="V244" i="103"/>
  <c r="AH294" i="103"/>
  <c r="W244" i="103"/>
  <c r="AE294" i="105"/>
  <c r="AH294" i="105"/>
  <c r="AP294" i="105"/>
  <c r="AC294" i="105"/>
  <c r="AU294" i="105"/>
  <c r="BB294" i="105"/>
  <c r="O88" i="105"/>
  <c r="O91" i="105" s="1"/>
  <c r="O217" i="105" s="1"/>
  <c r="T78" i="105"/>
  <c r="BA294" i="103"/>
  <c r="T244" i="103"/>
  <c r="P237" i="103"/>
  <c r="AS294" i="103"/>
  <c r="T294" i="103"/>
  <c r="BG294" i="103"/>
  <c r="AI294" i="105"/>
  <c r="AD294" i="105"/>
  <c r="U294" i="105"/>
  <c r="W244" i="105"/>
  <c r="V244" i="105"/>
  <c r="W294" i="105"/>
  <c r="BG294" i="105"/>
  <c r="AR294" i="105"/>
  <c r="W294" i="103"/>
  <c r="AE294" i="103"/>
  <c r="AT294" i="103"/>
  <c r="AO294" i="105"/>
  <c r="T294" i="105"/>
  <c r="BA294" i="105"/>
  <c r="BD294" i="105"/>
  <c r="AZ294" i="105"/>
  <c r="AS294" i="105"/>
  <c r="T244" i="105"/>
  <c r="F2" i="107"/>
  <c r="T78" i="104"/>
  <c r="W311" i="104" s="1"/>
  <c r="AY138" i="106"/>
  <c r="AW138" i="106" s="1"/>
  <c r="AY110" i="106"/>
  <c r="AW110" i="106" s="1"/>
  <c r="AY99" i="106"/>
  <c r="AY158" i="106"/>
  <c r="AW158" i="106" s="1"/>
  <c r="AM115" i="103"/>
  <c r="AM98" i="103"/>
  <c r="AM158" i="103"/>
  <c r="AK158" i="103" s="1"/>
  <c r="AM110" i="103"/>
  <c r="AM99" i="103"/>
  <c r="AM138" i="103"/>
  <c r="AM162" i="106"/>
  <c r="AK162" i="106" s="1"/>
  <c r="BA126" i="107"/>
  <c r="BA156" i="107" s="1"/>
  <c r="AZ126" i="107"/>
  <c r="AZ156" i="107" s="1"/>
  <c r="AY126" i="107"/>
  <c r="AW115" i="107"/>
  <c r="AK126" i="107"/>
  <c r="AM156" i="107"/>
  <c r="AO162" i="107"/>
  <c r="AO165" i="107"/>
  <c r="AO13" i="107" s="1"/>
  <c r="AN162" i="107"/>
  <c r="AN165" i="107"/>
  <c r="AN13" i="107" s="1"/>
  <c r="AN174" i="107"/>
  <c r="Q238" i="107"/>
  <c r="T238" i="107"/>
  <c r="W238" i="107"/>
  <c r="V238" i="107"/>
  <c r="S238" i="107"/>
  <c r="AY138" i="107"/>
  <c r="AY158" i="107"/>
  <c r="AW158" i="107" s="1"/>
  <c r="AY99" i="107"/>
  <c r="AY110" i="107"/>
  <c r="AY98" i="107"/>
  <c r="AY157" i="107" s="1"/>
  <c r="O91" i="107"/>
  <c r="O217" i="107" s="1"/>
  <c r="Q91" i="107"/>
  <c r="Q217" i="107" s="1"/>
  <c r="AZ126" i="106"/>
  <c r="AZ156" i="106" s="1"/>
  <c r="BA126" i="106"/>
  <c r="BA156" i="106" s="1"/>
  <c r="AY126" i="106"/>
  <c r="AW115" i="106"/>
  <c r="AM145" i="106"/>
  <c r="AK141" i="106"/>
  <c r="AM149" i="106"/>
  <c r="AK149" i="106" s="1"/>
  <c r="AM170" i="106"/>
  <c r="AK116" i="106"/>
  <c r="AM124" i="106"/>
  <c r="AM174" i="106"/>
  <c r="AM120" i="106"/>
  <c r="AM219" i="106"/>
  <c r="AK212" i="106"/>
  <c r="AK219" i="106" s="1"/>
  <c r="AW115" i="105"/>
  <c r="BA126" i="105"/>
  <c r="BA156" i="105" s="1"/>
  <c r="AY126" i="105"/>
  <c r="AZ126" i="105"/>
  <c r="AZ156" i="105" s="1"/>
  <c r="AO126" i="105"/>
  <c r="AO156" i="105" s="1"/>
  <c r="AK115" i="105"/>
  <c r="AN126" i="105"/>
  <c r="AN156" i="105" s="1"/>
  <c r="AM126" i="105"/>
  <c r="AM138" i="105"/>
  <c r="AM110" i="105"/>
  <c r="AM99" i="105"/>
  <c r="AM98" i="105"/>
  <c r="AM158" i="105"/>
  <c r="Q91" i="105"/>
  <c r="Q217" i="105" s="1"/>
  <c r="AO126" i="104"/>
  <c r="AO156" i="104" s="1"/>
  <c r="AK115" i="104"/>
  <c r="AM126" i="104"/>
  <c r="AN126" i="104"/>
  <c r="AN156" i="104" s="1"/>
  <c r="AZ126" i="104"/>
  <c r="AZ156" i="104" s="1"/>
  <c r="AY126" i="104"/>
  <c r="BA126" i="104"/>
  <c r="BA156" i="104" s="1"/>
  <c r="AW115" i="104"/>
  <c r="M65" i="104"/>
  <c r="AK157" i="104"/>
  <c r="AM158" i="104"/>
  <c r="AM138" i="104"/>
  <c r="AM110" i="104"/>
  <c r="AM99" i="104"/>
  <c r="AM98" i="104"/>
  <c r="AY138" i="104"/>
  <c r="AY158" i="104"/>
  <c r="AY98" i="104"/>
  <c r="AY99" i="104"/>
  <c r="AY110" i="104"/>
  <c r="BA162" i="103"/>
  <c r="BA165" i="103"/>
  <c r="BA13" i="103" s="1"/>
  <c r="M65" i="103"/>
  <c r="O88" i="103"/>
  <c r="O91" i="103" s="1"/>
  <c r="O217" i="103" s="1"/>
  <c r="Q91" i="103"/>
  <c r="Q217" i="103" s="1"/>
  <c r="AY269" i="107"/>
  <c r="AW269" i="107" s="1"/>
  <c r="AM267" i="107"/>
  <c r="AN267" i="107"/>
  <c r="AY189" i="107"/>
  <c r="AY270" i="107"/>
  <c r="AW270" i="107" s="1"/>
  <c r="P297" i="107"/>
  <c r="P300" i="107" a="1"/>
  <c r="P300" i="107" s="1"/>
  <c r="M274" i="106"/>
  <c r="J274" i="106" s="1"/>
  <c r="AY267" i="107"/>
  <c r="AM270" i="107"/>
  <c r="AN270" i="107"/>
  <c r="P88" i="107"/>
  <c r="P97" i="107" s="1"/>
  <c r="V245" i="107"/>
  <c r="U245" i="107"/>
  <c r="T245" i="107"/>
  <c r="W245" i="107"/>
  <c r="S174" i="107"/>
  <c r="S190" i="107" s="1"/>
  <c r="S194" i="107" s="1"/>
  <c r="S162" i="107"/>
  <c r="R248" i="107" s="1"/>
  <c r="S165" i="107"/>
  <c r="AM189" i="107"/>
  <c r="AM269" i="107"/>
  <c r="AN269" i="107"/>
  <c r="M237" i="107"/>
  <c r="R174" i="107"/>
  <c r="R190" i="107" s="1"/>
  <c r="R194" i="107" s="1"/>
  <c r="R162" i="107"/>
  <c r="R247" i="107" s="1"/>
  <c r="R165" i="107"/>
  <c r="AY157" i="106"/>
  <c r="AW157" i="106" s="1"/>
  <c r="AQ294" i="103"/>
  <c r="AF294" i="103"/>
  <c r="AI294" i="103"/>
  <c r="AR294" i="103"/>
  <c r="V294" i="103"/>
  <c r="AZ294" i="103"/>
  <c r="AC294" i="103"/>
  <c r="AU294" i="103"/>
  <c r="BE294" i="103"/>
  <c r="BC294" i="103"/>
  <c r="U244" i="103"/>
  <c r="BD294" i="103"/>
  <c r="AO294" i="103"/>
  <c r="AD294" i="103"/>
  <c r="AP294" i="103"/>
  <c r="F2" i="105"/>
  <c r="O88" i="106"/>
  <c r="T244" i="106"/>
  <c r="AF294" i="106"/>
  <c r="AP294" i="106"/>
  <c r="BD294" i="106"/>
  <c r="AQ294" i="106"/>
  <c r="AU294" i="106"/>
  <c r="BA294" i="106"/>
  <c r="BE294" i="106"/>
  <c r="BF294" i="106"/>
  <c r="V294" i="106"/>
  <c r="AG294" i="106"/>
  <c r="AD294" i="106"/>
  <c r="AR294" i="106"/>
  <c r="BB294" i="106"/>
  <c r="V244" i="106"/>
  <c r="AZ294" i="106"/>
  <c r="W294" i="106"/>
  <c r="AC294" i="106"/>
  <c r="AI294" i="106"/>
  <c r="T294" i="106"/>
  <c r="AH294" i="106"/>
  <c r="AT294" i="106"/>
  <c r="W244" i="106"/>
  <c r="AO294" i="106"/>
  <c r="BG294" i="106"/>
  <c r="AS294" i="106"/>
  <c r="U294" i="106"/>
  <c r="U244" i="106"/>
  <c r="AE294" i="106"/>
  <c r="BC294" i="106"/>
  <c r="P287" i="106" a="1"/>
  <c r="P287" i="106" s="1"/>
  <c r="P286" i="106" a="1"/>
  <c r="P286" i="106" s="1"/>
  <c r="P301" i="106"/>
  <c r="P298" i="106"/>
  <c r="P285" i="106" a="1"/>
  <c r="P285" i="106" s="1"/>
  <c r="AK244" i="106"/>
  <c r="AM314" i="106"/>
  <c r="AK306" i="106"/>
  <c r="AK314" i="106" s="1"/>
  <c r="AM194" i="106"/>
  <c r="J31" i="106"/>
  <c r="J83" i="106"/>
  <c r="F2" i="106" s="1"/>
  <c r="R237" i="106"/>
  <c r="U237" i="106"/>
  <c r="P237" i="106"/>
  <c r="T237" i="106"/>
  <c r="Q237" i="106"/>
  <c r="W237" i="106"/>
  <c r="V237" i="106"/>
  <c r="S237" i="106"/>
  <c r="O237" i="106"/>
  <c r="S157" i="106"/>
  <c r="V248" i="106"/>
  <c r="W248" i="106"/>
  <c r="T248" i="106"/>
  <c r="U248" i="106"/>
  <c r="R157" i="106"/>
  <c r="AY157" i="103"/>
  <c r="AW157" i="103" s="1"/>
  <c r="S174" i="105"/>
  <c r="S190" i="105" s="1"/>
  <c r="S194" i="105" s="1"/>
  <c r="S165" i="105"/>
  <c r="S162" i="105"/>
  <c r="AW157" i="105"/>
  <c r="AY269" i="105"/>
  <c r="AW269" i="105" s="1"/>
  <c r="AN270" i="105"/>
  <c r="AM270" i="105"/>
  <c r="R174" i="105"/>
  <c r="R190" i="105" s="1"/>
  <c r="R194" i="105" s="1"/>
  <c r="R165" i="105"/>
  <c r="R162" i="105"/>
  <c r="R247" i="105" s="1"/>
  <c r="AY189" i="105"/>
  <c r="AY270" i="105"/>
  <c r="AW270" i="105" s="1"/>
  <c r="AM189" i="105"/>
  <c r="AM269" i="105"/>
  <c r="AN269" i="105"/>
  <c r="AY267" i="105"/>
  <c r="AM267" i="105"/>
  <c r="AN267" i="105"/>
  <c r="AM270" i="104"/>
  <c r="AN270" i="104"/>
  <c r="AY267" i="104"/>
  <c r="O88" i="104"/>
  <c r="O91" i="104" s="1"/>
  <c r="O217" i="104" s="1"/>
  <c r="AI294" i="104"/>
  <c r="V244" i="104"/>
  <c r="AP294" i="104"/>
  <c r="AT294" i="104"/>
  <c r="AZ294" i="104"/>
  <c r="BD294" i="104"/>
  <c r="W294" i="104"/>
  <c r="AC294" i="104"/>
  <c r="AQ294" i="104"/>
  <c r="AU294" i="104"/>
  <c r="BA294" i="104"/>
  <c r="BE294" i="104"/>
  <c r="T244" i="104"/>
  <c r="U294" i="104"/>
  <c r="AE294" i="104"/>
  <c r="BC294" i="104"/>
  <c r="BG294" i="104"/>
  <c r="W244" i="104"/>
  <c r="AR294" i="104"/>
  <c r="AF294" i="104"/>
  <c r="T294" i="104"/>
  <c r="AH294" i="104"/>
  <c r="BB294" i="104"/>
  <c r="BF294" i="104"/>
  <c r="U244" i="104"/>
  <c r="AO294" i="104"/>
  <c r="AS294" i="104"/>
  <c r="V294" i="104"/>
  <c r="AG294" i="104"/>
  <c r="AD294" i="104"/>
  <c r="P287" i="104" a="1"/>
  <c r="P287" i="104" s="1"/>
  <c r="P286" i="104" a="1"/>
  <c r="P286" i="104" s="1"/>
  <c r="P298" i="104"/>
  <c r="P285" i="104" a="1"/>
  <c r="P285" i="104" s="1"/>
  <c r="P301" i="104"/>
  <c r="AY189" i="104"/>
  <c r="S157" i="104"/>
  <c r="U248" i="104"/>
  <c r="V248" i="104"/>
  <c r="T248" i="104"/>
  <c r="W248" i="104"/>
  <c r="M274" i="104"/>
  <c r="J274" i="104" s="1"/>
  <c r="AM189" i="104"/>
  <c r="AN269" i="104"/>
  <c r="AM269" i="104"/>
  <c r="AY269" i="104"/>
  <c r="AW269" i="104" s="1"/>
  <c r="S237" i="104"/>
  <c r="Q237" i="104"/>
  <c r="P237" i="104"/>
  <c r="O237" i="104"/>
  <c r="W237" i="104"/>
  <c r="T237" i="104"/>
  <c r="U237" i="104"/>
  <c r="R237" i="104"/>
  <c r="V237" i="104"/>
  <c r="J83" i="104"/>
  <c r="F2" i="104" s="1"/>
  <c r="J31" i="104"/>
  <c r="R157" i="104"/>
  <c r="T78" i="103"/>
  <c r="M68" i="103"/>
  <c r="J68" i="103" s="1"/>
  <c r="F2" i="103"/>
  <c r="AM267" i="104"/>
  <c r="AN267" i="104"/>
  <c r="AN276" i="104" s="1"/>
  <c r="AY270" i="104"/>
  <c r="AW270" i="104" s="1"/>
  <c r="M274" i="103"/>
  <c r="J274" i="103" s="1"/>
  <c r="S174" i="103"/>
  <c r="S190" i="103" s="1"/>
  <c r="S194" i="103" s="1"/>
  <c r="S162" i="103"/>
  <c r="Q248" i="103" s="1"/>
  <c r="S165" i="103"/>
  <c r="AM189" i="103"/>
  <c r="R174" i="103"/>
  <c r="R190" i="103" s="1"/>
  <c r="R194" i="103" s="1"/>
  <c r="R162" i="103"/>
  <c r="R247" i="103" s="1"/>
  <c r="R165" i="103"/>
  <c r="AM270" i="103"/>
  <c r="AN270" i="103"/>
  <c r="AM267" i="103"/>
  <c r="AN267" i="103"/>
  <c r="AM269" i="103"/>
  <c r="AN269" i="103"/>
  <c r="P232" i="55"/>
  <c r="J54" i="43"/>
  <c r="BO11" i="24"/>
  <c r="BP11" i="24" s="1"/>
  <c r="BQ11" i="24" s="1"/>
  <c r="BR11" i="24" s="1"/>
  <c r="BS11" i="24" s="1"/>
  <c r="BT11" i="24" s="1"/>
  <c r="BU11" i="24" s="1"/>
  <c r="BV11" i="24" s="1"/>
  <c r="BW11" i="24" s="1"/>
  <c r="BX11" i="24" s="1"/>
  <c r="BY11" i="24" s="1"/>
  <c r="BZ11" i="24" s="1"/>
  <c r="CA11" i="24" s="1"/>
  <c r="CB11" i="24" s="1"/>
  <c r="CC11" i="24" s="1"/>
  <c r="CD11" i="24" s="1"/>
  <c r="CE11" i="24" s="1"/>
  <c r="CF11" i="24" s="1"/>
  <c r="CG11" i="24" s="1"/>
  <c r="CH11" i="24" s="1"/>
  <c r="CI11" i="24" s="1"/>
  <c r="CJ11" i="24" s="1"/>
  <c r="CK11" i="24" s="1"/>
  <c r="CL11" i="24" s="1"/>
  <c r="CM11" i="24" s="1"/>
  <c r="CN11" i="24" s="1"/>
  <c r="CO11" i="24" s="1"/>
  <c r="CP11" i="24" s="1"/>
  <c r="CQ11" i="24" s="1"/>
  <c r="CR11" i="24" s="1"/>
  <c r="CS11" i="24" s="1"/>
  <c r="CT11" i="24" s="1"/>
  <c r="CU11" i="24" s="1"/>
  <c r="CV11" i="24" s="1"/>
  <c r="CW11" i="24" s="1"/>
  <c r="CX11" i="24" s="1"/>
  <c r="CY11" i="24" s="1"/>
  <c r="CZ11" i="24" s="1"/>
  <c r="DA11" i="24" s="1"/>
  <c r="DB11" i="24" s="1"/>
  <c r="DC11" i="24" s="1"/>
  <c r="DD11" i="24" s="1"/>
  <c r="DE11" i="24" s="1"/>
  <c r="DF11" i="24" s="1"/>
  <c r="DG11" i="24" s="1"/>
  <c r="DH11" i="24" s="1"/>
  <c r="DI11" i="24" s="1"/>
  <c r="DJ11" i="24" s="1"/>
  <c r="DK11" i="24" s="1"/>
  <c r="DL11" i="24" s="1"/>
  <c r="DM11" i="24" s="1"/>
  <c r="DN11" i="24" s="1"/>
  <c r="DO11" i="24" s="1"/>
  <c r="DP11" i="24" s="1"/>
  <c r="DQ11" i="24" s="1"/>
  <c r="DR11" i="24" s="1"/>
  <c r="DS11" i="24" s="1"/>
  <c r="DT11" i="24" s="1"/>
  <c r="DU11" i="24" s="1"/>
  <c r="DV11" i="24" s="1"/>
  <c r="DW11" i="24" s="1"/>
  <c r="DX11" i="24" s="1"/>
  <c r="DY11" i="24" s="1"/>
  <c r="DZ11" i="24" s="1"/>
  <c r="EA11" i="24" s="1"/>
  <c r="EB11" i="24" s="1"/>
  <c r="R301" i="55"/>
  <c r="R298" i="55"/>
  <c r="BD298" i="55"/>
  <c r="BD301" i="55"/>
  <c r="AD298" i="55"/>
  <c r="AD301" i="55"/>
  <c r="Q301" i="55"/>
  <c r="Q298" i="55"/>
  <c r="U298" i="55"/>
  <c r="U301" i="55"/>
  <c r="T298" i="55"/>
  <c r="T301" i="55"/>
  <c r="AC301" i="55"/>
  <c r="AC298" i="55"/>
  <c r="AE298" i="55"/>
  <c r="AE301" i="55"/>
  <c r="S298" i="55"/>
  <c r="S301" i="55"/>
  <c r="AR298" i="55"/>
  <c r="AR301" i="55"/>
  <c r="AG298" i="55"/>
  <c r="AG301" i="55"/>
  <c r="AF298" i="55"/>
  <c r="AF301" i="55"/>
  <c r="BB283" i="55"/>
  <c r="BB285" i="55" s="1" a="1"/>
  <c r="BB285" i="55" s="1"/>
  <c r="BB67" i="55"/>
  <c r="BB230" i="55"/>
  <c r="AQ283" i="55"/>
  <c r="AQ286" i="55" s="1" a="1"/>
  <c r="AQ286" i="55" s="1"/>
  <c r="AQ67" i="55"/>
  <c r="AQ230" i="55"/>
  <c r="BC67" i="55"/>
  <c r="BC230" i="55"/>
  <c r="BA283" i="55"/>
  <c r="BA285" i="55" s="1" a="1"/>
  <c r="BA285" i="55" s="1"/>
  <c r="BA67" i="55"/>
  <c r="BA230" i="55"/>
  <c r="AU283" i="55"/>
  <c r="AU285" i="55" s="1" a="1"/>
  <c r="AU285" i="55" s="1"/>
  <c r="AU67" i="55"/>
  <c r="AU230" i="55"/>
  <c r="AP283" i="55"/>
  <c r="AP286" i="55" s="1" a="1"/>
  <c r="AP286" i="55" s="1"/>
  <c r="AP67" i="55"/>
  <c r="AP230" i="55"/>
  <c r="AT283" i="55"/>
  <c r="AT285" i="55" s="1" a="1"/>
  <c r="AT285" i="55" s="1"/>
  <c r="AT230" i="55"/>
  <c r="AT67" i="55"/>
  <c r="AO283" i="55"/>
  <c r="AO285" i="55" s="1" a="1"/>
  <c r="AO285" i="55" s="1"/>
  <c r="AO67" i="55"/>
  <c r="AO230" i="55"/>
  <c r="BG283" i="55"/>
  <c r="BG285" i="55" s="1" a="1"/>
  <c r="BG285" i="55" s="1"/>
  <c r="BG67" i="55"/>
  <c r="BG230" i="55"/>
  <c r="AS283" i="55"/>
  <c r="AS285" i="55" s="1" a="1"/>
  <c r="AS285" i="55" s="1"/>
  <c r="AS230" i="55"/>
  <c r="AS67" i="55"/>
  <c r="BF283" i="55"/>
  <c r="BF287" i="55" s="1" a="1"/>
  <c r="BF287" i="55" s="1"/>
  <c r="BF67" i="55"/>
  <c r="BF230" i="55"/>
  <c r="BE283" i="55"/>
  <c r="BE285" i="55" s="1" a="1"/>
  <c r="BE285" i="55" s="1"/>
  <c r="BE67" i="55"/>
  <c r="BE230" i="55"/>
  <c r="AH301" i="55"/>
  <c r="AH298" i="55"/>
  <c r="AI285" i="55" a="1"/>
  <c r="AI285" i="55" s="1"/>
  <c r="AI230" i="55"/>
  <c r="AZ283" i="55"/>
  <c r="AZ285" i="55" s="1" a="1"/>
  <c r="AZ285" i="55" s="1"/>
  <c r="AZ67" i="55"/>
  <c r="AZ230" i="55"/>
  <c r="AN283" i="55"/>
  <c r="AN287" i="55" s="1" a="1"/>
  <c r="AN287" i="55" s="1"/>
  <c r="AN67" i="55"/>
  <c r="AN230" i="55"/>
  <c r="AA285" i="55" a="1"/>
  <c r="AA285" i="55" s="1"/>
  <c r="V285" i="55" a="1"/>
  <c r="V285" i="55" s="1"/>
  <c r="V230" i="55"/>
  <c r="AM56" i="55" a="1"/>
  <c r="AM56" i="55" s="1"/>
  <c r="AM54" i="55" s="1"/>
  <c r="AM230" i="55" s="1"/>
  <c r="AY56" i="55" a="1"/>
  <c r="AY56" i="55" s="1"/>
  <c r="AY54" i="55" s="1"/>
  <c r="AY230" i="55" s="1"/>
  <c r="AY3" i="55"/>
  <c r="AY4" i="55"/>
  <c r="AA3" i="55"/>
  <c r="AA4" i="55"/>
  <c r="AM4" i="55"/>
  <c r="AM3" i="55"/>
  <c r="AY69" i="55"/>
  <c r="P274" i="55"/>
  <c r="AI218" i="55"/>
  <c r="AI219" i="55" s="1"/>
  <c r="BC283" i="55"/>
  <c r="W287" i="55" a="1"/>
  <c r="W287" i="55" s="1"/>
  <c r="W285" i="55" a="1"/>
  <c r="W285" i="55" s="1"/>
  <c r="P285" i="55" a="1"/>
  <c r="P285" i="55" s="1"/>
  <c r="P286" i="55" a="1"/>
  <c r="P286" i="55" s="1"/>
  <c r="BA232" i="55"/>
  <c r="BC232" i="55"/>
  <c r="BB232" i="55"/>
  <c r="AZ232" i="55"/>
  <c r="BG232" i="55"/>
  <c r="AY232" i="55"/>
  <c r="BF232" i="55"/>
  <c r="BE232" i="55"/>
  <c r="W286" i="55" a="1"/>
  <c r="W286" i="55" s="1"/>
  <c r="P287" i="55" a="1"/>
  <c r="P287" i="55" s="1"/>
  <c r="AM283" i="55"/>
  <c r="O283" i="55"/>
  <c r="AY283" i="55"/>
  <c r="AI232" i="55"/>
  <c r="V274" i="55"/>
  <c r="AU232" i="55"/>
  <c r="AN232" i="55"/>
  <c r="AM232" i="55"/>
  <c r="W230" i="55"/>
  <c r="W301" i="55" s="1"/>
  <c r="BE69" i="55"/>
  <c r="BE65" i="55"/>
  <c r="BA69" i="55"/>
  <c r="BA65" i="55"/>
  <c r="AZ69" i="55"/>
  <c r="AZ65" i="55"/>
  <c r="BB69" i="55"/>
  <c r="BB65" i="55"/>
  <c r="BG69" i="55"/>
  <c r="BG65" i="55"/>
  <c r="BC69" i="55"/>
  <c r="BC65" i="55"/>
  <c r="BF69" i="55"/>
  <c r="BF65" i="55"/>
  <c r="AP69" i="55"/>
  <c r="AP65" i="55"/>
  <c r="AN69" i="55"/>
  <c r="AN65" i="55"/>
  <c r="AU69" i="55"/>
  <c r="AU65" i="55"/>
  <c r="AQ69" i="55"/>
  <c r="AQ65" i="55"/>
  <c r="AO69" i="55"/>
  <c r="AO65" i="55"/>
  <c r="AS69" i="55"/>
  <c r="AS65" i="55"/>
  <c r="AT69" i="55"/>
  <c r="AT65" i="55"/>
  <c r="AM65" i="55"/>
  <c r="AY65" i="55"/>
  <c r="AM69" i="55"/>
  <c r="M31" i="55"/>
  <c r="AY66" i="55"/>
  <c r="AY274" i="55" s="1"/>
  <c r="AM66" i="55"/>
  <c r="AO66" i="55"/>
  <c r="AN66" i="55"/>
  <c r="BG66" i="55"/>
  <c r="O66" i="55"/>
  <c r="BA66" i="55"/>
  <c r="BF66" i="55"/>
  <c r="AZ66" i="55"/>
  <c r="BE66" i="55"/>
  <c r="BB66" i="55"/>
  <c r="AS66" i="55"/>
  <c r="AQ66" i="55"/>
  <c r="AT66" i="55"/>
  <c r="AP66" i="55"/>
  <c r="AU66" i="55"/>
  <c r="BC66" i="55"/>
  <c r="AA93" i="55"/>
  <c r="AC93" i="55"/>
  <c r="AS26" i="55"/>
  <c r="AS27" i="55"/>
  <c r="AP27" i="55"/>
  <c r="AP26" i="55"/>
  <c r="AN27" i="55"/>
  <c r="AN26" i="55"/>
  <c r="AY27" i="55"/>
  <c r="AY26" i="55"/>
  <c r="AU27" i="55"/>
  <c r="AU26" i="55"/>
  <c r="BG26" i="55"/>
  <c r="BG27" i="55"/>
  <c r="AT26" i="55"/>
  <c r="AT27" i="55"/>
  <c r="AO27" i="55"/>
  <c r="AO26" i="55"/>
  <c r="BF27" i="55"/>
  <c r="BF26" i="55"/>
  <c r="J26" i="43"/>
  <c r="BA27" i="55"/>
  <c r="BA26" i="55"/>
  <c r="AQ27" i="55"/>
  <c r="AQ26" i="55"/>
  <c r="BE27" i="55"/>
  <c r="BE26" i="55"/>
  <c r="AM27" i="55"/>
  <c r="AM26" i="55"/>
  <c r="O27" i="55"/>
  <c r="O26" i="55"/>
  <c r="M26" i="55" s="1"/>
  <c r="AZ27" i="55"/>
  <c r="AZ26" i="55"/>
  <c r="BC26" i="55"/>
  <c r="BC27" i="55"/>
  <c r="BB27" i="55"/>
  <c r="BB26" i="55"/>
  <c r="BF165" i="55"/>
  <c r="BF13" i="55" s="1"/>
  <c r="BF174" i="55"/>
  <c r="AH165" i="55"/>
  <c r="AH13" i="55" s="1"/>
  <c r="AH174" i="55"/>
  <c r="AT165" i="55"/>
  <c r="AT13" i="55" s="1"/>
  <c r="AT174" i="55"/>
  <c r="V165" i="55"/>
  <c r="V13" i="55" s="1"/>
  <c r="V174" i="55"/>
  <c r="BE33" i="55"/>
  <c r="W29" i="55"/>
  <c r="V29" i="55"/>
  <c r="U29" i="55"/>
  <c r="T29" i="55"/>
  <c r="S29" i="55"/>
  <c r="R29" i="55"/>
  <c r="Q29" i="55"/>
  <c r="P29" i="55"/>
  <c r="O29" i="55"/>
  <c r="BF33" i="55"/>
  <c r="AT33" i="55"/>
  <c r="AZ29" i="55"/>
  <c r="AY29" i="55"/>
  <c r="BB29" i="55"/>
  <c r="BG29" i="55"/>
  <c r="BF29" i="55"/>
  <c r="BE29" i="55"/>
  <c r="BD29" i="55"/>
  <c r="BC29" i="55"/>
  <c r="BA29" i="55"/>
  <c r="AD29" i="55"/>
  <c r="AC29" i="55"/>
  <c r="AB29" i="55"/>
  <c r="AA29" i="55"/>
  <c r="AF29" i="55"/>
  <c r="AI29" i="55"/>
  <c r="AI190" i="55" s="1"/>
  <c r="AH29" i="55"/>
  <c r="AG29" i="55"/>
  <c r="AE29" i="55"/>
  <c r="BG33" i="55"/>
  <c r="AM33" i="55"/>
  <c r="AU33" i="55"/>
  <c r="AN33" i="55"/>
  <c r="AO33" i="55"/>
  <c r="AU29" i="55"/>
  <c r="AT29" i="55"/>
  <c r="AS29" i="55"/>
  <c r="AR29" i="55"/>
  <c r="AQ29" i="55"/>
  <c r="AP29" i="55"/>
  <c r="AO29" i="55"/>
  <c r="AN29" i="55"/>
  <c r="AM29" i="55"/>
  <c r="AP33" i="55"/>
  <c r="W33" i="55"/>
  <c r="S33" i="55"/>
  <c r="V33" i="55"/>
  <c r="U33" i="55"/>
  <c r="R33" i="55"/>
  <c r="T33" i="55"/>
  <c r="Q33" i="55"/>
  <c r="P33" i="55"/>
  <c r="O33" i="55"/>
  <c r="AY33" i="55"/>
  <c r="AQ33" i="55"/>
  <c r="AZ33" i="55"/>
  <c r="AR33" i="55"/>
  <c r="BA33" i="55"/>
  <c r="AS33" i="55"/>
  <c r="BB33" i="55"/>
  <c r="BC33" i="55"/>
  <c r="BD33" i="55"/>
  <c r="I18" i="23"/>
  <c r="O235" i="55"/>
  <c r="O59" i="55"/>
  <c r="O242" i="55"/>
  <c r="AY235" i="55"/>
  <c r="AY304" i="55"/>
  <c r="AY38" i="55"/>
  <c r="AY263" i="55"/>
  <c r="O281" i="55"/>
  <c r="O228" i="55"/>
  <c r="O38" i="55"/>
  <c r="AY281" i="55"/>
  <c r="AY59" i="55"/>
  <c r="AY242" i="55"/>
  <c r="O263" i="55"/>
  <c r="BG263" i="55"/>
  <c r="BC242" i="55"/>
  <c r="AZ38" i="55"/>
  <c r="AN242" i="55"/>
  <c r="AN281" i="55"/>
  <c r="BG59" i="55"/>
  <c r="BF281" i="55"/>
  <c r="BA304" i="55"/>
  <c r="AS304" i="55"/>
  <c r="AT235" i="55"/>
  <c r="BG228" i="55"/>
  <c r="AZ228" i="55"/>
  <c r="BG235" i="55"/>
  <c r="BG38" i="55"/>
  <c r="AN59" i="55"/>
  <c r="BG304" i="55"/>
  <c r="BG242" i="55"/>
  <c r="BC38" i="55"/>
  <c r="Y274" i="55"/>
  <c r="AO242" i="55"/>
  <c r="AO235" i="55"/>
  <c r="AN38" i="55"/>
  <c r="AN228" i="55"/>
  <c r="AN263" i="55"/>
  <c r="BB228" i="55"/>
  <c r="AQ38" i="55"/>
  <c r="BE235" i="55"/>
  <c r="BE263" i="55"/>
  <c r="BE59" i="55"/>
  <c r="BC228" i="55"/>
  <c r="BB235" i="55"/>
  <c r="BC59" i="55"/>
  <c r="AP263" i="55"/>
  <c r="AO38" i="55"/>
  <c r="BB281" i="55"/>
  <c r="AO281" i="55"/>
  <c r="BB38" i="55"/>
  <c r="AO228" i="55"/>
  <c r="BC235" i="55"/>
  <c r="AP281" i="55"/>
  <c r="AN235" i="55"/>
  <c r="AZ242" i="55"/>
  <c r="BB59" i="55"/>
  <c r="AP235" i="55"/>
  <c r="AZ235" i="55"/>
  <c r="BA281" i="55"/>
  <c r="AP59" i="55"/>
  <c r="AU242" i="55"/>
  <c r="AZ59" i="55"/>
  <c r="AP304" i="55"/>
  <c r="AS263" i="55"/>
  <c r="AO263" i="55"/>
  <c r="AQ263" i="55"/>
  <c r="AM263" i="55"/>
  <c r="AU235" i="55"/>
  <c r="AS38" i="55"/>
  <c r="AZ263" i="55"/>
  <c r="AO59" i="55"/>
  <c r="AQ242" i="55"/>
  <c r="AZ281" i="55"/>
  <c r="BB263" i="55"/>
  <c r="AS235" i="55"/>
  <c r="AQ228" i="55"/>
  <c r="AQ304" i="55"/>
  <c r="AP228" i="55"/>
  <c r="BE228" i="55"/>
  <c r="BB242" i="55"/>
  <c r="BF228" i="55"/>
  <c r="AM38" i="55"/>
  <c r="BF304" i="55"/>
  <c r="AM304" i="55"/>
  <c r="AM235" i="55"/>
  <c r="AM242" i="55"/>
  <c r="AT263" i="55"/>
  <c r="AU304" i="55"/>
  <c r="BE304" i="55"/>
  <c r="AU38" i="55"/>
  <c r="BE38" i="55"/>
  <c r="AP38" i="55"/>
  <c r="AS242" i="55"/>
  <c r="BE281" i="55"/>
  <c r="BB304" i="55"/>
  <c r="BF263" i="55"/>
  <c r="AS281" i="55"/>
  <c r="BE242" i="55"/>
  <c r="AM281" i="55"/>
  <c r="AS228" i="55"/>
  <c r="AM228" i="55"/>
  <c r="AS59" i="55"/>
  <c r="AO304" i="55"/>
  <c r="AM59" i="55"/>
  <c r="AT59" i="55"/>
  <c r="AT38" i="55"/>
  <c r="AT304" i="55"/>
  <c r="AZ32" i="55"/>
  <c r="AM32" i="55"/>
  <c r="AT281" i="55"/>
  <c r="O32" i="55"/>
  <c r="AT228" i="55"/>
  <c r="AY32" i="55"/>
  <c r="AU263" i="55"/>
  <c r="AQ235" i="55"/>
  <c r="AU59" i="55"/>
  <c r="AQ281" i="55"/>
  <c r="AU281" i="55"/>
  <c r="BA263" i="55"/>
  <c r="AP242" i="55"/>
  <c r="AU228" i="55"/>
  <c r="AQ59" i="55"/>
  <c r="BA235" i="55"/>
  <c r="BC281" i="55"/>
  <c r="BF235" i="55"/>
  <c r="BF59" i="55"/>
  <c r="BA228" i="55"/>
  <c r="BF38" i="55"/>
  <c r="BA38" i="55"/>
  <c r="BA59" i="55"/>
  <c r="AT242" i="55"/>
  <c r="BC304" i="55"/>
  <c r="BF242" i="55"/>
  <c r="BA242" i="55"/>
  <c r="AM8" i="55"/>
  <c r="I20" i="23"/>
  <c r="I19" i="23"/>
  <c r="I45" i="23"/>
  <c r="AY8" i="55"/>
  <c r="I21" i="23"/>
  <c r="BG32" i="55"/>
  <c r="BF32" i="55"/>
  <c r="BC32" i="55"/>
  <c r="BE32" i="55"/>
  <c r="BB32" i="55"/>
  <c r="BA32" i="55"/>
  <c r="AO32" i="55"/>
  <c r="AP32" i="55"/>
  <c r="AT32" i="55"/>
  <c r="AS32" i="55"/>
  <c r="AN32" i="55"/>
  <c r="AU32" i="55"/>
  <c r="AQ32" i="55"/>
  <c r="O8" i="55"/>
  <c r="AA8" i="55"/>
  <c r="AK31" i="55"/>
  <c r="I27" i="23" s="1"/>
  <c r="AW31" i="55"/>
  <c r="BB313" i="55"/>
  <c r="BC251" i="55"/>
  <c r="AZ313" i="55"/>
  <c r="BE313" i="55"/>
  <c r="BF313" i="55"/>
  <c r="BC313" i="55"/>
  <c r="J24" i="55"/>
  <c r="AY313" i="55"/>
  <c r="J71" i="55"/>
  <c r="Y171" i="55"/>
  <c r="Q121" i="23"/>
  <c r="R121" i="23"/>
  <c r="Q107" i="23"/>
  <c r="P107" i="23"/>
  <c r="R107" i="23"/>
  <c r="O14" i="23" a="1"/>
  <c r="R14" i="23" a="1"/>
  <c r="P14" i="23" a="1"/>
  <c r="M21" i="23"/>
  <c r="N14" i="23" a="1"/>
  <c r="M20" i="23"/>
  <c r="Q14" i="23" a="1"/>
  <c r="M19" i="23"/>
  <c r="O272" i="107" l="1"/>
  <c r="Y62" i="55"/>
  <c r="M159" i="107"/>
  <c r="J159" i="107" s="1"/>
  <c r="M239" i="107"/>
  <c r="P232" i="106"/>
  <c r="P78" i="105"/>
  <c r="T245" i="105" s="1"/>
  <c r="P232" i="104"/>
  <c r="P232" i="103"/>
  <c r="AB230" i="55"/>
  <c r="AB298" i="55" s="1"/>
  <c r="AB300" i="55" s="1" a="1"/>
  <c r="AB300" i="55" s="1"/>
  <c r="P301" i="55"/>
  <c r="V239" i="106"/>
  <c r="Q239" i="106"/>
  <c r="T239" i="106"/>
  <c r="W239" i="106"/>
  <c r="P239" i="106"/>
  <c r="S239" i="106"/>
  <c r="J65" i="106"/>
  <c r="O239" i="106"/>
  <c r="U239" i="106"/>
  <c r="AB230" i="103"/>
  <c r="AA78" i="103"/>
  <c r="Y54" i="103"/>
  <c r="AA300" i="104" a="1"/>
  <c r="AA300" i="104" s="1"/>
  <c r="AA297" i="104"/>
  <c r="AA297" i="107"/>
  <c r="AA300" i="107" a="1"/>
  <c r="AA300" i="107" s="1"/>
  <c r="AY141" i="105"/>
  <c r="AW141" i="105" s="1"/>
  <c r="AA300" i="103" a="1"/>
  <c r="AA300" i="103" s="1"/>
  <c r="AA297" i="103"/>
  <c r="AA300" i="106" a="1"/>
  <c r="AA300" i="106" s="1"/>
  <c r="AA297" i="106"/>
  <c r="AA300" i="105" a="1"/>
  <c r="AA300" i="105" s="1"/>
  <c r="AA297" i="105"/>
  <c r="AB232" i="103"/>
  <c r="AB78" i="103"/>
  <c r="AB230" i="105"/>
  <c r="AA78" i="105"/>
  <c r="Y54" i="105"/>
  <c r="AB230" i="107"/>
  <c r="Y54" i="107"/>
  <c r="AA78" i="107"/>
  <c r="AB230" i="106"/>
  <c r="AA78" i="106"/>
  <c r="Y54" i="106"/>
  <c r="AB230" i="104"/>
  <c r="AA78" i="104"/>
  <c r="Y54" i="104"/>
  <c r="AB232" i="105"/>
  <c r="AB78" i="105"/>
  <c r="AB232" i="107"/>
  <c r="AB78" i="107"/>
  <c r="AB232" i="106"/>
  <c r="AB78" i="106"/>
  <c r="AB232" i="104"/>
  <c r="AB78" i="104"/>
  <c r="W239" i="105"/>
  <c r="Q239" i="105"/>
  <c r="R239" i="105"/>
  <c r="J65" i="105"/>
  <c r="J65" i="104"/>
  <c r="V239" i="105"/>
  <c r="P239" i="105"/>
  <c r="P272" i="105" s="1"/>
  <c r="O239" i="105"/>
  <c r="O272" i="105" s="1"/>
  <c r="U239" i="105"/>
  <c r="AY215" i="105"/>
  <c r="AW215" i="105" s="1"/>
  <c r="S239" i="105"/>
  <c r="AY147" i="105"/>
  <c r="T239" i="105"/>
  <c r="AY214" i="105"/>
  <c r="AW214" i="105" s="1"/>
  <c r="AY143" i="105"/>
  <c r="P297" i="103"/>
  <c r="M217" i="105"/>
  <c r="Q249" i="106"/>
  <c r="AY212" i="105"/>
  <c r="AW212" i="105" s="1"/>
  <c r="R249" i="106"/>
  <c r="AY116" i="105"/>
  <c r="AY170" i="105" s="1"/>
  <c r="AY172" i="105" s="1"/>
  <c r="V311" i="106"/>
  <c r="U249" i="106"/>
  <c r="T159" i="106"/>
  <c r="M159" i="106" s="1"/>
  <c r="J159" i="106" s="1"/>
  <c r="O311" i="106"/>
  <c r="T205" i="104"/>
  <c r="T207" i="104" s="1"/>
  <c r="V249" i="106"/>
  <c r="T205" i="106"/>
  <c r="T207" i="106" s="1"/>
  <c r="S311" i="106"/>
  <c r="S249" i="104"/>
  <c r="T249" i="106"/>
  <c r="P311" i="106"/>
  <c r="W311" i="106"/>
  <c r="T159" i="104"/>
  <c r="T162" i="104" s="1"/>
  <c r="T12" i="104" s="1"/>
  <c r="P249" i="106"/>
  <c r="T311" i="106"/>
  <c r="U311" i="104"/>
  <c r="W249" i="106"/>
  <c r="Q311" i="106"/>
  <c r="P311" i="104"/>
  <c r="S249" i="106"/>
  <c r="U311" i="106"/>
  <c r="O249" i="106"/>
  <c r="AY212" i="103"/>
  <c r="AW212" i="103" s="1"/>
  <c r="AY116" i="103"/>
  <c r="AY120" i="103" s="1"/>
  <c r="AY215" i="103"/>
  <c r="AW215" i="103" s="1"/>
  <c r="T165" i="107"/>
  <c r="T13" i="107" s="1"/>
  <c r="AZ174" i="103"/>
  <c r="P300" i="105" a="1"/>
  <c r="P300" i="105" s="1"/>
  <c r="AK116" i="107"/>
  <c r="AY143" i="106"/>
  <c r="AY143" i="103"/>
  <c r="AY145" i="103" s="1"/>
  <c r="AY147" i="103"/>
  <c r="AY149" i="103" s="1"/>
  <c r="AW149" i="103" s="1"/>
  <c r="AW138" i="103"/>
  <c r="AY214" i="103"/>
  <c r="AW214" i="103" s="1"/>
  <c r="AM124" i="107"/>
  <c r="AK124" i="107" s="1"/>
  <c r="AM170" i="107"/>
  <c r="AM172" i="107" s="1"/>
  <c r="AM219" i="107"/>
  <c r="M311" i="107"/>
  <c r="J311" i="107" s="1"/>
  <c r="M249" i="107"/>
  <c r="J249" i="107" s="1"/>
  <c r="AK212" i="107"/>
  <c r="AK219" i="107" s="1"/>
  <c r="P272" i="107"/>
  <c r="I31" i="23"/>
  <c r="AM149" i="107"/>
  <c r="AK149" i="107" s="1"/>
  <c r="AY116" i="106"/>
  <c r="AY170" i="106" s="1"/>
  <c r="AZ162" i="103"/>
  <c r="AW126" i="103"/>
  <c r="AW156" i="103"/>
  <c r="M237" i="105"/>
  <c r="AM145" i="107"/>
  <c r="AM203" i="107" s="1"/>
  <c r="AK203" i="107" s="1"/>
  <c r="O191" i="105"/>
  <c r="AM174" i="107"/>
  <c r="AY147" i="106"/>
  <c r="AY141" i="106"/>
  <c r="AY215" i="106"/>
  <c r="AW215" i="106" s="1"/>
  <c r="AY162" i="103"/>
  <c r="M237" i="103"/>
  <c r="AY214" i="106"/>
  <c r="AW214" i="106" s="1"/>
  <c r="R238" i="103"/>
  <c r="W245" i="103"/>
  <c r="U245" i="103"/>
  <c r="AY212" i="106"/>
  <c r="AW212" i="106" s="1"/>
  <c r="O191" i="107"/>
  <c r="AY165" i="103"/>
  <c r="AW165" i="103" s="1"/>
  <c r="Q248" i="105"/>
  <c r="R248" i="105"/>
  <c r="O97" i="105"/>
  <c r="O158" i="105" s="1"/>
  <c r="R272" i="105"/>
  <c r="R248" i="103"/>
  <c r="R272" i="107"/>
  <c r="S248" i="105"/>
  <c r="Q247" i="105"/>
  <c r="S247" i="105"/>
  <c r="T245" i="103"/>
  <c r="S272" i="107"/>
  <c r="Q247" i="107"/>
  <c r="S247" i="107"/>
  <c r="Q247" i="103"/>
  <c r="S247" i="103"/>
  <c r="P88" i="103"/>
  <c r="P191" i="103" s="1"/>
  <c r="O191" i="103"/>
  <c r="O195" i="103" s="1"/>
  <c r="Q248" i="107"/>
  <c r="S248" i="107"/>
  <c r="S248" i="103"/>
  <c r="S272" i="105"/>
  <c r="Q272" i="105"/>
  <c r="Q272" i="107"/>
  <c r="P191" i="107"/>
  <c r="R311" i="105"/>
  <c r="S311" i="105"/>
  <c r="T159" i="105"/>
  <c r="V249" i="105"/>
  <c r="U249" i="105"/>
  <c r="V311" i="105"/>
  <c r="W311" i="105"/>
  <c r="Q249" i="105"/>
  <c r="T311" i="105"/>
  <c r="O311" i="105"/>
  <c r="R249" i="105"/>
  <c r="O249" i="105"/>
  <c r="S249" i="105"/>
  <c r="P311" i="105"/>
  <c r="U311" i="105"/>
  <c r="P249" i="105"/>
  <c r="W249" i="105"/>
  <c r="T205" i="105"/>
  <c r="T207" i="105" s="1"/>
  <c r="Q311" i="105"/>
  <c r="T249" i="105"/>
  <c r="T249" i="104"/>
  <c r="O249" i="104"/>
  <c r="R311" i="104"/>
  <c r="O311" i="104"/>
  <c r="T311" i="104"/>
  <c r="S239" i="104"/>
  <c r="S272" i="104" s="1"/>
  <c r="R249" i="104"/>
  <c r="P249" i="104"/>
  <c r="U249" i="104"/>
  <c r="V311" i="104"/>
  <c r="S311" i="104"/>
  <c r="T239" i="104"/>
  <c r="V249" i="104"/>
  <c r="W249" i="104"/>
  <c r="Q249" i="104"/>
  <c r="Q311" i="104"/>
  <c r="V239" i="104"/>
  <c r="W239" i="104"/>
  <c r="P239" i="104"/>
  <c r="P272" i="104" s="1"/>
  <c r="R239" i="104"/>
  <c r="R272" i="104" s="1"/>
  <c r="O239" i="104"/>
  <c r="O272" i="104" s="1"/>
  <c r="Q239" i="104"/>
  <c r="U239" i="104"/>
  <c r="M238" i="107"/>
  <c r="AM214" i="103"/>
  <c r="AK214" i="103" s="1"/>
  <c r="AM212" i="103"/>
  <c r="AM116" i="103"/>
  <c r="AM215" i="103"/>
  <c r="AK215" i="103" s="1"/>
  <c r="AK110" i="103"/>
  <c r="AM141" i="103"/>
  <c r="AM147" i="103"/>
  <c r="AM143" i="103"/>
  <c r="AK138" i="103"/>
  <c r="AK115" i="103"/>
  <c r="AM126" i="103"/>
  <c r="AO126" i="103"/>
  <c r="AO156" i="103" s="1"/>
  <c r="AN126" i="103"/>
  <c r="AN156" i="103" s="1"/>
  <c r="AY156" i="107"/>
  <c r="AW156" i="107" s="1"/>
  <c r="AW126" i="107"/>
  <c r="AK156" i="107"/>
  <c r="AM162" i="107"/>
  <c r="AK162" i="107" s="1"/>
  <c r="AM165" i="107"/>
  <c r="AK165" i="107" s="1"/>
  <c r="AZ162" i="107"/>
  <c r="AZ165" i="107"/>
  <c r="AZ13" i="107" s="1"/>
  <c r="AZ174" i="107"/>
  <c r="BA165" i="107"/>
  <c r="BA13" i="107" s="1"/>
  <c r="BA162" i="107"/>
  <c r="M217" i="107"/>
  <c r="AW157" i="107"/>
  <c r="AY141" i="107"/>
  <c r="AW138" i="107"/>
  <c r="AY143" i="107"/>
  <c r="AY147" i="107"/>
  <c r="AY215" i="107"/>
  <c r="AW215" i="107" s="1"/>
  <c r="AY116" i="107"/>
  <c r="AY212" i="107"/>
  <c r="AY214" i="107"/>
  <c r="AW214" i="107" s="1"/>
  <c r="AW110" i="107"/>
  <c r="P138" i="107"/>
  <c r="P99" i="107"/>
  <c r="P110" i="107"/>
  <c r="P158" i="107"/>
  <c r="P98" i="107"/>
  <c r="Q97" i="107"/>
  <c r="Q115" i="107" s="1"/>
  <c r="O97" i="107"/>
  <c r="O115" i="107" s="1"/>
  <c r="AY156" i="106"/>
  <c r="AY165" i="106" s="1"/>
  <c r="AW126" i="106"/>
  <c r="AK145" i="106"/>
  <c r="AM203" i="106"/>
  <c r="AK203" i="106" s="1"/>
  <c r="BA165" i="106"/>
  <c r="BA13" i="106" s="1"/>
  <c r="BA162" i="106"/>
  <c r="AZ165" i="106"/>
  <c r="AZ13" i="106" s="1"/>
  <c r="AZ162" i="106"/>
  <c r="AZ174" i="106"/>
  <c r="AM13" i="106"/>
  <c r="AK124" i="106"/>
  <c r="Q91" i="106"/>
  <c r="Q217" i="106" s="1"/>
  <c r="AM201" i="106"/>
  <c r="AK201" i="106" s="1"/>
  <c r="AK120" i="106"/>
  <c r="AK170" i="106"/>
  <c r="AM172" i="106"/>
  <c r="O91" i="106"/>
  <c r="O217" i="106" s="1"/>
  <c r="AO162" i="105"/>
  <c r="AO165" i="105"/>
  <c r="AO13" i="105" s="1"/>
  <c r="BA162" i="105"/>
  <c r="BA165" i="105"/>
  <c r="BA13" i="105" s="1"/>
  <c r="AM156" i="105"/>
  <c r="AK156" i="105" s="1"/>
  <c r="AK126" i="105"/>
  <c r="AW126" i="105"/>
  <c r="AY156" i="105"/>
  <c r="AN165" i="105"/>
  <c r="AN13" i="105" s="1"/>
  <c r="AN162" i="105"/>
  <c r="AN174" i="105"/>
  <c r="AZ165" i="105"/>
  <c r="AZ13" i="105" s="1"/>
  <c r="AZ162" i="105"/>
  <c r="AZ174" i="105"/>
  <c r="AM215" i="105"/>
  <c r="AK215" i="105" s="1"/>
  <c r="AM116" i="105"/>
  <c r="AK110" i="105"/>
  <c r="AM214" i="105"/>
  <c r="AK214" i="105" s="1"/>
  <c r="AM212" i="105"/>
  <c r="AK158" i="105"/>
  <c r="AM147" i="105"/>
  <c r="AK138" i="105"/>
  <c r="AM143" i="105"/>
  <c r="AM141" i="105"/>
  <c r="Q97" i="105"/>
  <c r="Q115" i="105" s="1"/>
  <c r="AN162" i="104"/>
  <c r="AN165" i="104"/>
  <c r="AN13" i="104" s="1"/>
  <c r="AN174" i="104"/>
  <c r="BA162" i="104"/>
  <c r="BA165" i="104"/>
  <c r="BA13" i="104" s="1"/>
  <c r="AM156" i="104"/>
  <c r="AK156" i="104" s="1"/>
  <c r="AK126" i="104"/>
  <c r="AY156" i="104"/>
  <c r="AW156" i="104" s="1"/>
  <c r="AW126" i="104"/>
  <c r="AZ165" i="104"/>
  <c r="AZ13" i="104" s="1"/>
  <c r="AZ162" i="104"/>
  <c r="AZ174" i="104"/>
  <c r="AO165" i="104"/>
  <c r="AO13" i="104" s="1"/>
  <c r="AO162" i="104"/>
  <c r="M217" i="104"/>
  <c r="O97" i="104"/>
  <c r="O115" i="104" s="1"/>
  <c r="AY214" i="104"/>
  <c r="AW214" i="104" s="1"/>
  <c r="AY116" i="104"/>
  <c r="AY215" i="104"/>
  <c r="AW215" i="104" s="1"/>
  <c r="AW110" i="104"/>
  <c r="AY212" i="104"/>
  <c r="AW138" i="104"/>
  <c r="AY143" i="104"/>
  <c r="AY147" i="104"/>
  <c r="AY141" i="104"/>
  <c r="AM212" i="104"/>
  <c r="AM214" i="104"/>
  <c r="AK214" i="104" s="1"/>
  <c r="AM116" i="104"/>
  <c r="AK110" i="104"/>
  <c r="AM215" i="104"/>
  <c r="AK215" i="104" s="1"/>
  <c r="AM143" i="104"/>
  <c r="AK138" i="104"/>
  <c r="AM141" i="104"/>
  <c r="AM147" i="104"/>
  <c r="AW158" i="104"/>
  <c r="Q97" i="104"/>
  <c r="Q115" i="104" s="1"/>
  <c r="AK158" i="104"/>
  <c r="M217" i="103"/>
  <c r="R239" i="103"/>
  <c r="R272" i="103" s="1"/>
  <c r="O239" i="103"/>
  <c r="O272" i="103" s="1"/>
  <c r="Q239" i="103"/>
  <c r="Q272" i="103" s="1"/>
  <c r="S239" i="103"/>
  <c r="S272" i="103" s="1"/>
  <c r="W239" i="103"/>
  <c r="V239" i="103"/>
  <c r="J65" i="103"/>
  <c r="P239" i="103"/>
  <c r="P272" i="103" s="1"/>
  <c r="U239" i="103"/>
  <c r="T239" i="103"/>
  <c r="O97" i="103"/>
  <c r="O115" i="103" s="1"/>
  <c r="Q97" i="103"/>
  <c r="Q115" i="103" s="1"/>
  <c r="R12" i="107"/>
  <c r="P247" i="107"/>
  <c r="O247" i="107"/>
  <c r="R205" i="107"/>
  <c r="R207" i="107" s="1"/>
  <c r="AM14" i="107"/>
  <c r="AM193" i="107"/>
  <c r="AK270" i="107"/>
  <c r="AN276" i="107"/>
  <c r="AM190" i="107"/>
  <c r="AK120" i="107"/>
  <c r="AM244" i="107"/>
  <c r="AN244" i="107"/>
  <c r="AM201" i="107"/>
  <c r="S13" i="107"/>
  <c r="P310" i="107"/>
  <c r="V310" i="107"/>
  <c r="W310" i="107"/>
  <c r="R310" i="107"/>
  <c r="S310" i="107"/>
  <c r="U310" i="107"/>
  <c r="T310" i="107"/>
  <c r="O310" i="107"/>
  <c r="Q310" i="107"/>
  <c r="AY14" i="107"/>
  <c r="AY193" i="107"/>
  <c r="AK267" i="107"/>
  <c r="AM276" i="107"/>
  <c r="AK269" i="107"/>
  <c r="AQ306" i="107"/>
  <c r="AQ314" i="107" s="1"/>
  <c r="AR306" i="107"/>
  <c r="AR314" i="107" s="1"/>
  <c r="AM306" i="107"/>
  <c r="AP306" i="107"/>
  <c r="AP314" i="107" s="1"/>
  <c r="AS306" i="107"/>
  <c r="AS314" i="107" s="1"/>
  <c r="AN306" i="107"/>
  <c r="AN314" i="107" s="1"/>
  <c r="AU306" i="107"/>
  <c r="AU314" i="107" s="1"/>
  <c r="AO306" i="107"/>
  <c r="AO314" i="107" s="1"/>
  <c r="AT306" i="107"/>
  <c r="AT314" i="107" s="1"/>
  <c r="S12" i="107"/>
  <c r="S205" i="107"/>
  <c r="S207" i="107" s="1"/>
  <c r="O248" i="107"/>
  <c r="P248" i="107"/>
  <c r="AW267" i="107"/>
  <c r="AY276" i="107"/>
  <c r="AW276" i="107" s="1"/>
  <c r="AY190" i="107"/>
  <c r="AY244" i="107"/>
  <c r="R13" i="107"/>
  <c r="Q309" i="107"/>
  <c r="R309" i="107"/>
  <c r="W309" i="107"/>
  <c r="P309" i="107"/>
  <c r="S309" i="107"/>
  <c r="V309" i="107"/>
  <c r="U309" i="107"/>
  <c r="O309" i="107"/>
  <c r="T309" i="107"/>
  <c r="BA306" i="107"/>
  <c r="BA314" i="107" s="1"/>
  <c r="BB306" i="107"/>
  <c r="BB314" i="107" s="1"/>
  <c r="BG306" i="107"/>
  <c r="BG314" i="107" s="1"/>
  <c r="AZ306" i="107"/>
  <c r="AZ314" i="107" s="1"/>
  <c r="BC306" i="107"/>
  <c r="BC314" i="107" s="1"/>
  <c r="BF306" i="107"/>
  <c r="BF314" i="107" s="1"/>
  <c r="BE306" i="107"/>
  <c r="BE314" i="107" s="1"/>
  <c r="AY306" i="107"/>
  <c r="BD306" i="107"/>
  <c r="BD314" i="107" s="1"/>
  <c r="AK270" i="105"/>
  <c r="R174" i="106"/>
  <c r="R190" i="106" s="1"/>
  <c r="R194" i="106" s="1"/>
  <c r="R165" i="106"/>
  <c r="R162" i="106"/>
  <c r="R247" i="106" s="1"/>
  <c r="AY270" i="106"/>
  <c r="AW270" i="106" s="1"/>
  <c r="AK269" i="104"/>
  <c r="AY189" i="106"/>
  <c r="P88" i="106"/>
  <c r="P191" i="106" s="1"/>
  <c r="T245" i="106"/>
  <c r="V245" i="106"/>
  <c r="W245" i="106"/>
  <c r="U245" i="106"/>
  <c r="P300" i="106" a="1"/>
  <c r="P300" i="106" s="1"/>
  <c r="P297" i="106"/>
  <c r="AY267" i="106"/>
  <c r="M237" i="106"/>
  <c r="S174" i="106"/>
  <c r="S190" i="106" s="1"/>
  <c r="S194" i="106" s="1"/>
  <c r="S162" i="106"/>
  <c r="R248" i="106" s="1"/>
  <c r="S165" i="106"/>
  <c r="AY269" i="106"/>
  <c r="AW269" i="106" s="1"/>
  <c r="T238" i="106"/>
  <c r="Q238" i="106"/>
  <c r="V238" i="106"/>
  <c r="R238" i="106"/>
  <c r="U238" i="106"/>
  <c r="S238" i="106"/>
  <c r="O238" i="106"/>
  <c r="O191" i="104"/>
  <c r="AN276" i="105"/>
  <c r="AW267" i="105"/>
  <c r="AY276" i="105"/>
  <c r="AW276" i="105" s="1"/>
  <c r="AM306" i="105"/>
  <c r="AT306" i="105"/>
  <c r="AT314" i="105" s="1"/>
  <c r="AS306" i="105"/>
  <c r="AS314" i="105" s="1"/>
  <c r="AQ306" i="105"/>
  <c r="AQ314" i="105" s="1"/>
  <c r="AN306" i="105"/>
  <c r="AN314" i="105" s="1"/>
  <c r="AO306" i="105"/>
  <c r="AO314" i="105" s="1"/>
  <c r="AU306" i="105"/>
  <c r="AU314" i="105" s="1"/>
  <c r="AR306" i="105"/>
  <c r="AR314" i="105" s="1"/>
  <c r="AP306" i="105"/>
  <c r="AP314" i="105" s="1"/>
  <c r="BE306" i="105"/>
  <c r="BE314" i="105" s="1"/>
  <c r="BF306" i="105"/>
  <c r="BF314" i="105" s="1"/>
  <c r="BG306" i="105"/>
  <c r="BG314" i="105" s="1"/>
  <c r="AZ306" i="105"/>
  <c r="AZ314" i="105" s="1"/>
  <c r="BA306" i="105"/>
  <c r="BA314" i="105" s="1"/>
  <c r="BC306" i="105"/>
  <c r="BC314" i="105" s="1"/>
  <c r="BD306" i="105"/>
  <c r="BD314" i="105" s="1"/>
  <c r="AY306" i="105"/>
  <c r="BB306" i="105"/>
  <c r="BB314" i="105" s="1"/>
  <c r="S205" i="105"/>
  <c r="S207" i="105" s="1"/>
  <c r="S12" i="105"/>
  <c r="P248" i="105"/>
  <c r="O248" i="105"/>
  <c r="AK267" i="105"/>
  <c r="AM276" i="105"/>
  <c r="AM14" i="105"/>
  <c r="AM193" i="105"/>
  <c r="AY14" i="105"/>
  <c r="AY193" i="105"/>
  <c r="R205" i="105"/>
  <c r="R207" i="105" s="1"/>
  <c r="R12" i="105"/>
  <c r="P247" i="105"/>
  <c r="O247" i="105"/>
  <c r="S13" i="105"/>
  <c r="V310" i="105"/>
  <c r="S310" i="105"/>
  <c r="P310" i="105"/>
  <c r="W310" i="105"/>
  <c r="U310" i="105"/>
  <c r="T310" i="105"/>
  <c r="R310" i="105"/>
  <c r="Q310" i="105"/>
  <c r="O310" i="105"/>
  <c r="AM190" i="105"/>
  <c r="AY190" i="105"/>
  <c r="R13" i="105"/>
  <c r="W309" i="105"/>
  <c r="P309" i="105"/>
  <c r="Q309" i="105"/>
  <c r="S309" i="105"/>
  <c r="T309" i="105"/>
  <c r="O309" i="105"/>
  <c r="R309" i="105"/>
  <c r="U309" i="105"/>
  <c r="V309" i="105"/>
  <c r="AK269" i="105"/>
  <c r="AN244" i="105"/>
  <c r="AM244" i="105"/>
  <c r="AY244" i="105"/>
  <c r="P88" i="104"/>
  <c r="P97" i="104" s="1"/>
  <c r="V245" i="104"/>
  <c r="U245" i="104"/>
  <c r="W245" i="104"/>
  <c r="T245" i="104"/>
  <c r="AY14" i="104"/>
  <c r="AY193" i="104"/>
  <c r="P300" i="104" a="1"/>
  <c r="P300" i="104" s="1"/>
  <c r="P297" i="104"/>
  <c r="T249" i="103"/>
  <c r="V249" i="103"/>
  <c r="U249" i="103"/>
  <c r="P249" i="103"/>
  <c r="W249" i="103"/>
  <c r="R249" i="103"/>
  <c r="Q249" i="103"/>
  <c r="T159" i="103"/>
  <c r="S249" i="103"/>
  <c r="T205" i="103"/>
  <c r="T207" i="103" s="1"/>
  <c r="O249" i="103" s="1"/>
  <c r="AM14" i="104"/>
  <c r="AM193" i="104"/>
  <c r="AY190" i="104"/>
  <c r="AY244" i="104"/>
  <c r="O238" i="104"/>
  <c r="U238" i="104"/>
  <c r="S238" i="104"/>
  <c r="Q238" i="104"/>
  <c r="R174" i="104"/>
  <c r="R190" i="104" s="1"/>
  <c r="R194" i="104" s="1"/>
  <c r="R165" i="104"/>
  <c r="R162" i="104"/>
  <c r="R247" i="104" s="1"/>
  <c r="AM190" i="104"/>
  <c r="AN244" i="104"/>
  <c r="AM244" i="104"/>
  <c r="BA306" i="104"/>
  <c r="BA314" i="104" s="1"/>
  <c r="BG306" i="104"/>
  <c r="BG314" i="104" s="1"/>
  <c r="BD306" i="104"/>
  <c r="BD314" i="104" s="1"/>
  <c r="BB306" i="104"/>
  <c r="BB314" i="104" s="1"/>
  <c r="AY306" i="104"/>
  <c r="BF306" i="104"/>
  <c r="BF314" i="104" s="1"/>
  <c r="BE306" i="104"/>
  <c r="BE314" i="104" s="1"/>
  <c r="BC306" i="104"/>
  <c r="BC314" i="104" s="1"/>
  <c r="AZ306" i="104"/>
  <c r="AZ314" i="104" s="1"/>
  <c r="AW267" i="104"/>
  <c r="AY276" i="104"/>
  <c r="AW276" i="104" s="1"/>
  <c r="AK270" i="104"/>
  <c r="AK267" i="104"/>
  <c r="AM276" i="104"/>
  <c r="AK276" i="104" s="1"/>
  <c r="M237" i="104"/>
  <c r="AR306" i="104"/>
  <c r="AR314" i="104" s="1"/>
  <c r="AS306" i="104"/>
  <c r="AS314" i="104" s="1"/>
  <c r="AU306" i="104"/>
  <c r="AU314" i="104" s="1"/>
  <c r="AP306" i="104"/>
  <c r="AP314" i="104" s="1"/>
  <c r="AN306" i="104"/>
  <c r="AN314" i="104" s="1"/>
  <c r="AQ306" i="104"/>
  <c r="AQ314" i="104" s="1"/>
  <c r="AT306" i="104"/>
  <c r="AT314" i="104" s="1"/>
  <c r="AM306" i="104"/>
  <c r="AO306" i="104"/>
  <c r="AO314" i="104" s="1"/>
  <c r="S174" i="104"/>
  <c r="S190" i="104" s="1"/>
  <c r="S194" i="104" s="1"/>
  <c r="S165" i="104"/>
  <c r="S162" i="104"/>
  <c r="R248" i="104" s="1"/>
  <c r="AK269" i="103"/>
  <c r="AN276" i="103"/>
  <c r="AM190" i="103"/>
  <c r="AW141" i="103"/>
  <c r="AY267" i="103"/>
  <c r="AY270" i="103"/>
  <c r="AW270" i="103" s="1"/>
  <c r="AN244" i="103"/>
  <c r="AM244" i="103"/>
  <c r="S13" i="103"/>
  <c r="O310" i="103"/>
  <c r="Q310" i="103"/>
  <c r="V310" i="103"/>
  <c r="T310" i="103"/>
  <c r="W310" i="103"/>
  <c r="R310" i="103"/>
  <c r="P310" i="103"/>
  <c r="S310" i="103"/>
  <c r="U310" i="103"/>
  <c r="AY189" i="103"/>
  <c r="R13" i="103"/>
  <c r="P309" i="103"/>
  <c r="V309" i="103"/>
  <c r="U309" i="103"/>
  <c r="W309" i="103"/>
  <c r="R309" i="103"/>
  <c r="Q309" i="103"/>
  <c r="S309" i="103"/>
  <c r="T309" i="103"/>
  <c r="O309" i="103"/>
  <c r="AU306" i="103"/>
  <c r="AU314" i="103" s="1"/>
  <c r="AO306" i="103"/>
  <c r="AO314" i="103" s="1"/>
  <c r="AR306" i="103"/>
  <c r="AR314" i="103" s="1"/>
  <c r="AQ306" i="103"/>
  <c r="AQ314" i="103" s="1"/>
  <c r="AP306" i="103"/>
  <c r="AP314" i="103" s="1"/>
  <c r="AM306" i="103"/>
  <c r="AN306" i="103"/>
  <c r="AN314" i="103" s="1"/>
  <c r="AS306" i="103"/>
  <c r="AS314" i="103" s="1"/>
  <c r="AT306" i="103"/>
  <c r="AT314" i="103" s="1"/>
  <c r="S205" i="103"/>
  <c r="S207" i="103" s="1"/>
  <c r="S12" i="103"/>
  <c r="P248" i="103"/>
  <c r="O248" i="103"/>
  <c r="AY269" i="103"/>
  <c r="AW269" i="103" s="1"/>
  <c r="AK267" i="103"/>
  <c r="AM276" i="103"/>
  <c r="AK270" i="103"/>
  <c r="R12" i="103"/>
  <c r="P247" i="103"/>
  <c r="O247" i="103"/>
  <c r="R205" i="103"/>
  <c r="R207" i="103" s="1"/>
  <c r="AM14" i="103"/>
  <c r="AM193" i="103"/>
  <c r="AT287" i="55" a="1"/>
  <c r="AT287" i="55" s="1"/>
  <c r="AT286" i="55" a="1"/>
  <c r="AT286" i="55" s="1"/>
  <c r="AU286" i="55" a="1"/>
  <c r="AU286" i="55" s="1"/>
  <c r="AQ287" i="55" a="1"/>
  <c r="AQ287" i="55" s="1"/>
  <c r="AP301" i="55"/>
  <c r="AU287" i="55" a="1"/>
  <c r="AU287" i="55" s="1"/>
  <c r="AN285" i="55" a="1"/>
  <c r="AN285" i="55" s="1"/>
  <c r="AQ285" i="55" a="1"/>
  <c r="AQ285" i="55" s="1"/>
  <c r="AN286" i="55" a="1"/>
  <c r="AN286" i="55" s="1"/>
  <c r="AU298" i="55"/>
  <c r="AU300" i="55" s="1" a="1"/>
  <c r="AU300" i="55" s="1"/>
  <c r="BF298" i="55"/>
  <c r="BF300" i="55" s="1" a="1"/>
  <c r="BF300" i="55" s="1"/>
  <c r="AO287" i="55" a="1"/>
  <c r="AO287" i="55" s="1"/>
  <c r="BF285" i="55" a="1"/>
  <c r="BF285" i="55" s="1"/>
  <c r="BF286" i="55" a="1"/>
  <c r="BF286" i="55" s="1"/>
  <c r="AO301" i="55"/>
  <c r="AP285" i="55" a="1"/>
  <c r="AP285" i="55" s="1"/>
  <c r="AP287" i="55" a="1"/>
  <c r="AP287" i="55" s="1"/>
  <c r="AO286" i="55" a="1"/>
  <c r="AO286" i="55" s="1"/>
  <c r="BA286" i="55" a="1"/>
  <c r="BA286" i="55" s="1"/>
  <c r="BB298" i="55"/>
  <c r="BB300" i="55" s="1" a="1"/>
  <c r="BB300" i="55" s="1"/>
  <c r="BA287" i="55" a="1"/>
  <c r="BA287" i="55" s="1"/>
  <c r="BG286" i="55" a="1"/>
  <c r="BG286" i="55" s="1"/>
  <c r="AZ286" i="55" a="1"/>
  <c r="AZ286" i="55" s="1"/>
  <c r="BG287" i="55" a="1"/>
  <c r="BG287" i="55" s="1"/>
  <c r="BB287" i="55" a="1"/>
  <c r="BB287" i="55" s="1"/>
  <c r="BE287" i="55" a="1"/>
  <c r="BE287" i="55" s="1"/>
  <c r="AZ287" i="55" a="1"/>
  <c r="AZ287" i="55" s="1"/>
  <c r="BB286" i="55" a="1"/>
  <c r="BB286" i="55" s="1"/>
  <c r="BE286" i="55" a="1"/>
  <c r="BE286" i="55" s="1"/>
  <c r="BE298" i="55"/>
  <c r="BE300" i="55" s="1" a="1"/>
  <c r="BE300" i="55" s="1"/>
  <c r="BA298" i="55"/>
  <c r="BA300" i="55" s="1" a="1"/>
  <c r="BA300" i="55" s="1"/>
  <c r="AQ298" i="55"/>
  <c r="AQ297" i="55" s="1"/>
  <c r="BG301" i="55"/>
  <c r="Y54" i="55"/>
  <c r="AS287" i="55" a="1"/>
  <c r="AS287" i="55" s="1"/>
  <c r="AS286" i="55" a="1"/>
  <c r="AS286" i="55" s="1"/>
  <c r="AS301" i="55"/>
  <c r="AT301" i="55"/>
  <c r="BF301" i="55"/>
  <c r="S300" i="55" a="1"/>
  <c r="S300" i="55" s="1"/>
  <c r="S297" i="55"/>
  <c r="AG297" i="55"/>
  <c r="AG300" i="55" a="1"/>
  <c r="AG300" i="55" s="1"/>
  <c r="AR297" i="55"/>
  <c r="AR300" i="55" a="1"/>
  <c r="AR300" i="55" s="1"/>
  <c r="AE300" i="55" a="1"/>
  <c r="AE300" i="55" s="1"/>
  <c r="AE297" i="55"/>
  <c r="AD300" i="55" a="1"/>
  <c r="AD300" i="55" s="1"/>
  <c r="AD297" i="55"/>
  <c r="BD300" i="55" a="1"/>
  <c r="BD300" i="55" s="1"/>
  <c r="BD297" i="55"/>
  <c r="U297" i="55"/>
  <c r="U300" i="55" a="1"/>
  <c r="U300" i="55" s="1"/>
  <c r="AF300" i="55" a="1"/>
  <c r="AF300" i="55" s="1"/>
  <c r="AF297" i="55"/>
  <c r="AC300" i="55" a="1"/>
  <c r="AC300" i="55" s="1"/>
  <c r="AC297" i="55"/>
  <c r="R297" i="55"/>
  <c r="R300" i="55" a="1"/>
  <c r="R300" i="55" s="1"/>
  <c r="Q297" i="55"/>
  <c r="Q300" i="55" a="1"/>
  <c r="Q300" i="55" s="1"/>
  <c r="T297" i="55"/>
  <c r="T300" i="55" a="1"/>
  <c r="T300" i="55" s="1"/>
  <c r="AO298" i="55"/>
  <c r="AO300" i="55" s="1" a="1"/>
  <c r="AO300" i="55" s="1"/>
  <c r="BE301" i="55"/>
  <c r="AP298" i="55"/>
  <c r="AP300" i="55" s="1" a="1"/>
  <c r="AP300" i="55" s="1"/>
  <c r="AU301" i="55"/>
  <c r="BA301" i="55"/>
  <c r="V301" i="55"/>
  <c r="V298" i="55"/>
  <c r="BG298" i="55"/>
  <c r="BG297" i="55" s="1"/>
  <c r="AS298" i="55"/>
  <c r="AS297" i="55" s="1"/>
  <c r="AQ301" i="55"/>
  <c r="BB301" i="55"/>
  <c r="AT298" i="55"/>
  <c r="AT300" i="55" s="1" a="1"/>
  <c r="AT300" i="55" s="1"/>
  <c r="W298" i="55"/>
  <c r="W297" i="55" s="1"/>
  <c r="AH300" i="55" a="1"/>
  <c r="AH300" i="55" s="1"/>
  <c r="AH297" i="55"/>
  <c r="AI301" i="55"/>
  <c r="AI298" i="55"/>
  <c r="AN301" i="55"/>
  <c r="AN298" i="55"/>
  <c r="AN300" i="55" s="1" a="1"/>
  <c r="AN300" i="55" s="1"/>
  <c r="AW54" i="55"/>
  <c r="AK54" i="55"/>
  <c r="BC301" i="55"/>
  <c r="BC298" i="55"/>
  <c r="AM298" i="55"/>
  <c r="AM301" i="55"/>
  <c r="AZ301" i="55"/>
  <c r="AZ298" i="55"/>
  <c r="AY301" i="55"/>
  <c r="AY298" i="55"/>
  <c r="AY285" i="55" a="1"/>
  <c r="AY285" i="55" s="1"/>
  <c r="P297" i="55"/>
  <c r="AN274" i="55"/>
  <c r="AM274" i="55"/>
  <c r="O274" i="55"/>
  <c r="W232" i="55"/>
  <c r="W274" i="55"/>
  <c r="M73" i="55"/>
  <c r="W78" i="55"/>
  <c r="W171" i="55" s="1"/>
  <c r="W190" i="55" s="1"/>
  <c r="Y218" i="55"/>
  <c r="BC285" i="55" a="1"/>
  <c r="BC285" i="55" s="1"/>
  <c r="BC286" i="55" a="1"/>
  <c r="BC286" i="55" s="1"/>
  <c r="BC287" i="55" a="1"/>
  <c r="BC287" i="55" s="1"/>
  <c r="AM287" i="55" a="1"/>
  <c r="AM287" i="55" s="1"/>
  <c r="AM285" i="55" a="1"/>
  <c r="AM285" i="55" s="1"/>
  <c r="O287" i="55" a="1"/>
  <c r="O287" i="55" s="1"/>
  <c r="O286" i="55" a="1"/>
  <c r="O286" i="55" s="1"/>
  <c r="AM286" i="55" a="1"/>
  <c r="AM286" i="55" s="1"/>
  <c r="AY287" i="55" a="1"/>
  <c r="AY287" i="55" s="1"/>
  <c r="AY286" i="55" a="1"/>
  <c r="AY286" i="55" s="1"/>
  <c r="AS232" i="55"/>
  <c r="V232" i="55"/>
  <c r="AO232" i="55"/>
  <c r="AP232" i="55"/>
  <c r="AT232" i="55"/>
  <c r="AQ232" i="55"/>
  <c r="N14" i="23"/>
  <c r="Q14" i="23"/>
  <c r="R14" i="23"/>
  <c r="P14" i="23"/>
  <c r="N121" i="23"/>
  <c r="M65" i="23"/>
  <c r="M40" i="23"/>
  <c r="M34" i="23" a="1"/>
  <c r="M28" i="23"/>
  <c r="M58" i="23"/>
  <c r="M59" i="23"/>
  <c r="M27" i="23"/>
  <c r="M35" i="23" a="1"/>
  <c r="M53" i="23"/>
  <c r="M52" i="23"/>
  <c r="M41" i="23"/>
  <c r="M64" i="23"/>
  <c r="M39" i="23"/>
  <c r="M33" i="23" a="1"/>
  <c r="M63" i="23"/>
  <c r="M51" i="23"/>
  <c r="N107" i="23"/>
  <c r="M45" i="23"/>
  <c r="M26" i="23"/>
  <c r="M57" i="23"/>
  <c r="T162" i="106" l="1"/>
  <c r="T12" i="106" s="1"/>
  <c r="T165" i="106"/>
  <c r="T13" i="106" s="1"/>
  <c r="P88" i="105"/>
  <c r="M239" i="106"/>
  <c r="W238" i="106"/>
  <c r="P238" i="106"/>
  <c r="O238" i="103"/>
  <c r="V238" i="104"/>
  <c r="P238" i="104"/>
  <c r="V238" i="103"/>
  <c r="R238" i="104"/>
  <c r="W245" i="105"/>
  <c r="AB297" i="55"/>
  <c r="V238" i="105"/>
  <c r="W238" i="105"/>
  <c r="U238" i="103"/>
  <c r="R238" i="105"/>
  <c r="S238" i="105"/>
  <c r="T238" i="104"/>
  <c r="W238" i="104"/>
  <c r="S238" i="103"/>
  <c r="T238" i="103"/>
  <c r="W238" i="103"/>
  <c r="P238" i="103"/>
  <c r="P238" i="105"/>
  <c r="T238" i="105"/>
  <c r="O238" i="105"/>
  <c r="U238" i="105"/>
  <c r="Q238" i="105"/>
  <c r="U245" i="105"/>
  <c r="V245" i="105"/>
  <c r="Q238" i="103"/>
  <c r="AB301" i="55"/>
  <c r="AY145" i="105"/>
  <c r="AW145" i="105" s="1"/>
  <c r="AY149" i="105"/>
  <c r="AW149" i="105" s="1"/>
  <c r="AY219" i="103"/>
  <c r="M159" i="104"/>
  <c r="J159" i="104" s="1"/>
  <c r="AY124" i="105"/>
  <c r="AW124" i="105" s="1"/>
  <c r="AE238" i="104"/>
  <c r="AB238" i="104"/>
  <c r="AC238" i="104"/>
  <c r="AA238" i="104"/>
  <c r="AH238" i="104"/>
  <c r="AF238" i="104"/>
  <c r="AI238" i="104"/>
  <c r="AD238" i="104"/>
  <c r="AG238" i="104"/>
  <c r="AC237" i="106"/>
  <c r="AF237" i="106"/>
  <c r="AA237" i="106"/>
  <c r="AG237" i="106"/>
  <c r="AI237" i="106"/>
  <c r="AH237" i="106"/>
  <c r="AB237" i="106"/>
  <c r="AE237" i="106"/>
  <c r="AD237" i="106"/>
  <c r="AG237" i="105"/>
  <c r="AH237" i="105"/>
  <c r="AI237" i="105"/>
  <c r="AF237" i="105"/>
  <c r="AC237" i="105"/>
  <c r="AB237" i="105"/>
  <c r="AD237" i="105"/>
  <c r="AE237" i="105"/>
  <c r="AA237" i="105"/>
  <c r="AW219" i="105"/>
  <c r="AH245" i="104"/>
  <c r="AI245" i="104"/>
  <c r="AB88" i="104"/>
  <c r="AB191" i="104" s="1"/>
  <c r="AB195" i="104" s="1"/>
  <c r="AC245" i="104"/>
  <c r="AG245" i="104"/>
  <c r="AD245" i="104"/>
  <c r="AE245" i="104"/>
  <c r="AF245" i="104"/>
  <c r="AG245" i="105"/>
  <c r="AB88" i="105"/>
  <c r="AB191" i="105" s="1"/>
  <c r="AB195" i="105" s="1"/>
  <c r="AI245" i="105"/>
  <c r="AC245" i="105"/>
  <c r="AH245" i="105"/>
  <c r="AF245" i="105"/>
  <c r="AD245" i="105"/>
  <c r="AE245" i="105"/>
  <c r="AB301" i="104"/>
  <c r="AB298" i="104"/>
  <c r="AY124" i="103"/>
  <c r="AY13" i="103" s="1"/>
  <c r="AI238" i="105"/>
  <c r="AD238" i="105"/>
  <c r="AB238" i="105"/>
  <c r="AG238" i="105"/>
  <c r="AE238" i="105"/>
  <c r="AC238" i="105"/>
  <c r="AH238" i="105"/>
  <c r="AA238" i="105"/>
  <c r="AF238" i="105"/>
  <c r="AA88" i="106"/>
  <c r="AA191" i="106" s="1"/>
  <c r="AA195" i="106" s="1"/>
  <c r="Y78" i="106"/>
  <c r="AA88" i="105"/>
  <c r="AA191" i="105" s="1"/>
  <c r="AA195" i="105" s="1"/>
  <c r="Y78" i="105"/>
  <c r="AD245" i="106"/>
  <c r="AC245" i="106"/>
  <c r="AH245" i="106"/>
  <c r="AI245" i="106"/>
  <c r="AB88" i="106"/>
  <c r="AB191" i="106" s="1"/>
  <c r="AB195" i="106" s="1"/>
  <c r="AE245" i="106"/>
  <c r="AF245" i="106"/>
  <c r="AG245" i="106"/>
  <c r="AB298" i="106"/>
  <c r="AB301" i="106"/>
  <c r="AB298" i="105"/>
  <c r="AB301" i="105"/>
  <c r="AA237" i="103"/>
  <c r="AH237" i="103"/>
  <c r="AE237" i="103"/>
  <c r="AD237" i="103"/>
  <c r="AC237" i="103"/>
  <c r="AI237" i="103"/>
  <c r="AB237" i="103"/>
  <c r="AF237" i="103"/>
  <c r="AG237" i="103"/>
  <c r="AI245" i="107"/>
  <c r="AF245" i="107"/>
  <c r="AD245" i="107"/>
  <c r="AE245" i="107"/>
  <c r="AB88" i="107"/>
  <c r="AB191" i="107" s="1"/>
  <c r="AB195" i="107" s="1"/>
  <c r="AC245" i="107"/>
  <c r="AH245" i="107"/>
  <c r="AG245" i="107"/>
  <c r="AH238" i="106"/>
  <c r="AA238" i="106"/>
  <c r="AD238" i="106"/>
  <c r="AI238" i="106"/>
  <c r="AG238" i="106"/>
  <c r="AF238" i="106"/>
  <c r="AE238" i="106"/>
  <c r="AC238" i="106"/>
  <c r="AB238" i="106"/>
  <c r="Y78" i="107"/>
  <c r="AA88" i="107"/>
  <c r="AW170" i="105"/>
  <c r="BD255" i="105" s="1"/>
  <c r="AI237" i="104"/>
  <c r="AG237" i="104"/>
  <c r="AH237" i="104"/>
  <c r="AF237" i="104"/>
  <c r="AD237" i="104"/>
  <c r="AE237" i="104"/>
  <c r="AC237" i="104"/>
  <c r="AB237" i="104"/>
  <c r="AA237" i="104"/>
  <c r="AF245" i="103"/>
  <c r="AE245" i="103"/>
  <c r="AI245" i="103"/>
  <c r="AB88" i="103"/>
  <c r="AB191" i="103" s="1"/>
  <c r="AB195" i="103" s="1"/>
  <c r="AD245" i="103"/>
  <c r="AG245" i="103"/>
  <c r="AH245" i="103"/>
  <c r="AC245" i="103"/>
  <c r="Y78" i="103"/>
  <c r="AA88" i="103"/>
  <c r="AB301" i="107"/>
  <c r="AB298" i="107"/>
  <c r="AF238" i="107"/>
  <c r="AC238" i="107"/>
  <c r="AH238" i="107"/>
  <c r="AG238" i="107"/>
  <c r="AA238" i="107"/>
  <c r="AB238" i="107"/>
  <c r="AE238" i="107"/>
  <c r="AD238" i="107"/>
  <c r="AI238" i="107"/>
  <c r="Y78" i="104"/>
  <c r="AA88" i="104"/>
  <c r="AC237" i="107"/>
  <c r="AF237" i="107"/>
  <c r="AE237" i="107"/>
  <c r="AD237" i="107"/>
  <c r="AG237" i="107"/>
  <c r="AI237" i="107"/>
  <c r="AB237" i="107"/>
  <c r="AB272" i="107" s="1"/>
  <c r="AA237" i="107"/>
  <c r="AH237" i="107"/>
  <c r="AD238" i="103"/>
  <c r="AC238" i="103"/>
  <c r="AF238" i="103"/>
  <c r="AA238" i="103"/>
  <c r="AG238" i="103"/>
  <c r="AE238" i="103"/>
  <c r="AH238" i="103"/>
  <c r="AI238" i="103"/>
  <c r="AB238" i="103"/>
  <c r="AB301" i="103"/>
  <c r="AB298" i="103"/>
  <c r="M239" i="105"/>
  <c r="AW116" i="105"/>
  <c r="T165" i="104"/>
  <c r="T13" i="104" s="1"/>
  <c r="P195" i="107"/>
  <c r="P195" i="103"/>
  <c r="O195" i="107"/>
  <c r="O195" i="105"/>
  <c r="O195" i="104"/>
  <c r="P97" i="103"/>
  <c r="P115" i="103" s="1"/>
  <c r="Q126" i="103" s="1"/>
  <c r="Q156" i="103" s="1"/>
  <c r="M249" i="106"/>
  <c r="J249" i="106" s="1"/>
  <c r="M311" i="106"/>
  <c r="J311" i="106" s="1"/>
  <c r="AY120" i="105"/>
  <c r="AY219" i="105"/>
  <c r="AW116" i="103"/>
  <c r="AY170" i="103"/>
  <c r="AW170" i="103" s="1"/>
  <c r="O191" i="106"/>
  <c r="AY174" i="103"/>
  <c r="AK170" i="107"/>
  <c r="AO317" i="107" s="1"/>
  <c r="AY124" i="106"/>
  <c r="AW124" i="106" s="1"/>
  <c r="AW162" i="103"/>
  <c r="AY120" i="106"/>
  <c r="AW120" i="106" s="1"/>
  <c r="AW116" i="106"/>
  <c r="AK145" i="107"/>
  <c r="AY149" i="106"/>
  <c r="AW149" i="106" s="1"/>
  <c r="AY219" i="106"/>
  <c r="AW141" i="106"/>
  <c r="AY145" i="106"/>
  <c r="AW145" i="106" s="1"/>
  <c r="AY174" i="106"/>
  <c r="O110" i="105"/>
  <c r="O116" i="105" s="1"/>
  <c r="O124" i="105" s="1"/>
  <c r="AM13" i="107"/>
  <c r="AM162" i="104"/>
  <c r="AK162" i="104" s="1"/>
  <c r="O98" i="105"/>
  <c r="O115" i="105"/>
  <c r="M115" i="105" s="1"/>
  <c r="O99" i="105"/>
  <c r="O138" i="105"/>
  <c r="O272" i="106"/>
  <c r="M272" i="107"/>
  <c r="M272" i="105"/>
  <c r="P272" i="106"/>
  <c r="R272" i="106"/>
  <c r="S272" i="106"/>
  <c r="Q247" i="104"/>
  <c r="S247" i="104"/>
  <c r="Q248" i="106"/>
  <c r="S248" i="106"/>
  <c r="Q248" i="104"/>
  <c r="S248" i="104"/>
  <c r="Q247" i="106"/>
  <c r="S247" i="106"/>
  <c r="M239" i="104"/>
  <c r="M311" i="104"/>
  <c r="J311" i="104" s="1"/>
  <c r="Q110" i="104"/>
  <c r="Q116" i="104" s="1"/>
  <c r="Q272" i="104"/>
  <c r="M272" i="104" s="1"/>
  <c r="Q272" i="106"/>
  <c r="M249" i="104"/>
  <c r="J249" i="104" s="1"/>
  <c r="M311" i="105"/>
  <c r="J311" i="105" s="1"/>
  <c r="M272" i="103"/>
  <c r="M249" i="105"/>
  <c r="J249" i="105" s="1"/>
  <c r="M159" i="105"/>
  <c r="J159" i="105" s="1"/>
  <c r="T165" i="105"/>
  <c r="T13" i="105" s="1"/>
  <c r="T162" i="105"/>
  <c r="T12" i="105" s="1"/>
  <c r="P191" i="104"/>
  <c r="Q158" i="104"/>
  <c r="Q138" i="104"/>
  <c r="O98" i="104"/>
  <c r="O110" i="104"/>
  <c r="O116" i="104" s="1"/>
  <c r="O138" i="104"/>
  <c r="O99" i="104"/>
  <c r="O158" i="104"/>
  <c r="AW165" i="106"/>
  <c r="AM156" i="103"/>
  <c r="AM174" i="103" s="1"/>
  <c r="AK126" i="103"/>
  <c r="AK116" i="103"/>
  <c r="AM124" i="103"/>
  <c r="AM170" i="103"/>
  <c r="AM120" i="103"/>
  <c r="AO162" i="103"/>
  <c r="AO165" i="103"/>
  <c r="AO13" i="103" s="1"/>
  <c r="AM149" i="103"/>
  <c r="AK149" i="103" s="1"/>
  <c r="AK141" i="103"/>
  <c r="AM145" i="103"/>
  <c r="AK212" i="103"/>
  <c r="AK219" i="103" s="1"/>
  <c r="AM219" i="103"/>
  <c r="AN162" i="103"/>
  <c r="AN174" i="103"/>
  <c r="AN165" i="103"/>
  <c r="AN13" i="103" s="1"/>
  <c r="AM165" i="104"/>
  <c r="AK165" i="104" s="1"/>
  <c r="AY162" i="107"/>
  <c r="AW162" i="107" s="1"/>
  <c r="AY165" i="107"/>
  <c r="AW165" i="107" s="1"/>
  <c r="Q126" i="107"/>
  <c r="Q156" i="107" s="1"/>
  <c r="M115" i="107"/>
  <c r="P126" i="107"/>
  <c r="P156" i="107" s="1"/>
  <c r="P162" i="107" s="1"/>
  <c r="O126" i="107"/>
  <c r="AY219" i="107"/>
  <c r="AW212" i="107"/>
  <c r="AW219" i="107" s="1"/>
  <c r="AY170" i="107"/>
  <c r="AY120" i="107"/>
  <c r="AW116" i="107"/>
  <c r="AY174" i="107"/>
  <c r="AY124" i="107"/>
  <c r="AY149" i="107"/>
  <c r="AW149" i="107" s="1"/>
  <c r="AY145" i="107"/>
  <c r="AW141" i="107"/>
  <c r="O98" i="107"/>
  <c r="O158" i="107"/>
  <c r="O138" i="107"/>
  <c r="O110" i="107"/>
  <c r="O99" i="107"/>
  <c r="Q110" i="107"/>
  <c r="Q138" i="107"/>
  <c r="Q158" i="107"/>
  <c r="P212" i="107"/>
  <c r="P116" i="107"/>
  <c r="P213" i="107"/>
  <c r="P215" i="107"/>
  <c r="P216" i="107"/>
  <c r="M309" i="107"/>
  <c r="J309" i="107" s="1"/>
  <c r="P143" i="107"/>
  <c r="P145" i="107" s="1"/>
  <c r="P147" i="107"/>
  <c r="P149" i="107" s="1"/>
  <c r="AW156" i="106"/>
  <c r="AY162" i="106"/>
  <c r="AW162" i="106" s="1"/>
  <c r="M217" i="106"/>
  <c r="O97" i="106"/>
  <c r="O115" i="106" s="1"/>
  <c r="Q97" i="106"/>
  <c r="Q115" i="106" s="1"/>
  <c r="AT254" i="106"/>
  <c r="AQ255" i="106"/>
  <c r="AP316" i="106"/>
  <c r="AO316" i="106"/>
  <c r="AR254" i="106"/>
  <c r="AR317" i="106"/>
  <c r="AR255" i="106"/>
  <c r="AN317" i="106"/>
  <c r="AM254" i="106"/>
  <c r="AP255" i="106"/>
  <c r="AQ254" i="106"/>
  <c r="AQ316" i="106"/>
  <c r="AO254" i="106"/>
  <c r="AO255" i="106"/>
  <c r="AU317" i="106"/>
  <c r="AU316" i="106"/>
  <c r="AM255" i="106"/>
  <c r="AM317" i="106"/>
  <c r="AK172" i="106"/>
  <c r="AP254" i="106"/>
  <c r="AP317" i="106"/>
  <c r="AS317" i="106"/>
  <c r="AS316" i="106"/>
  <c r="AU254" i="106"/>
  <c r="AU255" i="106"/>
  <c r="AQ317" i="106"/>
  <c r="AN254" i="106"/>
  <c r="AN316" i="106"/>
  <c r="AT255" i="106"/>
  <c r="AT317" i="106"/>
  <c r="AT316" i="106"/>
  <c r="AS255" i="106"/>
  <c r="AS254" i="106"/>
  <c r="AO317" i="106"/>
  <c r="AR316" i="106"/>
  <c r="AM316" i="106"/>
  <c r="AN255" i="106"/>
  <c r="P97" i="106"/>
  <c r="AM162" i="105"/>
  <c r="AK162" i="105" s="1"/>
  <c r="AW156" i="105"/>
  <c r="AY165" i="105"/>
  <c r="AY162" i="105"/>
  <c r="AW162" i="105" s="1"/>
  <c r="AY174" i="105"/>
  <c r="AM165" i="105"/>
  <c r="AK165" i="105" s="1"/>
  <c r="AM219" i="105"/>
  <c r="AK212" i="105"/>
  <c r="AK219" i="105" s="1"/>
  <c r="AK141" i="105"/>
  <c r="AM145" i="105"/>
  <c r="AM149" i="105"/>
  <c r="AK149" i="105" s="1"/>
  <c r="AM170" i="105"/>
  <c r="AM174" i="105"/>
  <c r="AK116" i="105"/>
  <c r="AM120" i="105"/>
  <c r="AM124" i="105"/>
  <c r="Q138" i="105"/>
  <c r="Q158" i="105"/>
  <c r="Q110" i="105"/>
  <c r="AY162" i="104"/>
  <c r="AW162" i="104" s="1"/>
  <c r="AY165" i="104"/>
  <c r="AW165" i="104" s="1"/>
  <c r="O126" i="104"/>
  <c r="P126" i="104"/>
  <c r="P156" i="104" s="1"/>
  <c r="Q126" i="104"/>
  <c r="Q156" i="104" s="1"/>
  <c r="M115" i="104"/>
  <c r="P138" i="104"/>
  <c r="P99" i="104"/>
  <c r="P158" i="104"/>
  <c r="P98" i="104"/>
  <c r="P110" i="104"/>
  <c r="AY124" i="104"/>
  <c r="AY120" i="104"/>
  <c r="AY174" i="104"/>
  <c r="AW116" i="104"/>
  <c r="AY170" i="104"/>
  <c r="AY149" i="104"/>
  <c r="AW149" i="104" s="1"/>
  <c r="AW141" i="104"/>
  <c r="AY145" i="104"/>
  <c r="AY219" i="104"/>
  <c r="AW212" i="104"/>
  <c r="AW219" i="104" s="1"/>
  <c r="AM149" i="104"/>
  <c r="AK149" i="104" s="1"/>
  <c r="AM145" i="104"/>
  <c r="AK141" i="104"/>
  <c r="AK116" i="104"/>
  <c r="AM170" i="104"/>
  <c r="AM124" i="104"/>
  <c r="AM120" i="104"/>
  <c r="AM174" i="104"/>
  <c r="AM219" i="104"/>
  <c r="AK212" i="104"/>
  <c r="AK219" i="104" s="1"/>
  <c r="M239" i="103"/>
  <c r="O158" i="103"/>
  <c r="O110" i="103"/>
  <c r="O99" i="103"/>
  <c r="O138" i="103"/>
  <c r="O98" i="103"/>
  <c r="Q110" i="103"/>
  <c r="Q138" i="103"/>
  <c r="Q158" i="103"/>
  <c r="M248" i="107"/>
  <c r="J248" i="107" s="1"/>
  <c r="AY314" i="107"/>
  <c r="AW306" i="107"/>
  <c r="AW314" i="107" s="1"/>
  <c r="AW244" i="107"/>
  <c r="AK276" i="107"/>
  <c r="AK244" i="107"/>
  <c r="M247" i="105"/>
  <c r="J247" i="105" s="1"/>
  <c r="M310" i="107"/>
  <c r="J310" i="107" s="1"/>
  <c r="M247" i="107"/>
  <c r="J247" i="107" s="1"/>
  <c r="AM314" i="107"/>
  <c r="AK306" i="107"/>
  <c r="AK314" i="107" s="1"/>
  <c r="AK201" i="107"/>
  <c r="AY194" i="107"/>
  <c r="AM194" i="107"/>
  <c r="AK276" i="105"/>
  <c r="P195" i="106"/>
  <c r="AN265" i="106"/>
  <c r="AN278" i="106" s="1"/>
  <c r="AN292" i="106" s="1"/>
  <c r="AN291" i="106"/>
  <c r="AN294" i="106" s="1"/>
  <c r="AM291" i="106"/>
  <c r="AM294" i="106" s="1"/>
  <c r="AM265" i="106"/>
  <c r="R13" i="106"/>
  <c r="O309" i="106"/>
  <c r="Q309" i="106"/>
  <c r="V309" i="106"/>
  <c r="P309" i="106"/>
  <c r="W309" i="106"/>
  <c r="R309" i="106"/>
  <c r="T309" i="106"/>
  <c r="S309" i="106"/>
  <c r="U309" i="106"/>
  <c r="S13" i="106"/>
  <c r="Q310" i="106"/>
  <c r="S310" i="106"/>
  <c r="T310" i="106"/>
  <c r="O310" i="106"/>
  <c r="P310" i="106"/>
  <c r="V310" i="106"/>
  <c r="U310" i="106"/>
  <c r="W310" i="106"/>
  <c r="R310" i="106"/>
  <c r="AW170" i="106"/>
  <c r="AY172" i="106"/>
  <c r="S205" i="106"/>
  <c r="S207" i="106" s="1"/>
  <c r="S12" i="106"/>
  <c r="O248" i="106"/>
  <c r="P248" i="106"/>
  <c r="AW267" i="106"/>
  <c r="AY276" i="106"/>
  <c r="AW276" i="106" s="1"/>
  <c r="AY14" i="106"/>
  <c r="AY193" i="106"/>
  <c r="AY244" i="106"/>
  <c r="AW219" i="106"/>
  <c r="AY190" i="106"/>
  <c r="BG306" i="106"/>
  <c r="BG314" i="106" s="1"/>
  <c r="BB306" i="106"/>
  <c r="BB314" i="106" s="1"/>
  <c r="BD306" i="106"/>
  <c r="BD314" i="106" s="1"/>
  <c r="BC306" i="106"/>
  <c r="BC314" i="106" s="1"/>
  <c r="BE306" i="106"/>
  <c r="BE314" i="106" s="1"/>
  <c r="AY306" i="106"/>
  <c r="BA306" i="106"/>
  <c r="BA314" i="106" s="1"/>
  <c r="BF306" i="106"/>
  <c r="BF314" i="106" s="1"/>
  <c r="AZ306" i="106"/>
  <c r="AZ314" i="106" s="1"/>
  <c r="R12" i="106"/>
  <c r="O247" i="106"/>
  <c r="P247" i="106"/>
  <c r="R205" i="106"/>
  <c r="R207" i="106" s="1"/>
  <c r="AW244" i="105"/>
  <c r="M309" i="105"/>
  <c r="J309" i="105" s="1"/>
  <c r="AM194" i="105"/>
  <c r="AM314" i="105"/>
  <c r="AK306" i="105"/>
  <c r="AK314" i="105" s="1"/>
  <c r="AY194" i="105"/>
  <c r="M248" i="105"/>
  <c r="J248" i="105" s="1"/>
  <c r="AK244" i="105"/>
  <c r="M310" i="105"/>
  <c r="J310" i="105" s="1"/>
  <c r="AY314" i="105"/>
  <c r="AW306" i="105"/>
  <c r="AW314" i="105" s="1"/>
  <c r="AY314" i="104"/>
  <c r="AW306" i="104"/>
  <c r="AW314" i="104" s="1"/>
  <c r="AK244" i="104"/>
  <c r="AM194" i="104"/>
  <c r="T165" i="103"/>
  <c r="M159" i="103"/>
  <c r="J159" i="103" s="1"/>
  <c r="T162" i="103"/>
  <c r="T12" i="103" s="1"/>
  <c r="S12" i="104"/>
  <c r="S205" i="104"/>
  <c r="S207" i="104" s="1"/>
  <c r="P248" i="104"/>
  <c r="O248" i="104"/>
  <c r="M247" i="103"/>
  <c r="J247" i="103" s="1"/>
  <c r="S13" i="104"/>
  <c r="Q310" i="104"/>
  <c r="T310" i="104"/>
  <c r="W310" i="104"/>
  <c r="R310" i="104"/>
  <c r="S310" i="104"/>
  <c r="P310" i="104"/>
  <c r="U310" i="104"/>
  <c r="O310" i="104"/>
  <c r="V310" i="104"/>
  <c r="R12" i="104"/>
  <c r="R205" i="104"/>
  <c r="R207" i="104" s="1"/>
  <c r="O247" i="104"/>
  <c r="P247" i="104"/>
  <c r="AY194" i="104"/>
  <c r="AM314" i="104"/>
  <c r="AK306" i="104"/>
  <c r="AK314" i="104" s="1"/>
  <c r="R13" i="104"/>
  <c r="W309" i="104"/>
  <c r="Q309" i="104"/>
  <c r="P309" i="104"/>
  <c r="S309" i="104"/>
  <c r="V309" i="104"/>
  <c r="O309" i="104"/>
  <c r="T309" i="104"/>
  <c r="U309" i="104"/>
  <c r="R309" i="104"/>
  <c r="AW244" i="104"/>
  <c r="M249" i="103"/>
  <c r="J249" i="103" s="1"/>
  <c r="AK276" i="103"/>
  <c r="AM314" i="103"/>
  <c r="AK306" i="103"/>
  <c r="AK314" i="103" s="1"/>
  <c r="BC306" i="103"/>
  <c r="BC314" i="103" s="1"/>
  <c r="BD306" i="103"/>
  <c r="BD314" i="103" s="1"/>
  <c r="BE306" i="103"/>
  <c r="BE314" i="103" s="1"/>
  <c r="AY306" i="103"/>
  <c r="BB306" i="103"/>
  <c r="BB314" i="103" s="1"/>
  <c r="BA306" i="103"/>
  <c r="BA314" i="103" s="1"/>
  <c r="AZ306" i="103"/>
  <c r="AZ314" i="103" s="1"/>
  <c r="BG306" i="103"/>
  <c r="BG314" i="103" s="1"/>
  <c r="BF306" i="103"/>
  <c r="BF314" i="103" s="1"/>
  <c r="AW267" i="103"/>
  <c r="AY276" i="103"/>
  <c r="AW276" i="103" s="1"/>
  <c r="M248" i="103"/>
  <c r="J248" i="103" s="1"/>
  <c r="AY14" i="103"/>
  <c r="AY193" i="103"/>
  <c r="AW145" i="103"/>
  <c r="AY203" i="103"/>
  <c r="AW203" i="103" s="1"/>
  <c r="AY190" i="103"/>
  <c r="AW219" i="103"/>
  <c r="AM194" i="103"/>
  <c r="M309" i="103"/>
  <c r="J309" i="103" s="1"/>
  <c r="AW120" i="103"/>
  <c r="AY244" i="103"/>
  <c r="AY201" i="103"/>
  <c r="M310" i="103"/>
  <c r="J310" i="103" s="1"/>
  <c r="AK244" i="103"/>
  <c r="AU297" i="55"/>
  <c r="BF297" i="55"/>
  <c r="BE297" i="55"/>
  <c r="BA297" i="55"/>
  <c r="BB297" i="55"/>
  <c r="AO297" i="55"/>
  <c r="AQ300" i="55" a="1"/>
  <c r="AQ300" i="55" s="1"/>
  <c r="W300" i="55" a="1"/>
  <c r="W300" i="55" s="1"/>
  <c r="AT297" i="55"/>
  <c r="AS300" i="55" a="1"/>
  <c r="AS300" i="55" s="1"/>
  <c r="AP297" i="55"/>
  <c r="BG300" i="55" a="1"/>
  <c r="BG300" i="55" s="1"/>
  <c r="AN297" i="55"/>
  <c r="V300" i="55" a="1"/>
  <c r="V300" i="55" s="1"/>
  <c r="V297" i="55"/>
  <c r="AI297" i="55"/>
  <c r="AI300" i="55" a="1"/>
  <c r="AI300" i="55" s="1"/>
  <c r="AM297" i="55"/>
  <c r="AM300" i="55" a="1"/>
  <c r="AM300" i="55" s="1"/>
  <c r="BC297" i="55"/>
  <c r="BC300" i="55" a="1"/>
  <c r="BC300" i="55" s="1"/>
  <c r="AY297" i="55"/>
  <c r="AY300" i="55" a="1"/>
  <c r="AY300" i="55" s="1"/>
  <c r="AZ300" i="55" a="1"/>
  <c r="AZ300" i="55" s="1"/>
  <c r="AZ297" i="55"/>
  <c r="BG78" i="55"/>
  <c r="BG171" i="55" s="1"/>
  <c r="BG190" i="55" s="1"/>
  <c r="AW73" i="55"/>
  <c r="I47" i="23" s="1"/>
  <c r="AU78" i="55"/>
  <c r="AU171" i="55" s="1"/>
  <c r="AU190" i="55" s="1"/>
  <c r="AK73" i="55"/>
  <c r="W172" i="55"/>
  <c r="M171" i="55"/>
  <c r="W218" i="55"/>
  <c r="I44" i="23"/>
  <c r="O14" i="23"/>
  <c r="AA78" i="55"/>
  <c r="J83" i="55"/>
  <c r="T313" i="55"/>
  <c r="BA313" i="55"/>
  <c r="BD313" i="55"/>
  <c r="AF313" i="55"/>
  <c r="BG313" i="55"/>
  <c r="AR313" i="55"/>
  <c r="BA28" i="55"/>
  <c r="BE28" i="55"/>
  <c r="I25" i="23"/>
  <c r="AS28" i="55"/>
  <c r="BG28" i="55"/>
  <c r="AM28" i="55"/>
  <c r="AW26" i="55"/>
  <c r="AK26" i="55"/>
  <c r="BB28" i="55"/>
  <c r="BC28" i="55"/>
  <c r="AA230" i="55"/>
  <c r="AZ28" i="55"/>
  <c r="BF28" i="55"/>
  <c r="AQ28" i="55"/>
  <c r="O28" i="55"/>
  <c r="AO28" i="55"/>
  <c r="AN28" i="55"/>
  <c r="AT28" i="55"/>
  <c r="AU28" i="55"/>
  <c r="AP28" i="55"/>
  <c r="AY28" i="55"/>
  <c r="V190" i="55"/>
  <c r="BF190" i="55"/>
  <c r="AT190" i="55"/>
  <c r="AH190" i="55"/>
  <c r="M274" i="55"/>
  <c r="M34" i="23"/>
  <c r="AK274" i="55"/>
  <c r="AW274" i="55"/>
  <c r="I22" i="23"/>
  <c r="M33" i="23"/>
  <c r="M35" i="23"/>
  <c r="I28" i="23"/>
  <c r="AW27" i="55"/>
  <c r="M27" i="55"/>
  <c r="AK27" i="55"/>
  <c r="J31" i="55"/>
  <c r="S14" i="55"/>
  <c r="U14" i="55"/>
  <c r="V14" i="55"/>
  <c r="AH14" i="55"/>
  <c r="AI14" i="55"/>
  <c r="W14" i="55"/>
  <c r="BF14" i="55"/>
  <c r="BG14" i="55"/>
  <c r="AP14" i="55"/>
  <c r="BE14" i="55"/>
  <c r="AQ14" i="55"/>
  <c r="AS14" i="55"/>
  <c r="BB14" i="55"/>
  <c r="AD14" i="55"/>
  <c r="AT14" i="55"/>
  <c r="AE14" i="55"/>
  <c r="AU14" i="55"/>
  <c r="BC14" i="55"/>
  <c r="R14" i="55"/>
  <c r="AG14" i="55"/>
  <c r="M47" i="23"/>
  <c r="M46" i="23"/>
  <c r="AA91" i="107" l="1"/>
  <c r="AA217" i="107" s="1"/>
  <c r="Y217" i="107" s="1"/>
  <c r="J217" i="107" s="1"/>
  <c r="AB97" i="107"/>
  <c r="AA91" i="106"/>
  <c r="AA217" i="106" s="1"/>
  <c r="Y217" i="106" s="1"/>
  <c r="J217" i="106" s="1"/>
  <c r="AB97" i="106"/>
  <c r="P191" i="105"/>
  <c r="P195" i="105" s="1"/>
  <c r="P97" i="105"/>
  <c r="AB97" i="105"/>
  <c r="AA91" i="105"/>
  <c r="AA217" i="105" s="1"/>
  <c r="Y217" i="105" s="1"/>
  <c r="J217" i="105" s="1"/>
  <c r="AA91" i="104"/>
  <c r="AA217" i="104" s="1"/>
  <c r="Y217" i="104" s="1"/>
  <c r="J217" i="104" s="1"/>
  <c r="AB97" i="104"/>
  <c r="AB97" i="103"/>
  <c r="AA91" i="103"/>
  <c r="AA217" i="103" s="1"/>
  <c r="Y217" i="103" s="1"/>
  <c r="J217" i="103" s="1"/>
  <c r="T13" i="103"/>
  <c r="R311" i="103"/>
  <c r="P311" i="103"/>
  <c r="V311" i="103"/>
  <c r="Q311" i="103"/>
  <c r="T311" i="103"/>
  <c r="S311" i="103"/>
  <c r="W311" i="103"/>
  <c r="O311" i="103"/>
  <c r="U311" i="103"/>
  <c r="AZ316" i="105"/>
  <c r="AW124" i="103"/>
  <c r="M238" i="106"/>
  <c r="BE255" i="105"/>
  <c r="BD317" i="105"/>
  <c r="BG316" i="105"/>
  <c r="BC255" i="105"/>
  <c r="AY254" i="105"/>
  <c r="BB255" i="105"/>
  <c r="BA317" i="105"/>
  <c r="BD316" i="105"/>
  <c r="BE316" i="105"/>
  <c r="AY203" i="105"/>
  <c r="AW203" i="105" s="1"/>
  <c r="BF254" i="105"/>
  <c r="BG317" i="105"/>
  <c r="AY317" i="105"/>
  <c r="BF316" i="105"/>
  <c r="BB316" i="105"/>
  <c r="BD254" i="105"/>
  <c r="BD256" i="105" s="1"/>
  <c r="BC254" i="105"/>
  <c r="BB254" i="105"/>
  <c r="BG254" i="105"/>
  <c r="BA316" i="105"/>
  <c r="BA254" i="105"/>
  <c r="BF255" i="105"/>
  <c r="BG255" i="105"/>
  <c r="AY316" i="105"/>
  <c r="BA255" i="105"/>
  <c r="AZ254" i="105"/>
  <c r="AW172" i="105"/>
  <c r="AY180" i="105" s="1"/>
  <c r="M238" i="105"/>
  <c r="M238" i="104"/>
  <c r="M238" i="103"/>
  <c r="AY255" i="105"/>
  <c r="BC317" i="105"/>
  <c r="AZ317" i="105"/>
  <c r="BC316" i="105"/>
  <c r="BE254" i="105"/>
  <c r="BE317" i="105"/>
  <c r="BB317" i="105"/>
  <c r="BF317" i="105"/>
  <c r="AZ255" i="105"/>
  <c r="Q147" i="104"/>
  <c r="Q212" i="104"/>
  <c r="O143" i="104"/>
  <c r="O143" i="105"/>
  <c r="AO254" i="107"/>
  <c r="AR317" i="107"/>
  <c r="AR254" i="107"/>
  <c r="AR255" i="107"/>
  <c r="AM254" i="107"/>
  <c r="AA191" i="107"/>
  <c r="AA195" i="107" s="1"/>
  <c r="AB272" i="106"/>
  <c r="AN255" i="107"/>
  <c r="AS254" i="107"/>
  <c r="AQ317" i="107"/>
  <c r="AP317" i="107"/>
  <c r="AO316" i="107"/>
  <c r="AO318" i="107" s="1"/>
  <c r="AO320" i="107" s="1"/>
  <c r="AO322" i="107" s="1"/>
  <c r="Y238" i="103"/>
  <c r="AA268" i="103"/>
  <c r="AA271" i="103"/>
  <c r="Y238" i="105"/>
  <c r="AA271" i="105"/>
  <c r="AA268" i="105"/>
  <c r="AN316" i="107"/>
  <c r="AP255" i="107"/>
  <c r="AS255" i="107"/>
  <c r="AS317" i="107"/>
  <c r="AK172" i="107"/>
  <c r="AM180" i="107" s="1"/>
  <c r="AB300" i="103" a="1"/>
  <c r="AB300" i="103" s="1"/>
  <c r="AB297" i="103"/>
  <c r="Y238" i="106"/>
  <c r="AA271" i="106"/>
  <c r="AA268" i="106"/>
  <c r="AB272" i="103"/>
  <c r="AB300" i="105" a="1"/>
  <c r="AB300" i="105" s="1"/>
  <c r="AB297" i="105"/>
  <c r="AB297" i="104"/>
  <c r="AB300" i="104" a="1"/>
  <c r="AB300" i="104" s="1"/>
  <c r="AM255" i="107"/>
  <c r="AU316" i="107"/>
  <c r="AP254" i="107"/>
  <c r="AQ316" i="107"/>
  <c r="AB268" i="106"/>
  <c r="AB271" i="106"/>
  <c r="AM316" i="107"/>
  <c r="AT317" i="107"/>
  <c r="AR316" i="107"/>
  <c r="AQ254" i="107"/>
  <c r="AB271" i="103"/>
  <c r="AB268" i="103"/>
  <c r="AB300" i="107" a="1"/>
  <c r="AB300" i="107" s="1"/>
  <c r="AB297" i="107"/>
  <c r="AB297" i="106"/>
  <c r="AB300" i="106" a="1"/>
  <c r="AB300" i="106" s="1"/>
  <c r="AA272" i="105"/>
  <c r="Y237" i="105"/>
  <c r="AA272" i="106"/>
  <c r="Y237" i="106"/>
  <c r="Y238" i="104"/>
  <c r="AA268" i="104"/>
  <c r="AA271" i="104"/>
  <c r="AA272" i="103"/>
  <c r="Y237" i="103"/>
  <c r="AN317" i="107"/>
  <c r="AP316" i="107"/>
  <c r="AT255" i="107"/>
  <c r="AQ255" i="107"/>
  <c r="AN254" i="107"/>
  <c r="AO255" i="107"/>
  <c r="AT254" i="107"/>
  <c r="AU255" i="107"/>
  <c r="AS316" i="107"/>
  <c r="Y237" i="107"/>
  <c r="AB268" i="107"/>
  <c r="AB271" i="107"/>
  <c r="AA272" i="104"/>
  <c r="Y237" i="104"/>
  <c r="AB271" i="105"/>
  <c r="AB268" i="105"/>
  <c r="AB268" i="104"/>
  <c r="AB271" i="104"/>
  <c r="AM317" i="107"/>
  <c r="AT316" i="107"/>
  <c r="AU254" i="107"/>
  <c r="AU317" i="107"/>
  <c r="AA272" i="107"/>
  <c r="Y272" i="107" s="1"/>
  <c r="J272" i="107" s="1"/>
  <c r="AA191" i="104"/>
  <c r="AA195" i="104" s="1"/>
  <c r="Y238" i="107"/>
  <c r="AA268" i="107"/>
  <c r="AA271" i="107"/>
  <c r="AA191" i="103"/>
  <c r="AA195" i="103" s="1"/>
  <c r="AB272" i="104"/>
  <c r="AB272" i="105"/>
  <c r="Q141" i="104"/>
  <c r="AY172" i="103"/>
  <c r="P110" i="103"/>
  <c r="P216" i="103" s="1"/>
  <c r="P138" i="103"/>
  <c r="P147" i="103" s="1"/>
  <c r="P149" i="103" s="1"/>
  <c r="P99" i="103"/>
  <c r="P158" i="103"/>
  <c r="M158" i="103" s="1"/>
  <c r="O126" i="103"/>
  <c r="O156" i="103" s="1"/>
  <c r="P126" i="103"/>
  <c r="P156" i="103" s="1"/>
  <c r="P195" i="104"/>
  <c r="P98" i="103"/>
  <c r="O195" i="106"/>
  <c r="M115" i="103"/>
  <c r="AY201" i="105"/>
  <c r="AW201" i="105" s="1"/>
  <c r="AW120" i="105"/>
  <c r="Q215" i="104"/>
  <c r="AY201" i="106"/>
  <c r="AW201" i="106" s="1"/>
  <c r="AY13" i="106"/>
  <c r="AN318" i="106"/>
  <c r="AN320" i="106" s="1"/>
  <c r="AN322" i="106" s="1"/>
  <c r="O212" i="105"/>
  <c r="Q126" i="105"/>
  <c r="Q156" i="105" s="1"/>
  <c r="Q162" i="105" s="1"/>
  <c r="AY203" i="106"/>
  <c r="AW203" i="106" s="1"/>
  <c r="O170" i="105"/>
  <c r="O172" i="105" s="1"/>
  <c r="O120" i="105"/>
  <c r="O201" i="105" s="1"/>
  <c r="P126" i="105"/>
  <c r="P156" i="105" s="1"/>
  <c r="O126" i="105"/>
  <c r="O156" i="105" s="1"/>
  <c r="M272" i="106"/>
  <c r="O157" i="105"/>
  <c r="O141" i="105"/>
  <c r="O147" i="105"/>
  <c r="O147" i="104"/>
  <c r="O215" i="105"/>
  <c r="O214" i="105"/>
  <c r="M216" i="107"/>
  <c r="O271" i="107"/>
  <c r="R271" i="107"/>
  <c r="P271" i="107"/>
  <c r="S271" i="107"/>
  <c r="Q271" i="107"/>
  <c r="M213" i="107"/>
  <c r="O268" i="107"/>
  <c r="Q268" i="107"/>
  <c r="P268" i="107"/>
  <c r="R268" i="107"/>
  <c r="S268" i="107"/>
  <c r="S268" i="105"/>
  <c r="M138" i="104"/>
  <c r="O141" i="104"/>
  <c r="Q214" i="104"/>
  <c r="Q165" i="104"/>
  <c r="O157" i="103"/>
  <c r="Q143" i="104"/>
  <c r="O157" i="104"/>
  <c r="O215" i="104"/>
  <c r="M110" i="104"/>
  <c r="O157" i="107"/>
  <c r="O212" i="104"/>
  <c r="O214" i="104"/>
  <c r="Q162" i="104"/>
  <c r="M158" i="104"/>
  <c r="AM201" i="103"/>
  <c r="AK201" i="103" s="1"/>
  <c r="AK120" i="103"/>
  <c r="AK145" i="103"/>
  <c r="AM203" i="103"/>
  <c r="AK203" i="103" s="1"/>
  <c r="AK170" i="103"/>
  <c r="AM172" i="103"/>
  <c r="AK124" i="103"/>
  <c r="AM162" i="103"/>
  <c r="AK162" i="103" s="1"/>
  <c r="AM165" i="103"/>
  <c r="AK165" i="103" s="1"/>
  <c r="AK156" i="103"/>
  <c r="P219" i="107"/>
  <c r="P165" i="107"/>
  <c r="AW145" i="107"/>
  <c r="AY203" i="107"/>
  <c r="AW203" i="107" s="1"/>
  <c r="O156" i="107"/>
  <c r="M156" i="107" s="1"/>
  <c r="M126" i="107"/>
  <c r="AW120" i="107"/>
  <c r="AY201" i="107"/>
  <c r="AW201" i="107" s="1"/>
  <c r="AW124" i="107"/>
  <c r="AY13" i="107"/>
  <c r="AY172" i="107"/>
  <c r="AW170" i="107"/>
  <c r="P124" i="107"/>
  <c r="P120" i="107"/>
  <c r="P201" i="107" s="1"/>
  <c r="P170" i="107"/>
  <c r="P172" i="107" s="1"/>
  <c r="P174" i="107"/>
  <c r="Q215" i="107"/>
  <c r="Q214" i="107"/>
  <c r="Q116" i="107"/>
  <c r="Q212" i="107"/>
  <c r="M110" i="107"/>
  <c r="O116" i="107"/>
  <c r="O215" i="107"/>
  <c r="O212" i="107"/>
  <c r="O214" i="107"/>
  <c r="O143" i="107"/>
  <c r="M138" i="107"/>
  <c r="O141" i="107"/>
  <c r="O147" i="107"/>
  <c r="Q165" i="107"/>
  <c r="Q162" i="107"/>
  <c r="M158" i="107"/>
  <c r="Q147" i="107"/>
  <c r="Q143" i="107"/>
  <c r="Q141" i="107"/>
  <c r="P126" i="106"/>
  <c r="P156" i="106" s="1"/>
  <c r="Q126" i="106"/>
  <c r="Q156" i="106" s="1"/>
  <c r="M115" i="106"/>
  <c r="O126" i="106"/>
  <c r="AU318" i="106"/>
  <c r="AU320" i="106" s="1"/>
  <c r="AU322" i="106" s="1"/>
  <c r="AU256" i="106"/>
  <c r="AN256" i="106"/>
  <c r="AP318" i="106"/>
  <c r="AP320" i="106" s="1"/>
  <c r="AP322" i="106" s="1"/>
  <c r="AO256" i="106"/>
  <c r="AP256" i="106"/>
  <c r="AQ318" i="106"/>
  <c r="AQ320" i="106" s="1"/>
  <c r="AQ322" i="106" s="1"/>
  <c r="AO318" i="106"/>
  <c r="AO320" i="106" s="1"/>
  <c r="AO322" i="106" s="1"/>
  <c r="AR318" i="106"/>
  <c r="AR320" i="106" s="1"/>
  <c r="AR322" i="106" s="1"/>
  <c r="AT318" i="106"/>
  <c r="AT320" i="106" s="1"/>
  <c r="AT322" i="106" s="1"/>
  <c r="AS318" i="106"/>
  <c r="AS320" i="106" s="1"/>
  <c r="AS322" i="106" s="1"/>
  <c r="AQ256" i="106"/>
  <c r="P99" i="106"/>
  <c r="P158" i="106"/>
  <c r="P110" i="106"/>
  <c r="P98" i="106"/>
  <c r="P138" i="106"/>
  <c r="AK317" i="106"/>
  <c r="AS256" i="106"/>
  <c r="AK255" i="106"/>
  <c r="AK254" i="106"/>
  <c r="AM256" i="106"/>
  <c r="AR256" i="106"/>
  <c r="AT256" i="106"/>
  <c r="AK316" i="106"/>
  <c r="AM318" i="106"/>
  <c r="AM320" i="106" s="1"/>
  <c r="AM322" i="106" s="1"/>
  <c r="Q138" i="106"/>
  <c r="Q158" i="106"/>
  <c r="Q110" i="106"/>
  <c r="AO180" i="106"/>
  <c r="AM180" i="106"/>
  <c r="AO184" i="106"/>
  <c r="AM184" i="106"/>
  <c r="AU180" i="106"/>
  <c r="AN180" i="106"/>
  <c r="AN184" i="106"/>
  <c r="AU184" i="106"/>
  <c r="AU13" i="106" s="1"/>
  <c r="AK13" i="106" s="1"/>
  <c r="O158" i="106"/>
  <c r="O98" i="106"/>
  <c r="O110" i="106"/>
  <c r="O138" i="106"/>
  <c r="O99" i="106"/>
  <c r="AK145" i="105"/>
  <c r="AM203" i="105"/>
  <c r="AK203" i="105" s="1"/>
  <c r="AW165" i="105"/>
  <c r="AY13" i="105"/>
  <c r="Q143" i="105"/>
  <c r="Q147" i="105"/>
  <c r="Q141" i="105"/>
  <c r="AK124" i="105"/>
  <c r="AM13" i="105"/>
  <c r="AM172" i="105"/>
  <c r="AK170" i="105"/>
  <c r="Q214" i="105"/>
  <c r="Q116" i="105"/>
  <c r="Q212" i="105"/>
  <c r="Q215" i="105"/>
  <c r="AK120" i="105"/>
  <c r="AM201" i="105"/>
  <c r="AK201" i="105" s="1"/>
  <c r="AK145" i="104"/>
  <c r="AM203" i="104"/>
  <c r="AK203" i="104" s="1"/>
  <c r="AW145" i="104"/>
  <c r="AY203" i="104"/>
  <c r="AW203" i="104" s="1"/>
  <c r="O156" i="104"/>
  <c r="M126" i="104"/>
  <c r="AM172" i="104"/>
  <c r="AK170" i="104"/>
  <c r="AY201" i="104"/>
  <c r="AW201" i="104" s="1"/>
  <c r="AW120" i="104"/>
  <c r="P165" i="104"/>
  <c r="P162" i="104"/>
  <c r="AM201" i="104"/>
  <c r="AK201" i="104" s="1"/>
  <c r="AK120" i="104"/>
  <c r="AY172" i="104"/>
  <c r="AW170" i="104"/>
  <c r="AW124" i="104"/>
  <c r="AY13" i="104"/>
  <c r="AK124" i="104"/>
  <c r="AM13" i="104"/>
  <c r="P212" i="104"/>
  <c r="P116" i="104"/>
  <c r="P213" i="104"/>
  <c r="P216" i="104"/>
  <c r="P215" i="104"/>
  <c r="P143" i="104"/>
  <c r="P145" i="104" s="1"/>
  <c r="P147" i="104"/>
  <c r="P149" i="104" s="1"/>
  <c r="Q147" i="103"/>
  <c r="Q143" i="103"/>
  <c r="Q141" i="103"/>
  <c r="O147" i="103"/>
  <c r="O143" i="103"/>
  <c r="O141" i="103"/>
  <c r="Q215" i="103"/>
  <c r="Q116" i="103"/>
  <c r="Q212" i="103"/>
  <c r="Q214" i="103"/>
  <c r="O215" i="103"/>
  <c r="O212" i="103"/>
  <c r="O214" i="103"/>
  <c r="O116" i="103"/>
  <c r="Q162" i="103"/>
  <c r="Q165" i="103"/>
  <c r="AN291" i="107"/>
  <c r="AN294" i="107" s="1"/>
  <c r="AN265" i="107"/>
  <c r="AN278" i="107" s="1"/>
  <c r="AN292" i="107" s="1"/>
  <c r="M309" i="104"/>
  <c r="J309" i="104" s="1"/>
  <c r="M248" i="106"/>
  <c r="J248" i="106" s="1"/>
  <c r="M310" i="106"/>
  <c r="J310" i="106" s="1"/>
  <c r="M247" i="106"/>
  <c r="J247" i="106" s="1"/>
  <c r="AW172" i="106"/>
  <c r="BB317" i="106"/>
  <c r="BF316" i="106"/>
  <c r="BF255" i="106"/>
  <c r="AZ317" i="106"/>
  <c r="AZ255" i="106"/>
  <c r="BA254" i="106"/>
  <c r="BE254" i="106"/>
  <c r="BB316" i="106"/>
  <c r="BB255" i="106"/>
  <c r="AZ316" i="106"/>
  <c r="BD254" i="106"/>
  <c r="BA255" i="106"/>
  <c r="BE255" i="106"/>
  <c r="BF254" i="106"/>
  <c r="BD317" i="106"/>
  <c r="BD255" i="106"/>
  <c r="BA317" i="106"/>
  <c r="BE317" i="106"/>
  <c r="BC255" i="106"/>
  <c r="BG255" i="106"/>
  <c r="BB254" i="106"/>
  <c r="BF317" i="106"/>
  <c r="AZ254" i="106"/>
  <c r="BD316" i="106"/>
  <c r="BA316" i="106"/>
  <c r="BE316" i="106"/>
  <c r="BC316" i="106"/>
  <c r="BC254" i="106"/>
  <c r="BG316" i="106"/>
  <c r="BG254" i="106"/>
  <c r="BC317" i="106"/>
  <c r="BG317" i="106"/>
  <c r="AY255" i="106"/>
  <c r="AY316" i="106"/>
  <c r="AY254" i="106"/>
  <c r="AY317" i="106"/>
  <c r="M309" i="106"/>
  <c r="J309" i="106" s="1"/>
  <c r="AY314" i="106"/>
  <c r="AW306" i="106"/>
  <c r="AW314" i="106" s="1"/>
  <c r="AY194" i="106"/>
  <c r="AW244" i="106"/>
  <c r="AK265" i="106"/>
  <c r="AK278" i="106" s="1"/>
  <c r="AM278" i="106"/>
  <c r="AM292" i="106" s="1"/>
  <c r="M248" i="104"/>
  <c r="J248" i="104" s="1"/>
  <c r="O120" i="104"/>
  <c r="O170" i="104"/>
  <c r="O124" i="104"/>
  <c r="M247" i="104"/>
  <c r="J247" i="104" s="1"/>
  <c r="M310" i="104"/>
  <c r="J310" i="104" s="1"/>
  <c r="Q170" i="104"/>
  <c r="Q172" i="104" s="1"/>
  <c r="Q124" i="104"/>
  <c r="Q120" i="104"/>
  <c r="AY194" i="103"/>
  <c r="AW201" i="103"/>
  <c r="AW244" i="103"/>
  <c r="AY314" i="103"/>
  <c r="AW306" i="103"/>
  <c r="AW314" i="103" s="1"/>
  <c r="AW172" i="103"/>
  <c r="BF255" i="103"/>
  <c r="BC316" i="103"/>
  <c r="BC254" i="103"/>
  <c r="BC317" i="103"/>
  <c r="AZ254" i="103"/>
  <c r="BA255" i="103"/>
  <c r="BA317" i="103"/>
  <c r="BA254" i="103"/>
  <c r="BE255" i="103"/>
  <c r="BA316" i="103"/>
  <c r="BF317" i="103"/>
  <c r="AZ316" i="103"/>
  <c r="BF254" i="103"/>
  <c r="BD255" i="103"/>
  <c r="BB254" i="103"/>
  <c r="AZ317" i="103"/>
  <c r="BE254" i="103"/>
  <c r="BG254" i="103"/>
  <c r="BB316" i="103"/>
  <c r="BD317" i="103"/>
  <c r="AZ255" i="103"/>
  <c r="BC255" i="103"/>
  <c r="BE316" i="103"/>
  <c r="BG317" i="103"/>
  <c r="BG316" i="103"/>
  <c r="BE317" i="103"/>
  <c r="BB255" i="103"/>
  <c r="BD316" i="103"/>
  <c r="BF316" i="103"/>
  <c r="BG255" i="103"/>
  <c r="BB317" i="103"/>
  <c r="BD254" i="103"/>
  <c r="AY255" i="103"/>
  <c r="AY316" i="103"/>
  <c r="AY254" i="103"/>
  <c r="AY317" i="103"/>
  <c r="AQ295" i="55"/>
  <c r="AM295" i="55"/>
  <c r="BF295" i="55"/>
  <c r="BG295" i="55"/>
  <c r="AP295" i="55"/>
  <c r="AZ295" i="55"/>
  <c r="AS295" i="55"/>
  <c r="O295" i="55"/>
  <c r="AY295" i="55"/>
  <c r="AU295" i="55"/>
  <c r="AT295" i="55"/>
  <c r="BC295" i="55"/>
  <c r="BE295" i="55"/>
  <c r="AN295" i="55"/>
  <c r="BB295" i="55"/>
  <c r="BA295" i="55"/>
  <c r="AO295" i="55"/>
  <c r="AA301" i="55"/>
  <c r="AA298" i="55"/>
  <c r="J73" i="55"/>
  <c r="BG172" i="55"/>
  <c r="AW171" i="55"/>
  <c r="AU172" i="55"/>
  <c r="BG218" i="55"/>
  <c r="AW218" i="55" s="1"/>
  <c r="AK171" i="55"/>
  <c r="AU218" i="55"/>
  <c r="I46" i="23"/>
  <c r="W219" i="55"/>
  <c r="M218" i="55"/>
  <c r="M28" i="55"/>
  <c r="O93" i="55" s="1"/>
  <c r="O95" i="55" s="1"/>
  <c r="AW313" i="55"/>
  <c r="I209" i="23" s="1"/>
  <c r="J26" i="55"/>
  <c r="AK28" i="55"/>
  <c r="AM93" i="55" s="1"/>
  <c r="AW28" i="55"/>
  <c r="BA93" i="55" s="1"/>
  <c r="J274" i="55"/>
  <c r="J27" i="55"/>
  <c r="BG194" i="55"/>
  <c r="BF194" i="55"/>
  <c r="O107" i="23"/>
  <c r="AA97" i="106" l="1"/>
  <c r="AA98" i="106" s="1"/>
  <c r="AA97" i="105"/>
  <c r="AA115" i="105" s="1"/>
  <c r="AB138" i="107"/>
  <c r="AB98" i="107"/>
  <c r="AB99" i="107"/>
  <c r="AB158" i="107"/>
  <c r="AB110" i="107"/>
  <c r="AA97" i="107"/>
  <c r="AA115" i="107" s="1"/>
  <c r="AC126" i="107" s="1"/>
  <c r="AC156" i="107" s="1"/>
  <c r="AB110" i="106"/>
  <c r="AB99" i="106"/>
  <c r="AB158" i="106"/>
  <c r="AB98" i="106"/>
  <c r="AB138" i="106"/>
  <c r="AB158" i="105"/>
  <c r="AB99" i="105"/>
  <c r="AB98" i="105"/>
  <c r="AB110" i="105"/>
  <c r="AB138" i="105"/>
  <c r="P138" i="105"/>
  <c r="P99" i="105"/>
  <c r="P158" i="105"/>
  <c r="M158" i="105" s="1"/>
  <c r="P98" i="105"/>
  <c r="P110" i="105"/>
  <c r="AB110" i="104"/>
  <c r="AB138" i="104"/>
  <c r="AB99" i="104"/>
  <c r="AB98" i="104"/>
  <c r="AB158" i="104"/>
  <c r="AA97" i="104"/>
  <c r="AA115" i="104" s="1"/>
  <c r="AB126" i="104" s="1"/>
  <c r="AB156" i="104" s="1"/>
  <c r="AA97" i="103"/>
  <c r="AA115" i="103" s="1"/>
  <c r="Y115" i="103" s="1"/>
  <c r="J115" i="103" s="1"/>
  <c r="AB99" i="103"/>
  <c r="AB110" i="103"/>
  <c r="AB98" i="103"/>
  <c r="AB138" i="103"/>
  <c r="AB158" i="103"/>
  <c r="M311" i="103"/>
  <c r="J311" i="103" s="1"/>
  <c r="AR318" i="107"/>
  <c r="AR320" i="107" s="1"/>
  <c r="AR322" i="107" s="1"/>
  <c r="AZ318" i="105"/>
  <c r="AZ320" i="105" s="1"/>
  <c r="AZ322" i="105" s="1"/>
  <c r="AZ180" i="105"/>
  <c r="AZ205" i="105" s="1"/>
  <c r="AZ207" i="105" s="1"/>
  <c r="AZ225" i="105" s="1"/>
  <c r="AP256" i="107"/>
  <c r="BD318" i="105"/>
  <c r="BD320" i="105" s="1"/>
  <c r="BD322" i="105" s="1"/>
  <c r="AY318" i="105"/>
  <c r="AY320" i="105" s="1"/>
  <c r="AY322" i="105" s="1"/>
  <c r="BE256" i="105"/>
  <c r="BE318" i="105"/>
  <c r="BE320" i="105" s="1"/>
  <c r="BE322" i="105" s="1"/>
  <c r="BG318" i="105"/>
  <c r="BG320" i="105" s="1"/>
  <c r="BG322" i="105" s="1"/>
  <c r="BF256" i="105"/>
  <c r="BG184" i="105"/>
  <c r="BG13" i="105" s="1"/>
  <c r="AW13" i="105" s="1"/>
  <c r="BF318" i="105"/>
  <c r="BF320" i="105" s="1"/>
  <c r="BF322" i="105" s="1"/>
  <c r="AY256" i="105"/>
  <c r="BB256" i="105"/>
  <c r="BB318" i="105"/>
  <c r="BB320" i="105" s="1"/>
  <c r="BB322" i="105" s="1"/>
  <c r="BA318" i="105"/>
  <c r="BA320" i="105" s="1"/>
  <c r="BA322" i="105" s="1"/>
  <c r="BC256" i="105"/>
  <c r="Q149" i="104"/>
  <c r="R308" i="104" s="1"/>
  <c r="AW255" i="105"/>
  <c r="BA256" i="105"/>
  <c r="AW316" i="105"/>
  <c r="AZ256" i="105"/>
  <c r="AW254" i="105"/>
  <c r="BC318" i="105"/>
  <c r="BC320" i="105" s="1"/>
  <c r="BC322" i="105" s="1"/>
  <c r="BG256" i="105"/>
  <c r="AU256" i="107"/>
  <c r="AU180" i="107"/>
  <c r="AU12" i="107" s="1"/>
  <c r="AO180" i="107"/>
  <c r="AO205" i="107" s="1"/>
  <c r="AO207" i="107" s="1"/>
  <c r="AM184" i="107"/>
  <c r="AY184" i="105"/>
  <c r="BA180" i="105"/>
  <c r="BA205" i="105" s="1"/>
  <c r="BA207" i="105" s="1"/>
  <c r="AW317" i="105"/>
  <c r="AZ184" i="105"/>
  <c r="BG180" i="105"/>
  <c r="BG205" i="105" s="1"/>
  <c r="BG207" i="105" s="1"/>
  <c r="BA184" i="105"/>
  <c r="AR256" i="107"/>
  <c r="AP318" i="107"/>
  <c r="AP320" i="107" s="1"/>
  <c r="AP322" i="107" s="1"/>
  <c r="AO256" i="107"/>
  <c r="AU184" i="107"/>
  <c r="AU13" i="107" s="1"/>
  <c r="AK13" i="107" s="1"/>
  <c r="AM256" i="107"/>
  <c r="AS256" i="107"/>
  <c r="AN180" i="107"/>
  <c r="AN12" i="107" s="1"/>
  <c r="AN184" i="107"/>
  <c r="AO184" i="107"/>
  <c r="O145" i="105"/>
  <c r="O203" i="105" s="1"/>
  <c r="Y272" i="104"/>
  <c r="J272" i="104" s="1"/>
  <c r="AM318" i="107"/>
  <c r="AM320" i="107" s="1"/>
  <c r="AM322" i="107" s="1"/>
  <c r="AN256" i="107"/>
  <c r="AT318" i="107"/>
  <c r="AT320" i="107" s="1"/>
  <c r="AT322" i="107" s="1"/>
  <c r="AA157" i="107"/>
  <c r="Y157" i="107" s="1"/>
  <c r="AT256" i="107"/>
  <c r="AA138" i="106"/>
  <c r="AA99" i="106"/>
  <c r="AA157" i="106" s="1"/>
  <c r="Y157" i="106" s="1"/>
  <c r="AK255" i="107"/>
  <c r="AQ256" i="107"/>
  <c r="AU318" i="107"/>
  <c r="AU320" i="107" s="1"/>
  <c r="AU322" i="107" s="1"/>
  <c r="AN318" i="107"/>
  <c r="AN320" i="107" s="1"/>
  <c r="AN322" i="107" s="1"/>
  <c r="AQ318" i="107"/>
  <c r="AQ320" i="107" s="1"/>
  <c r="AQ322" i="107" s="1"/>
  <c r="AK254" i="107"/>
  <c r="Q145" i="104"/>
  <c r="Q203" i="104" s="1"/>
  <c r="AK317" i="107"/>
  <c r="Y272" i="106"/>
  <c r="J272" i="106" s="1"/>
  <c r="AS318" i="107"/>
  <c r="AS320" i="107" s="1"/>
  <c r="AS322" i="107" s="1"/>
  <c r="AA157" i="103"/>
  <c r="Y157" i="103" s="1"/>
  <c r="Y268" i="105"/>
  <c r="Y271" i="107"/>
  <c r="AA157" i="104"/>
  <c r="Y157" i="104" s="1"/>
  <c r="Y268" i="107"/>
  <c r="Y271" i="104"/>
  <c r="Y271" i="105"/>
  <c r="Y268" i="104"/>
  <c r="Y271" i="103"/>
  <c r="AK316" i="107"/>
  <c r="Y272" i="103"/>
  <c r="J272" i="103" s="1"/>
  <c r="AA99" i="105"/>
  <c r="Y268" i="103"/>
  <c r="Y268" i="106"/>
  <c r="Y272" i="105"/>
  <c r="J272" i="105" s="1"/>
  <c r="Y271" i="106"/>
  <c r="P116" i="103"/>
  <c r="P120" i="103" s="1"/>
  <c r="P201" i="103" s="1"/>
  <c r="P213" i="103"/>
  <c r="P268" i="103" s="1"/>
  <c r="P143" i="103"/>
  <c r="P145" i="103" s="1"/>
  <c r="P212" i="103"/>
  <c r="P267" i="103" s="1"/>
  <c r="M110" i="103"/>
  <c r="P215" i="103"/>
  <c r="P270" i="103" s="1"/>
  <c r="P162" i="103"/>
  <c r="P165" i="103"/>
  <c r="M138" i="103"/>
  <c r="M126" i="103"/>
  <c r="M156" i="103"/>
  <c r="Q219" i="104"/>
  <c r="P271" i="105"/>
  <c r="Q271" i="105"/>
  <c r="Q268" i="105"/>
  <c r="P268" i="105"/>
  <c r="R268" i="105"/>
  <c r="S271" i="105"/>
  <c r="O271" i="105"/>
  <c r="Q165" i="105"/>
  <c r="Q267" i="105"/>
  <c r="BE318" i="106"/>
  <c r="BE320" i="106" s="1"/>
  <c r="BE322" i="106" s="1"/>
  <c r="R267" i="107"/>
  <c r="R269" i="103"/>
  <c r="BF256" i="103"/>
  <c r="BB256" i="106"/>
  <c r="M126" i="105"/>
  <c r="R267" i="103"/>
  <c r="P270" i="104"/>
  <c r="O149" i="105"/>
  <c r="O149" i="104"/>
  <c r="O219" i="105"/>
  <c r="M141" i="104"/>
  <c r="Q270" i="105"/>
  <c r="P269" i="105"/>
  <c r="M271" i="107"/>
  <c r="M216" i="103"/>
  <c r="R271" i="103"/>
  <c r="S271" i="103"/>
  <c r="O271" i="103"/>
  <c r="Q271" i="103"/>
  <c r="P271" i="103"/>
  <c r="M213" i="104"/>
  <c r="S268" i="104"/>
  <c r="O268" i="104"/>
  <c r="P268" i="104"/>
  <c r="Q268" i="104"/>
  <c r="R268" i="104"/>
  <c r="P190" i="105"/>
  <c r="P267" i="104"/>
  <c r="P245" i="107"/>
  <c r="S245" i="107"/>
  <c r="S268" i="103"/>
  <c r="R268" i="103"/>
  <c r="Q268" i="103"/>
  <c r="P190" i="107"/>
  <c r="O245" i="107"/>
  <c r="Q245" i="107"/>
  <c r="M268" i="107"/>
  <c r="R245" i="107"/>
  <c r="M216" i="104"/>
  <c r="R271" i="104"/>
  <c r="S271" i="104"/>
  <c r="O271" i="104"/>
  <c r="P271" i="104"/>
  <c r="Q271" i="104"/>
  <c r="R270" i="104"/>
  <c r="O145" i="104"/>
  <c r="O203" i="104" s="1"/>
  <c r="R269" i="104"/>
  <c r="R269" i="105"/>
  <c r="P269" i="104"/>
  <c r="S270" i="103"/>
  <c r="R270" i="103"/>
  <c r="S270" i="107"/>
  <c r="R270" i="107"/>
  <c r="R270" i="105"/>
  <c r="S246" i="104"/>
  <c r="R246" i="104"/>
  <c r="R269" i="107"/>
  <c r="S267" i="104"/>
  <c r="R267" i="104"/>
  <c r="R267" i="105"/>
  <c r="Q269" i="103"/>
  <c r="S269" i="103"/>
  <c r="Q267" i="103"/>
  <c r="S267" i="103"/>
  <c r="S269" i="105"/>
  <c r="O165" i="103"/>
  <c r="Q269" i="104"/>
  <c r="S269" i="104"/>
  <c r="Q270" i="104"/>
  <c r="S270" i="104"/>
  <c r="S267" i="105"/>
  <c r="S269" i="107"/>
  <c r="S270" i="105"/>
  <c r="Q267" i="107"/>
  <c r="S267" i="107"/>
  <c r="M215" i="104"/>
  <c r="Q246" i="104"/>
  <c r="O270" i="104"/>
  <c r="Q270" i="103"/>
  <c r="O162" i="104"/>
  <c r="Q270" i="107"/>
  <c r="Q269" i="105"/>
  <c r="P269" i="107"/>
  <c r="Q269" i="107"/>
  <c r="M212" i="104"/>
  <c r="Q267" i="104"/>
  <c r="O157" i="106"/>
  <c r="O174" i="104"/>
  <c r="O190" i="104" s="1"/>
  <c r="P270" i="107"/>
  <c r="O269" i="103"/>
  <c r="P269" i="103"/>
  <c r="P270" i="105"/>
  <c r="O267" i="105"/>
  <c r="P267" i="105"/>
  <c r="O267" i="107"/>
  <c r="P267" i="107"/>
  <c r="O219" i="104"/>
  <c r="M214" i="104"/>
  <c r="O269" i="107"/>
  <c r="O269" i="104"/>
  <c r="M214" i="105"/>
  <c r="O269" i="105"/>
  <c r="O270" i="107"/>
  <c r="O267" i="104"/>
  <c r="U307" i="107"/>
  <c r="O307" i="107"/>
  <c r="P307" i="107"/>
  <c r="S307" i="107"/>
  <c r="R307" i="107"/>
  <c r="Q307" i="107"/>
  <c r="V307" i="107"/>
  <c r="W307" i="107"/>
  <c r="T307" i="107"/>
  <c r="O270" i="105"/>
  <c r="P13" i="107"/>
  <c r="O162" i="103"/>
  <c r="AM13" i="103"/>
  <c r="AS255" i="103"/>
  <c r="AP316" i="103"/>
  <c r="AO316" i="103"/>
  <c r="AQ317" i="103"/>
  <c r="AT317" i="103"/>
  <c r="AU317" i="103"/>
  <c r="AT316" i="103"/>
  <c r="AN254" i="103"/>
  <c r="AN316" i="103"/>
  <c r="AR254" i="103"/>
  <c r="AQ316" i="103"/>
  <c r="AO254" i="103"/>
  <c r="AK172" i="103"/>
  <c r="AP254" i="103"/>
  <c r="AU255" i="103"/>
  <c r="AR255" i="103"/>
  <c r="AT255" i="103"/>
  <c r="AT254" i="103"/>
  <c r="AQ255" i="103"/>
  <c r="AO255" i="103"/>
  <c r="AM254" i="103"/>
  <c r="AN255" i="103"/>
  <c r="AP255" i="103"/>
  <c r="AU316" i="103"/>
  <c r="AM255" i="103"/>
  <c r="AR317" i="103"/>
  <c r="AP317" i="103"/>
  <c r="AU254" i="103"/>
  <c r="AQ254" i="103"/>
  <c r="AS316" i="103"/>
  <c r="AR316" i="103"/>
  <c r="AO317" i="103"/>
  <c r="AN317" i="103"/>
  <c r="AM317" i="103"/>
  <c r="AS254" i="103"/>
  <c r="AS317" i="103"/>
  <c r="AM316" i="103"/>
  <c r="Q219" i="107"/>
  <c r="O165" i="107"/>
  <c r="O162" i="107"/>
  <c r="M214" i="107"/>
  <c r="BF317" i="107"/>
  <c r="BG317" i="107"/>
  <c r="BA255" i="107"/>
  <c r="BA254" i="107"/>
  <c r="BB317" i="107"/>
  <c r="BF254" i="107"/>
  <c r="BD317" i="107"/>
  <c r="AZ316" i="107"/>
  <c r="AY255" i="107"/>
  <c r="BG255" i="107"/>
  <c r="AZ317" i="107"/>
  <c r="BC317" i="107"/>
  <c r="BC255" i="107"/>
  <c r="BF255" i="107"/>
  <c r="BE255" i="107"/>
  <c r="BF316" i="107"/>
  <c r="BB255" i="107"/>
  <c r="BG254" i="107"/>
  <c r="BE316" i="107"/>
  <c r="BC316" i="107"/>
  <c r="BE254" i="107"/>
  <c r="AY254" i="107"/>
  <c r="BD255" i="107"/>
  <c r="AW172" i="107"/>
  <c r="BG316" i="107"/>
  <c r="BA316" i="107"/>
  <c r="AZ255" i="107"/>
  <c r="BA317" i="107"/>
  <c r="BB254" i="107"/>
  <c r="BB316" i="107"/>
  <c r="BE317" i="107"/>
  <c r="BD316" i="107"/>
  <c r="AY316" i="107"/>
  <c r="AZ254" i="107"/>
  <c r="BD254" i="107"/>
  <c r="BC254" i="107"/>
  <c r="AY317" i="107"/>
  <c r="Q149" i="107"/>
  <c r="Q145" i="107"/>
  <c r="Q203" i="107" s="1"/>
  <c r="M215" i="107"/>
  <c r="Q170" i="107"/>
  <c r="Q172" i="107" s="1"/>
  <c r="Q124" i="107"/>
  <c r="Q120" i="107"/>
  <c r="O170" i="107"/>
  <c r="M116" i="107"/>
  <c r="O124" i="107"/>
  <c r="O120" i="107"/>
  <c r="O174" i="107"/>
  <c r="O149" i="107"/>
  <c r="O145" i="107"/>
  <c r="M141" i="107"/>
  <c r="O219" i="107"/>
  <c r="M212" i="107"/>
  <c r="M126" i="106"/>
  <c r="O156" i="106"/>
  <c r="M156" i="106" s="1"/>
  <c r="BA318" i="106"/>
  <c r="BA320" i="106" s="1"/>
  <c r="BA322" i="106" s="1"/>
  <c r="M158" i="106"/>
  <c r="AK322" i="106"/>
  <c r="AK256" i="106"/>
  <c r="O212" i="106"/>
  <c r="O214" i="106"/>
  <c r="O116" i="106"/>
  <c r="M110" i="106"/>
  <c r="O215" i="106"/>
  <c r="Q162" i="106"/>
  <c r="Q165" i="106"/>
  <c r="AN205" i="106"/>
  <c r="AN207" i="106" s="1"/>
  <c r="AN225" i="106" s="1"/>
  <c r="AN12" i="106"/>
  <c r="AM12" i="106"/>
  <c r="AM205" i="106"/>
  <c r="Q141" i="106"/>
  <c r="Q143" i="106"/>
  <c r="Q147" i="106"/>
  <c r="P212" i="106"/>
  <c r="P116" i="106"/>
  <c r="P213" i="106"/>
  <c r="P216" i="106"/>
  <c r="P215" i="106"/>
  <c r="AU205" i="106"/>
  <c r="AU207" i="106" s="1"/>
  <c r="AU12" i="106"/>
  <c r="AO205" i="106"/>
  <c r="AO207" i="106" s="1"/>
  <c r="AO12" i="106"/>
  <c r="P165" i="106"/>
  <c r="P162" i="106"/>
  <c r="O141" i="106"/>
  <c r="O147" i="106"/>
  <c r="O143" i="106"/>
  <c r="M138" i="106"/>
  <c r="Q214" i="106"/>
  <c r="Q212" i="106"/>
  <c r="Q116" i="106"/>
  <c r="Q215" i="106"/>
  <c r="AK318" i="106"/>
  <c r="AK320" i="106" s="1"/>
  <c r="P147" i="106"/>
  <c r="P149" i="106" s="1"/>
  <c r="P143" i="106"/>
  <c r="P145" i="106" s="1"/>
  <c r="M156" i="105"/>
  <c r="O162" i="105"/>
  <c r="O174" i="105"/>
  <c r="O190" i="105" s="1"/>
  <c r="O165" i="105"/>
  <c r="Q219" i="105"/>
  <c r="Q145" i="105"/>
  <c r="Q149" i="105"/>
  <c r="M141" i="105"/>
  <c r="AT317" i="105"/>
  <c r="AU317" i="105"/>
  <c r="AS316" i="105"/>
  <c r="AU316" i="105"/>
  <c r="AP316" i="105"/>
  <c r="AP255" i="105"/>
  <c r="AQ316" i="105"/>
  <c r="AM316" i="105"/>
  <c r="AM317" i="105"/>
  <c r="AT316" i="105"/>
  <c r="AO254" i="105"/>
  <c r="AP317" i="105"/>
  <c r="AK172" i="105"/>
  <c r="AT254" i="105"/>
  <c r="AU254" i="105"/>
  <c r="AR255" i="105"/>
  <c r="AO317" i="105"/>
  <c r="AO316" i="105"/>
  <c r="AS255" i="105"/>
  <c r="AS254" i="105"/>
  <c r="AM255" i="105"/>
  <c r="AN255" i="105"/>
  <c r="AS317" i="105"/>
  <c r="AO255" i="105"/>
  <c r="AN316" i="105"/>
  <c r="AT255" i="105"/>
  <c r="AU255" i="105"/>
  <c r="AR316" i="105"/>
  <c r="AQ254" i="105"/>
  <c r="AR317" i="105"/>
  <c r="AP254" i="105"/>
  <c r="AQ255" i="105"/>
  <c r="AM254" i="105"/>
  <c r="AN317" i="105"/>
  <c r="AR254" i="105"/>
  <c r="AQ317" i="105"/>
  <c r="AN254" i="105"/>
  <c r="Q120" i="105"/>
  <c r="Q124" i="105"/>
  <c r="Q170" i="105"/>
  <c r="M156" i="104"/>
  <c r="O165" i="104"/>
  <c r="P120" i="104"/>
  <c r="P201" i="104" s="1"/>
  <c r="P170" i="104"/>
  <c r="P172" i="104" s="1"/>
  <c r="P124" i="104"/>
  <c r="P13" i="104" s="1"/>
  <c r="P174" i="104"/>
  <c r="P219" i="104"/>
  <c r="M116" i="104"/>
  <c r="AW172" i="104"/>
  <c r="AZ255" i="104"/>
  <c r="BD316" i="104"/>
  <c r="BE317" i="104"/>
  <c r="BB317" i="104"/>
  <c r="BA255" i="104"/>
  <c r="BC317" i="104"/>
  <c r="BA317" i="104"/>
  <c r="BE255" i="104"/>
  <c r="AY316" i="104"/>
  <c r="AZ317" i="104"/>
  <c r="BC254" i="104"/>
  <c r="BC316" i="104"/>
  <c r="BG254" i="104"/>
  <c r="AY317" i="104"/>
  <c r="AZ254" i="104"/>
  <c r="BD317" i="104"/>
  <c r="BF255" i="104"/>
  <c r="BC255" i="104"/>
  <c r="BG317" i="104"/>
  <c r="BB316" i="104"/>
  <c r="BB255" i="104"/>
  <c r="BB254" i="104"/>
  <c r="AY254" i="104"/>
  <c r="BD254" i="104"/>
  <c r="BD255" i="104"/>
  <c r="BA254" i="104"/>
  <c r="BF316" i="104"/>
  <c r="BA316" i="104"/>
  <c r="BF317" i="104"/>
  <c r="BE254" i="104"/>
  <c r="BG316" i="104"/>
  <c r="AY255" i="104"/>
  <c r="AZ316" i="104"/>
  <c r="BF254" i="104"/>
  <c r="BG255" i="104"/>
  <c r="BE316" i="104"/>
  <c r="AK172" i="104"/>
  <c r="AS316" i="104"/>
  <c r="AS317" i="104"/>
  <c r="AU317" i="104"/>
  <c r="AT317" i="104"/>
  <c r="AO317" i="104"/>
  <c r="AU316" i="104"/>
  <c r="AQ316" i="104"/>
  <c r="AM255" i="104"/>
  <c r="AM254" i="104"/>
  <c r="AU255" i="104"/>
  <c r="AR255" i="104"/>
  <c r="AN316" i="104"/>
  <c r="AS255" i="104"/>
  <c r="AS254" i="104"/>
  <c r="AP317" i="104"/>
  <c r="AU254" i="104"/>
  <c r="AO255" i="104"/>
  <c r="AP254" i="104"/>
  <c r="AP316" i="104"/>
  <c r="AN254" i="104"/>
  <c r="AN317" i="104"/>
  <c r="AR254" i="104"/>
  <c r="AT255" i="104"/>
  <c r="AT316" i="104"/>
  <c r="AQ254" i="104"/>
  <c r="AR316" i="104"/>
  <c r="AQ255" i="104"/>
  <c r="AP255" i="104"/>
  <c r="AR317" i="104"/>
  <c r="AT254" i="104"/>
  <c r="AO254" i="104"/>
  <c r="AO316" i="104"/>
  <c r="AN255" i="104"/>
  <c r="AM317" i="104"/>
  <c r="AQ317" i="104"/>
  <c r="AM316" i="104"/>
  <c r="Q219" i="103"/>
  <c r="M214" i="103"/>
  <c r="BD318" i="103"/>
  <c r="BD320" i="103" s="1"/>
  <c r="BD322" i="103" s="1"/>
  <c r="O219" i="103"/>
  <c r="O170" i="103"/>
  <c r="O174" i="103"/>
  <c r="O124" i="103"/>
  <c r="O120" i="103"/>
  <c r="Q120" i="103"/>
  <c r="Q170" i="103"/>
  <c r="Q172" i="103" s="1"/>
  <c r="Q124" i="103"/>
  <c r="Q149" i="103"/>
  <c r="Q145" i="103"/>
  <c r="Q203" i="103" s="1"/>
  <c r="BE256" i="103"/>
  <c r="O145" i="103"/>
  <c r="M141" i="103"/>
  <c r="O149" i="103"/>
  <c r="AM291" i="107"/>
  <c r="AM294" i="107" s="1"/>
  <c r="AM265" i="107"/>
  <c r="AM205" i="107"/>
  <c r="AM12" i="107"/>
  <c r="AY291" i="107"/>
  <c r="AY294" i="107" s="1"/>
  <c r="AY265" i="107"/>
  <c r="AN291" i="105"/>
  <c r="AN294" i="105" s="1"/>
  <c r="AN265" i="105"/>
  <c r="AN278" i="105" s="1"/>
  <c r="AN292" i="105" s="1"/>
  <c r="AZ256" i="106"/>
  <c r="BE256" i="106"/>
  <c r="AW317" i="106"/>
  <c r="BC256" i="106"/>
  <c r="BD318" i="106"/>
  <c r="BD320" i="106" s="1"/>
  <c r="BD322" i="106" s="1"/>
  <c r="BB318" i="106"/>
  <c r="BB320" i="106" s="1"/>
  <c r="BB322" i="106" s="1"/>
  <c r="AW255" i="106"/>
  <c r="BG318" i="106"/>
  <c r="BG320" i="106" s="1"/>
  <c r="BG322" i="106" s="1"/>
  <c r="AZ184" i="106"/>
  <c r="BA180" i="106"/>
  <c r="AY184" i="106"/>
  <c r="AZ180" i="106"/>
  <c r="BG184" i="106"/>
  <c r="BG13" i="106" s="1"/>
  <c r="AW13" i="106" s="1"/>
  <c r="AY180" i="106"/>
  <c r="BA184" i="106"/>
  <c r="BG180" i="106"/>
  <c r="AW254" i="106"/>
  <c r="AY256" i="106"/>
  <c r="BC318" i="106"/>
  <c r="BC320" i="106" s="1"/>
  <c r="BC322" i="106" s="1"/>
  <c r="BD256" i="106"/>
  <c r="AW316" i="106"/>
  <c r="AY318" i="106"/>
  <c r="AY320" i="106" s="1"/>
  <c r="AY322" i="106" s="1"/>
  <c r="BG256" i="106"/>
  <c r="BF256" i="106"/>
  <c r="AZ318" i="106"/>
  <c r="AZ320" i="106" s="1"/>
  <c r="AZ322" i="106" s="1"/>
  <c r="BA256" i="106"/>
  <c r="BF318" i="106"/>
  <c r="BF320" i="106" s="1"/>
  <c r="BF322" i="106" s="1"/>
  <c r="AM265" i="105"/>
  <c r="AM291" i="105"/>
  <c r="AM294" i="105" s="1"/>
  <c r="AY265" i="105"/>
  <c r="AY291" i="105"/>
  <c r="AY294" i="105" s="1"/>
  <c r="AY205" i="105"/>
  <c r="AY12" i="105"/>
  <c r="AY291" i="104"/>
  <c r="AY294" i="104" s="1"/>
  <c r="AY265" i="104"/>
  <c r="BG318" i="103"/>
  <c r="BG320" i="103" s="1"/>
  <c r="BG322" i="103" s="1"/>
  <c r="O201" i="104"/>
  <c r="O246" i="104"/>
  <c r="Q201" i="104"/>
  <c r="AM265" i="104"/>
  <c r="AM291" i="104"/>
  <c r="AM294" i="104" s="1"/>
  <c r="BC318" i="103"/>
  <c r="BC320" i="103" s="1"/>
  <c r="BC322" i="103" s="1"/>
  <c r="AN291" i="104"/>
  <c r="AN294" i="104" s="1"/>
  <c r="AN265" i="104"/>
  <c r="AN278" i="104" s="1"/>
  <c r="AN292" i="104" s="1"/>
  <c r="O172" i="104"/>
  <c r="BE318" i="103"/>
  <c r="BE320" i="103" s="1"/>
  <c r="BE322" i="103" s="1"/>
  <c r="BC256" i="103"/>
  <c r="AW254" i="103"/>
  <c r="AY256" i="103"/>
  <c r="BB318" i="103"/>
  <c r="BB320" i="103" s="1"/>
  <c r="BB322" i="103" s="1"/>
  <c r="AN291" i="103"/>
  <c r="AN294" i="103" s="1"/>
  <c r="AN265" i="103"/>
  <c r="AN278" i="103" s="1"/>
  <c r="AN292" i="103" s="1"/>
  <c r="AW316" i="103"/>
  <c r="AY318" i="103"/>
  <c r="AY320" i="103" s="1"/>
  <c r="AY322" i="103" s="1"/>
  <c r="BG256" i="103"/>
  <c r="BA318" i="103"/>
  <c r="BA320" i="103" s="1"/>
  <c r="BA322" i="103" s="1"/>
  <c r="AM265" i="103"/>
  <c r="AM291" i="103"/>
  <c r="AM294" i="103" s="1"/>
  <c r="BB256" i="103"/>
  <c r="BG184" i="103"/>
  <c r="BG13" i="103" s="1"/>
  <c r="AW13" i="103" s="1"/>
  <c r="AY180" i="103"/>
  <c r="BA184" i="103"/>
  <c r="BG180" i="103"/>
  <c r="AZ184" i="103"/>
  <c r="BA180" i="103"/>
  <c r="AY184" i="103"/>
  <c r="AZ180" i="103"/>
  <c r="AW255" i="103"/>
  <c r="BF318" i="103"/>
  <c r="BF320" i="103" s="1"/>
  <c r="BF322" i="103" s="1"/>
  <c r="AZ256" i="103"/>
  <c r="AW317" i="103"/>
  <c r="BD256" i="103"/>
  <c r="AZ318" i="103"/>
  <c r="AZ320" i="103" s="1"/>
  <c r="AZ322" i="103" s="1"/>
  <c r="BA256" i="103"/>
  <c r="AA297" i="55"/>
  <c r="AA300" i="55" a="1"/>
  <c r="AA300" i="55" s="1"/>
  <c r="BG219" i="55"/>
  <c r="J171" i="55"/>
  <c r="AU219" i="55"/>
  <c r="AK218" i="55"/>
  <c r="J218" i="55" s="1"/>
  <c r="I242" i="23" s="1"/>
  <c r="AK29" i="55"/>
  <c r="M29" i="55"/>
  <c r="AY93" i="55"/>
  <c r="AO93" i="55"/>
  <c r="J28" i="55"/>
  <c r="AA115" i="106" l="1"/>
  <c r="AB126" i="106" s="1"/>
  <c r="AB156" i="106" s="1"/>
  <c r="AA98" i="105"/>
  <c r="AA138" i="105"/>
  <c r="AA110" i="106"/>
  <c r="AA212" i="106" s="1"/>
  <c r="AA158" i="106"/>
  <c r="AA126" i="103"/>
  <c r="AA110" i="105"/>
  <c r="AA158" i="105"/>
  <c r="Y158" i="105" s="1"/>
  <c r="J158" i="105" s="1"/>
  <c r="AZ12" i="105"/>
  <c r="AA126" i="104"/>
  <c r="AA156" i="104" s="1"/>
  <c r="AB126" i="103"/>
  <c r="AB156" i="103" s="1"/>
  <c r="AB165" i="103" s="1"/>
  <c r="AB126" i="107"/>
  <c r="AB156" i="107" s="1"/>
  <c r="AB165" i="107" s="1"/>
  <c r="Y115" i="107"/>
  <c r="J115" i="107" s="1"/>
  <c r="AA126" i="107"/>
  <c r="AA156" i="107" s="1"/>
  <c r="AA110" i="107"/>
  <c r="AA158" i="107"/>
  <c r="Y158" i="107" s="1"/>
  <c r="J158" i="107" s="1"/>
  <c r="AA99" i="107"/>
  <c r="AA98" i="107"/>
  <c r="AA138" i="107"/>
  <c r="AB116" i="107"/>
  <c r="AB213" i="107"/>
  <c r="Y213" i="107" s="1"/>
  <c r="J213" i="107" s="1"/>
  <c r="AB216" i="107"/>
  <c r="Y216" i="107" s="1"/>
  <c r="J216" i="107" s="1"/>
  <c r="AB212" i="107"/>
  <c r="AB215" i="107"/>
  <c r="AB147" i="107"/>
  <c r="AB149" i="107" s="1"/>
  <c r="AB143" i="107"/>
  <c r="AB145" i="107" s="1"/>
  <c r="Y138" i="106"/>
  <c r="J138" i="106" s="1"/>
  <c r="Y158" i="106"/>
  <c r="J158" i="106" s="1"/>
  <c r="AB215" i="106"/>
  <c r="AB143" i="106"/>
  <c r="AB145" i="106" s="1"/>
  <c r="AB147" i="106"/>
  <c r="AB149" i="106" s="1"/>
  <c r="AB116" i="106"/>
  <c r="AB174" i="106" s="1"/>
  <c r="AB190" i="106" s="1"/>
  <c r="AB194" i="106" s="1"/>
  <c r="AB212" i="106"/>
  <c r="AB213" i="106"/>
  <c r="Y213" i="106" s="1"/>
  <c r="AB216" i="106"/>
  <c r="Y216" i="106" s="1"/>
  <c r="P165" i="105"/>
  <c r="S307" i="105" s="1"/>
  <c r="P162" i="105"/>
  <c r="Q245" i="105" s="1"/>
  <c r="P147" i="105"/>
  <c r="P149" i="105" s="1"/>
  <c r="P143" i="105"/>
  <c r="P145" i="105" s="1"/>
  <c r="M145" i="105" s="1"/>
  <c r="M138" i="105"/>
  <c r="P215" i="105"/>
  <c r="M215" i="105" s="1"/>
  <c r="P212" i="105"/>
  <c r="P116" i="105"/>
  <c r="P213" i="105"/>
  <c r="P216" i="105"/>
  <c r="M110" i="105"/>
  <c r="AB212" i="105"/>
  <c r="AB116" i="105"/>
  <c r="AB213" i="105"/>
  <c r="Y213" i="105" s="1"/>
  <c r="AB216" i="105"/>
  <c r="Y216" i="105" s="1"/>
  <c r="AB215" i="105"/>
  <c r="AB147" i="105"/>
  <c r="AB149" i="105" s="1"/>
  <c r="AB143" i="105"/>
  <c r="AB145" i="105" s="1"/>
  <c r="AC126" i="104"/>
  <c r="AC156" i="104" s="1"/>
  <c r="AC165" i="104" s="1"/>
  <c r="Y115" i="104"/>
  <c r="J115" i="104" s="1"/>
  <c r="AA99" i="104"/>
  <c r="AA110" i="104"/>
  <c r="AA138" i="104"/>
  <c r="AA158" i="104"/>
  <c r="Y158" i="104" s="1"/>
  <c r="J158" i="104" s="1"/>
  <c r="AA98" i="104"/>
  <c r="AB147" i="104"/>
  <c r="AB149" i="104" s="1"/>
  <c r="AB143" i="104"/>
  <c r="AB145" i="104" s="1"/>
  <c r="AB216" i="104"/>
  <c r="Y216" i="104" s="1"/>
  <c r="J216" i="104" s="1"/>
  <c r="AB213" i="104"/>
  <c r="Y213" i="104" s="1"/>
  <c r="J213" i="104" s="1"/>
  <c r="AB215" i="104"/>
  <c r="AB212" i="104"/>
  <c r="AB116" i="104"/>
  <c r="AB174" i="104" s="1"/>
  <c r="AB190" i="104" s="1"/>
  <c r="AB194" i="104" s="1"/>
  <c r="AC126" i="103"/>
  <c r="AC156" i="103" s="1"/>
  <c r="AC165" i="103" s="1"/>
  <c r="AB147" i="103"/>
  <c r="AB149" i="103" s="1"/>
  <c r="AB143" i="103"/>
  <c r="AB145" i="103" s="1"/>
  <c r="AB212" i="103"/>
  <c r="AB213" i="103"/>
  <c r="Y213" i="103" s="1"/>
  <c r="AB116" i="103"/>
  <c r="AB215" i="103"/>
  <c r="AB216" i="103"/>
  <c r="Y216" i="103" s="1"/>
  <c r="J216" i="103" s="1"/>
  <c r="AA99" i="103"/>
  <c r="AA110" i="103"/>
  <c r="AA138" i="103"/>
  <c r="AA158" i="103"/>
  <c r="Y158" i="103" s="1"/>
  <c r="J158" i="103" s="1"/>
  <c r="AA98" i="103"/>
  <c r="O308" i="104"/>
  <c r="W308" i="104"/>
  <c r="Q13" i="104"/>
  <c r="V308" i="104"/>
  <c r="P308" i="104"/>
  <c r="U308" i="104"/>
  <c r="T308" i="104"/>
  <c r="Q308" i="104"/>
  <c r="S308" i="104"/>
  <c r="AK183" i="103"/>
  <c r="AW183" i="103"/>
  <c r="M183" i="103"/>
  <c r="Y183" i="103"/>
  <c r="O270" i="103"/>
  <c r="M270" i="103" s="1"/>
  <c r="O267" i="103"/>
  <c r="M267" i="103" s="1"/>
  <c r="O268" i="103"/>
  <c r="M268" i="103" s="1"/>
  <c r="J268" i="103" s="1"/>
  <c r="AO12" i="107"/>
  <c r="AK12" i="107" s="1"/>
  <c r="AK134" i="107" s="1"/>
  <c r="BA12" i="105"/>
  <c r="AW318" i="105"/>
  <c r="AW320" i="105" s="1"/>
  <c r="AW322" i="105"/>
  <c r="AW256" i="105"/>
  <c r="M149" i="104"/>
  <c r="BG12" i="105"/>
  <c r="AU205" i="107"/>
  <c r="AU207" i="107" s="1"/>
  <c r="AN205" i="107"/>
  <c r="AN207" i="107" s="1"/>
  <c r="AN225" i="107" s="1"/>
  <c r="P246" i="104"/>
  <c r="M246" i="104" s="1"/>
  <c r="M203" i="104"/>
  <c r="AK318" i="107"/>
  <c r="AK320" i="107" s="1"/>
  <c r="AK256" i="107"/>
  <c r="AA116" i="106"/>
  <c r="AA120" i="106" s="1"/>
  <c r="Y110" i="106"/>
  <c r="J110" i="106" s="1"/>
  <c r="AA214" i="106"/>
  <c r="AB269" i="106" s="1"/>
  <c r="AA143" i="106"/>
  <c r="AA215" i="106"/>
  <c r="AB270" i="106" s="1"/>
  <c r="AA147" i="106"/>
  <c r="AA141" i="106"/>
  <c r="AK322" i="107"/>
  <c r="J271" i="107"/>
  <c r="Y115" i="106"/>
  <c r="J115" i="106" s="1"/>
  <c r="AA126" i="106"/>
  <c r="AA156" i="106" s="1"/>
  <c r="AC126" i="106"/>
  <c r="AC156" i="106" s="1"/>
  <c r="AC162" i="106" s="1"/>
  <c r="J268" i="107"/>
  <c r="AA157" i="105"/>
  <c r="Y157" i="105" s="1"/>
  <c r="AA269" i="104"/>
  <c r="AB269" i="104"/>
  <c r="AA156" i="103"/>
  <c r="AB269" i="103"/>
  <c r="AA269" i="103"/>
  <c r="AB267" i="104"/>
  <c r="AA267" i="104"/>
  <c r="AB267" i="103"/>
  <c r="AA267" i="103"/>
  <c r="AB270" i="104"/>
  <c r="AA270" i="104"/>
  <c r="AB126" i="105"/>
  <c r="AB156" i="105" s="1"/>
  <c r="AA126" i="105"/>
  <c r="Y115" i="105"/>
  <c r="J115" i="105" s="1"/>
  <c r="AC126" i="105"/>
  <c r="AC156" i="105" s="1"/>
  <c r="AB162" i="106"/>
  <c r="AB165" i="106"/>
  <c r="AB165" i="104"/>
  <c r="AB162" i="104"/>
  <c r="AB270" i="107"/>
  <c r="AA270" i="107"/>
  <c r="AC165" i="107"/>
  <c r="AC162" i="107"/>
  <c r="AA147" i="105"/>
  <c r="AA143" i="105"/>
  <c r="AA141" i="105"/>
  <c r="Y138" i="105"/>
  <c r="AB269" i="107"/>
  <c r="AA269" i="107"/>
  <c r="AB270" i="103"/>
  <c r="AA270" i="103"/>
  <c r="AB267" i="106"/>
  <c r="AA267" i="106"/>
  <c r="AB267" i="107"/>
  <c r="AA267" i="107"/>
  <c r="P124" i="103"/>
  <c r="W307" i="103" s="1"/>
  <c r="M213" i="103"/>
  <c r="P174" i="103"/>
  <c r="P170" i="103"/>
  <c r="P172" i="103" s="1"/>
  <c r="M116" i="103"/>
  <c r="M212" i="103"/>
  <c r="M215" i="103"/>
  <c r="P219" i="103"/>
  <c r="P194" i="105"/>
  <c r="P194" i="107"/>
  <c r="O194" i="105"/>
  <c r="R246" i="105"/>
  <c r="M120" i="104"/>
  <c r="P245" i="105"/>
  <c r="O245" i="105"/>
  <c r="BB318" i="104"/>
  <c r="BB320" i="104" s="1"/>
  <c r="BB322" i="104" s="1"/>
  <c r="AP318" i="104"/>
  <c r="AP320" i="104" s="1"/>
  <c r="AP322" i="104" s="1"/>
  <c r="M124" i="104"/>
  <c r="BD256" i="107"/>
  <c r="BG256" i="107"/>
  <c r="BG318" i="104"/>
  <c r="BG320" i="104" s="1"/>
  <c r="BG322" i="104" s="1"/>
  <c r="BB256" i="107"/>
  <c r="R245" i="105"/>
  <c r="AT318" i="104"/>
  <c r="AT320" i="104" s="1"/>
  <c r="AT322" i="104" s="1"/>
  <c r="P190" i="104"/>
  <c r="O190" i="107"/>
  <c r="S245" i="105"/>
  <c r="R276" i="107"/>
  <c r="V307" i="105"/>
  <c r="O307" i="105"/>
  <c r="R307" i="105"/>
  <c r="P307" i="105"/>
  <c r="Q307" i="105"/>
  <c r="U307" i="105"/>
  <c r="W307" i="105"/>
  <c r="T307" i="105"/>
  <c r="M149" i="105"/>
  <c r="M145" i="104"/>
  <c r="AT256" i="103"/>
  <c r="P276" i="104"/>
  <c r="Q276" i="105"/>
  <c r="M271" i="103"/>
  <c r="J271" i="103" s="1"/>
  <c r="M245" i="107"/>
  <c r="R276" i="103"/>
  <c r="Q244" i="104"/>
  <c r="R276" i="104"/>
  <c r="AQ256" i="103"/>
  <c r="S276" i="103"/>
  <c r="AU256" i="103"/>
  <c r="AS256" i="103"/>
  <c r="W307" i="104"/>
  <c r="R307" i="104"/>
  <c r="S245" i="103"/>
  <c r="P307" i="104"/>
  <c r="U307" i="104"/>
  <c r="P245" i="103"/>
  <c r="P245" i="104"/>
  <c r="Q245" i="103"/>
  <c r="M271" i="104"/>
  <c r="J271" i="104" s="1"/>
  <c r="M216" i="106"/>
  <c r="P271" i="106"/>
  <c r="O271" i="106"/>
  <c r="R271" i="106"/>
  <c r="S271" i="106"/>
  <c r="Q271" i="106"/>
  <c r="S307" i="104"/>
  <c r="V307" i="104"/>
  <c r="O245" i="103"/>
  <c r="O245" i="104"/>
  <c r="S245" i="104"/>
  <c r="R245" i="104"/>
  <c r="R245" i="103"/>
  <c r="M213" i="106"/>
  <c r="Q268" i="106"/>
  <c r="P268" i="106"/>
  <c r="S268" i="106"/>
  <c r="O268" i="106"/>
  <c r="R268" i="106"/>
  <c r="AU318" i="103"/>
  <c r="AU320" i="103" s="1"/>
  <c r="AU322" i="103" s="1"/>
  <c r="AN256" i="103"/>
  <c r="T307" i="104"/>
  <c r="O307" i="104"/>
  <c r="Q307" i="104"/>
  <c r="Q245" i="104"/>
  <c r="M268" i="104"/>
  <c r="J268" i="104" s="1"/>
  <c r="Q276" i="103"/>
  <c r="Q276" i="104"/>
  <c r="O162" i="106"/>
  <c r="S276" i="104"/>
  <c r="R276" i="105"/>
  <c r="P276" i="107"/>
  <c r="M270" i="104"/>
  <c r="R269" i="106"/>
  <c r="O244" i="104"/>
  <c r="P306" i="104"/>
  <c r="P244" i="104"/>
  <c r="R244" i="103"/>
  <c r="S244" i="105"/>
  <c r="R244" i="105"/>
  <c r="M269" i="107"/>
  <c r="O306" i="104"/>
  <c r="S276" i="105"/>
  <c r="R306" i="104"/>
  <c r="R246" i="103"/>
  <c r="S270" i="106"/>
  <c r="R270" i="106"/>
  <c r="R267" i="106"/>
  <c r="S244" i="107"/>
  <c r="R244" i="107"/>
  <c r="S246" i="107"/>
  <c r="R246" i="107"/>
  <c r="M270" i="105"/>
  <c r="M269" i="104"/>
  <c r="S276" i="107"/>
  <c r="R244" i="104"/>
  <c r="S267" i="106"/>
  <c r="S246" i="103"/>
  <c r="Q246" i="105"/>
  <c r="S246" i="105"/>
  <c r="S244" i="103"/>
  <c r="Q276" i="107"/>
  <c r="S269" i="106"/>
  <c r="M267" i="104"/>
  <c r="S244" i="104"/>
  <c r="Q269" i="106"/>
  <c r="Q244" i="107"/>
  <c r="S306" i="104"/>
  <c r="Q246" i="103"/>
  <c r="Q306" i="104"/>
  <c r="V306" i="104"/>
  <c r="Q244" i="103"/>
  <c r="P244" i="105"/>
  <c r="Q244" i="105"/>
  <c r="M267" i="107"/>
  <c r="M269" i="103"/>
  <c r="M219" i="104"/>
  <c r="T306" i="104"/>
  <c r="W306" i="104"/>
  <c r="O13" i="104"/>
  <c r="U306" i="104"/>
  <c r="Q270" i="106"/>
  <c r="Q267" i="106"/>
  <c r="P246" i="107"/>
  <c r="Q246" i="107"/>
  <c r="M267" i="105"/>
  <c r="P270" i="106"/>
  <c r="P244" i="107"/>
  <c r="P276" i="103"/>
  <c r="P276" i="105"/>
  <c r="O269" i="106"/>
  <c r="P269" i="106"/>
  <c r="P246" i="103"/>
  <c r="O246" i="105"/>
  <c r="P246" i="105"/>
  <c r="P267" i="106"/>
  <c r="P244" i="103"/>
  <c r="M307" i="107"/>
  <c r="O276" i="104"/>
  <c r="O244" i="103"/>
  <c r="T308" i="103"/>
  <c r="S308" i="103"/>
  <c r="R308" i="103"/>
  <c r="W308" i="103"/>
  <c r="U308" i="103"/>
  <c r="V308" i="103"/>
  <c r="P308" i="103"/>
  <c r="Q308" i="103"/>
  <c r="O308" i="103"/>
  <c r="U306" i="103"/>
  <c r="P306" i="103"/>
  <c r="O306" i="103"/>
  <c r="V306" i="103"/>
  <c r="T306" i="103"/>
  <c r="Q306" i="103"/>
  <c r="R306" i="103"/>
  <c r="S306" i="103"/>
  <c r="W306" i="103"/>
  <c r="O270" i="106"/>
  <c r="O267" i="106"/>
  <c r="O276" i="107"/>
  <c r="M270" i="107"/>
  <c r="P308" i="105"/>
  <c r="R308" i="105"/>
  <c r="T308" i="105"/>
  <c r="Q308" i="105"/>
  <c r="O308" i="105"/>
  <c r="W308" i="105"/>
  <c r="S308" i="105"/>
  <c r="U308" i="105"/>
  <c r="V308" i="105"/>
  <c r="O13" i="105"/>
  <c r="O306" i="105"/>
  <c r="W306" i="105"/>
  <c r="T306" i="105"/>
  <c r="V306" i="105"/>
  <c r="S306" i="105"/>
  <c r="Q306" i="105"/>
  <c r="R306" i="105"/>
  <c r="P306" i="105"/>
  <c r="U306" i="105"/>
  <c r="O276" i="105"/>
  <c r="M269" i="105"/>
  <c r="O244" i="105"/>
  <c r="T306" i="107"/>
  <c r="S306" i="107"/>
  <c r="U306" i="107"/>
  <c r="W306" i="107"/>
  <c r="V306" i="107"/>
  <c r="Q306" i="107"/>
  <c r="R306" i="107"/>
  <c r="O306" i="107"/>
  <c r="P306" i="107"/>
  <c r="O308" i="107"/>
  <c r="W308" i="107"/>
  <c r="T308" i="107"/>
  <c r="R308" i="107"/>
  <c r="Q308" i="107"/>
  <c r="P308" i="107"/>
  <c r="S308" i="107"/>
  <c r="U308" i="107"/>
  <c r="V308" i="107"/>
  <c r="Q201" i="103"/>
  <c r="O246" i="103"/>
  <c r="O190" i="103"/>
  <c r="O244" i="107"/>
  <c r="Q201" i="107"/>
  <c r="O246" i="107"/>
  <c r="AR318" i="103"/>
  <c r="AR320" i="103" s="1"/>
  <c r="AR322" i="103" s="1"/>
  <c r="AT318" i="103"/>
  <c r="AT320" i="103" s="1"/>
  <c r="AT322" i="103" s="1"/>
  <c r="M149" i="107"/>
  <c r="BC318" i="107"/>
  <c r="BC320" i="107" s="1"/>
  <c r="BC322" i="107" s="1"/>
  <c r="Q13" i="107"/>
  <c r="M170" i="104"/>
  <c r="M172" i="104" s="1"/>
  <c r="AO256" i="103"/>
  <c r="AQ318" i="103"/>
  <c r="AQ320" i="103" s="1"/>
  <c r="AQ322" i="103" s="1"/>
  <c r="AO318" i="103"/>
  <c r="AO320" i="103" s="1"/>
  <c r="AO322" i="103" s="1"/>
  <c r="AK317" i="103"/>
  <c r="AS318" i="103"/>
  <c r="AS320" i="103" s="1"/>
  <c r="AS322" i="103" s="1"/>
  <c r="AP256" i="103"/>
  <c r="AR256" i="103"/>
  <c r="AP318" i="103"/>
  <c r="AP320" i="103" s="1"/>
  <c r="AP322" i="103" s="1"/>
  <c r="AK316" i="103"/>
  <c r="AM318" i="103"/>
  <c r="AM320" i="103" s="1"/>
  <c r="AM322" i="103" s="1"/>
  <c r="AK255" i="103"/>
  <c r="AM256" i="103"/>
  <c r="AK254" i="103"/>
  <c r="AO184" i="103"/>
  <c r="AO180" i="103"/>
  <c r="AU184" i="103"/>
  <c r="AU13" i="103" s="1"/>
  <c r="AK13" i="103" s="1"/>
  <c r="AN184" i="103"/>
  <c r="AN180" i="103"/>
  <c r="AU180" i="103"/>
  <c r="AM184" i="103"/>
  <c r="AM180" i="103"/>
  <c r="AN318" i="103"/>
  <c r="AN320" i="103" s="1"/>
  <c r="AN322" i="103" s="1"/>
  <c r="O165" i="106"/>
  <c r="Q219" i="106"/>
  <c r="BC256" i="107"/>
  <c r="BF318" i="107"/>
  <c r="BF320" i="107" s="1"/>
  <c r="BF322" i="107" s="1"/>
  <c r="BB318" i="107"/>
  <c r="BB320" i="107" s="1"/>
  <c r="BB322" i="107" s="1"/>
  <c r="BG318" i="107"/>
  <c r="BG320" i="107" s="1"/>
  <c r="BG322" i="107" s="1"/>
  <c r="M145" i="107"/>
  <c r="O203" i="107"/>
  <c r="M203" i="107" s="1"/>
  <c r="AZ256" i="107"/>
  <c r="BE256" i="107"/>
  <c r="BD318" i="107"/>
  <c r="BD320" i="107" s="1"/>
  <c r="BD322" i="107" s="1"/>
  <c r="AZ318" i="107"/>
  <c r="AZ320" i="107" s="1"/>
  <c r="AZ322" i="107" s="1"/>
  <c r="BA256" i="107"/>
  <c r="AZ180" i="107"/>
  <c r="BG180" i="107"/>
  <c r="BA184" i="107"/>
  <c r="BG184" i="107"/>
  <c r="BG13" i="107" s="1"/>
  <c r="AW13" i="107" s="1"/>
  <c r="AZ184" i="107"/>
  <c r="AY180" i="107"/>
  <c r="BA180" i="107"/>
  <c r="AY184" i="107"/>
  <c r="BE318" i="107"/>
  <c r="BE320" i="107" s="1"/>
  <c r="BE322" i="107" s="1"/>
  <c r="BA318" i="107"/>
  <c r="BA320" i="107" s="1"/>
  <c r="BA322" i="107" s="1"/>
  <c r="AW254" i="107"/>
  <c r="AY256" i="107"/>
  <c r="BF256" i="107"/>
  <c r="AW317" i="107"/>
  <c r="AY318" i="107"/>
  <c r="AY320" i="107" s="1"/>
  <c r="AY322" i="107" s="1"/>
  <c r="AW316" i="107"/>
  <c r="AW255" i="107"/>
  <c r="O172" i="107"/>
  <c r="M170" i="107"/>
  <c r="M120" i="107"/>
  <c r="O201" i="107"/>
  <c r="M219" i="107"/>
  <c r="O13" i="107"/>
  <c r="M124" i="107"/>
  <c r="AK12" i="106"/>
  <c r="AK134" i="106" s="1"/>
  <c r="P219" i="106"/>
  <c r="AW318" i="106"/>
  <c r="AW320" i="106" s="1"/>
  <c r="Q170" i="106"/>
  <c r="Q172" i="106" s="1"/>
  <c r="Q124" i="106"/>
  <c r="Q120" i="106"/>
  <c r="P174" i="106"/>
  <c r="P120" i="106"/>
  <c r="P201" i="106" s="1"/>
  <c r="P124" i="106"/>
  <c r="P13" i="106" s="1"/>
  <c r="P170" i="106"/>
  <c r="P172" i="106" s="1"/>
  <c r="Q149" i="106"/>
  <c r="Q145" i="106"/>
  <c r="Q203" i="106" s="1"/>
  <c r="M116" i="106"/>
  <c r="O124" i="106"/>
  <c r="O120" i="106"/>
  <c r="O174" i="106"/>
  <c r="O170" i="106"/>
  <c r="AK205" i="106"/>
  <c r="AM207" i="106"/>
  <c r="M214" i="106"/>
  <c r="O149" i="106"/>
  <c r="O145" i="106"/>
  <c r="O203" i="106" s="1"/>
  <c r="M141" i="106"/>
  <c r="M215" i="106"/>
  <c r="O219" i="106"/>
  <c r="M212" i="106"/>
  <c r="Q13" i="105"/>
  <c r="Q201" i="105"/>
  <c r="Q203" i="105"/>
  <c r="M203" i="105" s="1"/>
  <c r="AR256" i="105"/>
  <c r="AO318" i="105"/>
  <c r="AO320" i="105" s="1"/>
  <c r="AO322" i="105" s="1"/>
  <c r="AT318" i="105"/>
  <c r="AT320" i="105" s="1"/>
  <c r="AT322" i="105" s="1"/>
  <c r="AO256" i="105"/>
  <c r="AN256" i="105"/>
  <c r="AQ256" i="105"/>
  <c r="AP256" i="105"/>
  <c r="AQ318" i="105"/>
  <c r="AQ320" i="105" s="1"/>
  <c r="AQ322" i="105" s="1"/>
  <c r="AU256" i="105"/>
  <c r="AT256" i="105"/>
  <c r="AS318" i="105"/>
  <c r="AS320" i="105" s="1"/>
  <c r="AS322" i="105" s="1"/>
  <c r="AM256" i="105"/>
  <c r="AK254" i="105"/>
  <c r="AN318" i="105"/>
  <c r="AN320" i="105" s="1"/>
  <c r="AN322" i="105" s="1"/>
  <c r="AK255" i="105"/>
  <c r="AM184" i="105"/>
  <c r="AO184" i="105"/>
  <c r="AO180" i="105"/>
  <c r="AN180" i="105"/>
  <c r="AU180" i="105"/>
  <c r="AM180" i="105"/>
  <c r="AN184" i="105"/>
  <c r="AU184" i="105"/>
  <c r="AU13" i="105" s="1"/>
  <c r="AK13" i="105" s="1"/>
  <c r="AK317" i="105"/>
  <c r="AP318" i="105"/>
  <c r="AP320" i="105" s="1"/>
  <c r="AP322" i="105" s="1"/>
  <c r="Q172" i="105"/>
  <c r="AR318" i="105"/>
  <c r="AR320" i="105" s="1"/>
  <c r="AR322" i="105" s="1"/>
  <c r="AS256" i="105"/>
  <c r="AK316" i="105"/>
  <c r="AM318" i="105"/>
  <c r="AM320" i="105" s="1"/>
  <c r="AM322" i="105" s="1"/>
  <c r="AU318" i="105"/>
  <c r="AU320" i="105" s="1"/>
  <c r="AU322" i="105" s="1"/>
  <c r="AO256" i="104"/>
  <c r="BC318" i="104"/>
  <c r="BC320" i="104" s="1"/>
  <c r="BC322" i="104" s="1"/>
  <c r="AR318" i="104"/>
  <c r="AR320" i="104" s="1"/>
  <c r="AR322" i="104" s="1"/>
  <c r="AO318" i="104"/>
  <c r="AO320" i="104" s="1"/>
  <c r="AO322" i="104" s="1"/>
  <c r="AZ318" i="104"/>
  <c r="AZ320" i="104" s="1"/>
  <c r="AZ322" i="104" s="1"/>
  <c r="AN256" i="104"/>
  <c r="AN318" i="104"/>
  <c r="AN320" i="104" s="1"/>
  <c r="AN322" i="104" s="1"/>
  <c r="AU256" i="104"/>
  <c r="BG256" i="104"/>
  <c r="AT256" i="104"/>
  <c r="AR256" i="104"/>
  <c r="AS256" i="104"/>
  <c r="AU318" i="104"/>
  <c r="AU320" i="104" s="1"/>
  <c r="AU322" i="104" s="1"/>
  <c r="BC256" i="104"/>
  <c r="BE256" i="104"/>
  <c r="AW316" i="104"/>
  <c r="AY318" i="104"/>
  <c r="AY320" i="104" s="1"/>
  <c r="AY322" i="104" s="1"/>
  <c r="AQ318" i="104"/>
  <c r="AQ320" i="104" s="1"/>
  <c r="AQ322" i="104" s="1"/>
  <c r="BE318" i="104"/>
  <c r="BE320" i="104" s="1"/>
  <c r="BE322" i="104" s="1"/>
  <c r="AW255" i="104"/>
  <c r="BA318" i="104"/>
  <c r="BA320" i="104" s="1"/>
  <c r="BA322" i="104" s="1"/>
  <c r="BD256" i="104"/>
  <c r="AY180" i="104"/>
  <c r="BA180" i="104"/>
  <c r="AY184" i="104"/>
  <c r="BA184" i="104"/>
  <c r="AZ184" i="104"/>
  <c r="AZ180" i="104"/>
  <c r="BG180" i="104"/>
  <c r="BG184" i="104"/>
  <c r="BG13" i="104" s="1"/>
  <c r="AW13" i="104" s="1"/>
  <c r="AK316" i="104"/>
  <c r="AM318" i="104"/>
  <c r="AM320" i="104" s="1"/>
  <c r="AM322" i="104" s="1"/>
  <c r="AK317" i="104"/>
  <c r="AP256" i="104"/>
  <c r="BF318" i="104"/>
  <c r="BF320" i="104" s="1"/>
  <c r="BF322" i="104" s="1"/>
  <c r="AW254" i="104"/>
  <c r="AY256" i="104"/>
  <c r="AZ256" i="104"/>
  <c r="AK255" i="104"/>
  <c r="AO180" i="104"/>
  <c r="AM180" i="104"/>
  <c r="AM184" i="104"/>
  <c r="AO184" i="104"/>
  <c r="AN184" i="104"/>
  <c r="AU184" i="104"/>
  <c r="AU13" i="104" s="1"/>
  <c r="AK13" i="104" s="1"/>
  <c r="AN180" i="104"/>
  <c r="AU180" i="104"/>
  <c r="AQ256" i="104"/>
  <c r="AK254" i="104"/>
  <c r="AM256" i="104"/>
  <c r="AS318" i="104"/>
  <c r="AS320" i="104" s="1"/>
  <c r="AS322" i="104" s="1"/>
  <c r="BF256" i="104"/>
  <c r="BA256" i="104"/>
  <c r="BB256" i="104"/>
  <c r="AW317" i="104"/>
  <c r="BD318" i="104"/>
  <c r="BD320" i="104" s="1"/>
  <c r="BD322" i="104" s="1"/>
  <c r="M145" i="103"/>
  <c r="O203" i="103"/>
  <c r="M203" i="103" s="1"/>
  <c r="M120" i="103"/>
  <c r="O201" i="103"/>
  <c r="O172" i="103"/>
  <c r="M149" i="103"/>
  <c r="Q13" i="103"/>
  <c r="O13" i="103"/>
  <c r="AM207" i="107"/>
  <c r="AK265" i="107"/>
  <c r="AK278" i="107" s="1"/>
  <c r="AM278" i="107"/>
  <c r="AM292" i="107" s="1"/>
  <c r="AW256" i="106"/>
  <c r="AW265" i="107"/>
  <c r="AW278" i="107" s="1"/>
  <c r="AY278" i="107"/>
  <c r="AY292" i="107" s="1"/>
  <c r="AW322" i="106"/>
  <c r="AY265" i="106"/>
  <c r="AY291" i="106"/>
  <c r="AY294" i="106" s="1"/>
  <c r="AY205" i="106"/>
  <c r="AY12" i="106"/>
  <c r="BA205" i="106"/>
  <c r="BA207" i="106" s="1"/>
  <c r="BA12" i="106"/>
  <c r="BG12" i="106"/>
  <c r="BG205" i="106"/>
  <c r="BG207" i="106" s="1"/>
  <c r="AZ12" i="106"/>
  <c r="AZ205" i="106"/>
  <c r="AZ207" i="106" s="1"/>
  <c r="AZ225" i="106" s="1"/>
  <c r="AW265" i="105"/>
  <c r="AW278" i="105" s="1"/>
  <c r="AY278" i="105"/>
  <c r="AY292" i="105" s="1"/>
  <c r="AW205" i="105"/>
  <c r="AY207" i="105"/>
  <c r="AK265" i="105"/>
  <c r="AK278" i="105" s="1"/>
  <c r="AM278" i="105"/>
  <c r="AM292" i="105" s="1"/>
  <c r="AK265" i="104"/>
  <c r="AK278" i="104" s="1"/>
  <c r="AM278" i="104"/>
  <c r="AM292" i="104" s="1"/>
  <c r="AW265" i="104"/>
  <c r="AW278" i="104" s="1"/>
  <c r="AY278" i="104"/>
  <c r="AY292" i="104" s="1"/>
  <c r="O194" i="104"/>
  <c r="M201" i="104"/>
  <c r="AW318" i="103"/>
  <c r="AW320" i="103" s="1"/>
  <c r="AZ205" i="103"/>
  <c r="AZ207" i="103" s="1"/>
  <c r="AZ225" i="103" s="1"/>
  <c r="AZ12" i="103"/>
  <c r="BG12" i="103"/>
  <c r="BG205" i="103"/>
  <c r="BG207" i="103" s="1"/>
  <c r="AW322" i="103"/>
  <c r="AY291" i="103"/>
  <c r="AY294" i="103" s="1"/>
  <c r="AY265" i="103"/>
  <c r="BA205" i="103"/>
  <c r="BA207" i="103" s="1"/>
  <c r="BA12" i="103"/>
  <c r="AY205" i="103"/>
  <c r="AY12" i="103"/>
  <c r="AK265" i="103"/>
  <c r="AK278" i="103" s="1"/>
  <c r="AM278" i="103"/>
  <c r="AM292" i="103" s="1"/>
  <c r="AW256" i="103"/>
  <c r="AW183" i="55"/>
  <c r="AK183" i="55"/>
  <c r="Y183" i="55"/>
  <c r="M183" i="55"/>
  <c r="Y212" i="106" l="1"/>
  <c r="AC162" i="104"/>
  <c r="AA215" i="105"/>
  <c r="Y215" i="105" s="1"/>
  <c r="J215" i="105" s="1"/>
  <c r="AA214" i="105"/>
  <c r="Y214" i="105" s="1"/>
  <c r="J214" i="105" s="1"/>
  <c r="AB174" i="107"/>
  <c r="AB190" i="107" s="1"/>
  <c r="AB194" i="107" s="1"/>
  <c r="AA116" i="105"/>
  <c r="AA120" i="105" s="1"/>
  <c r="AA212" i="105"/>
  <c r="Y110" i="105"/>
  <c r="J110" i="105" s="1"/>
  <c r="Y126" i="104"/>
  <c r="J126" i="104" s="1"/>
  <c r="AB162" i="103"/>
  <c r="J216" i="106"/>
  <c r="AB174" i="103"/>
  <c r="AB190" i="103" s="1"/>
  <c r="AB194" i="103" s="1"/>
  <c r="AC162" i="103"/>
  <c r="Y126" i="103"/>
  <c r="J126" i="103" s="1"/>
  <c r="Y126" i="107"/>
  <c r="J126" i="107" s="1"/>
  <c r="AB162" i="107"/>
  <c r="AB124" i="107"/>
  <c r="AB13" i="107" s="1"/>
  <c r="AB170" i="107"/>
  <c r="AB172" i="107" s="1"/>
  <c r="AB120" i="107"/>
  <c r="AB201" i="107" s="1"/>
  <c r="AA147" i="107"/>
  <c r="AA141" i="107"/>
  <c r="AA143" i="107"/>
  <c r="Y138" i="107"/>
  <c r="J138" i="107" s="1"/>
  <c r="AB219" i="107"/>
  <c r="AA215" i="107"/>
  <c r="Y215" i="107" s="1"/>
  <c r="J215" i="107" s="1"/>
  <c r="Y110" i="107"/>
  <c r="J110" i="107" s="1"/>
  <c r="AA116" i="107"/>
  <c r="AA212" i="107"/>
  <c r="AA214" i="107"/>
  <c r="Y214" i="107" s="1"/>
  <c r="J214" i="107" s="1"/>
  <c r="J213" i="106"/>
  <c r="AB219" i="106"/>
  <c r="AB124" i="106"/>
  <c r="AB13" i="106" s="1"/>
  <c r="AB170" i="106"/>
  <c r="AB172" i="106" s="1"/>
  <c r="AB120" i="106"/>
  <c r="AB201" i="106" s="1"/>
  <c r="AB219" i="105"/>
  <c r="R271" i="105"/>
  <c r="M271" i="105" s="1"/>
  <c r="J271" i="105" s="1"/>
  <c r="M216" i="105"/>
  <c r="J216" i="105" s="1"/>
  <c r="J138" i="105"/>
  <c r="O268" i="105"/>
  <c r="M268" i="105" s="1"/>
  <c r="J268" i="105" s="1"/>
  <c r="M213" i="105"/>
  <c r="J213" i="105" s="1"/>
  <c r="M212" i="105"/>
  <c r="P219" i="105"/>
  <c r="P170" i="105"/>
  <c r="P124" i="105"/>
  <c r="P120" i="105"/>
  <c r="P174" i="105"/>
  <c r="M116" i="105"/>
  <c r="AB170" i="105"/>
  <c r="AB172" i="105" s="1"/>
  <c r="AB124" i="105"/>
  <c r="AB120" i="105"/>
  <c r="AB201" i="105" s="1"/>
  <c r="AB219" i="104"/>
  <c r="AA143" i="104"/>
  <c r="AA147" i="104"/>
  <c r="Y138" i="104"/>
  <c r="J138" i="104" s="1"/>
  <c r="AA141" i="104"/>
  <c r="AA214" i="104"/>
  <c r="Y214" i="104" s="1"/>
  <c r="J214" i="104" s="1"/>
  <c r="Y110" i="104"/>
  <c r="J110" i="104" s="1"/>
  <c r="AA215" i="104"/>
  <c r="Y215" i="104" s="1"/>
  <c r="J215" i="104" s="1"/>
  <c r="AA116" i="104"/>
  <c r="AA212" i="104"/>
  <c r="AB170" i="104"/>
  <c r="AB172" i="104" s="1"/>
  <c r="AB124" i="104"/>
  <c r="AB13" i="104" s="1"/>
  <c r="AB120" i="104"/>
  <c r="AB201" i="104" s="1"/>
  <c r="J213" i="103"/>
  <c r="AB219" i="103"/>
  <c r="AA143" i="103"/>
  <c r="Y138" i="103"/>
  <c r="J138" i="103" s="1"/>
  <c r="AA141" i="103"/>
  <c r="AA147" i="103"/>
  <c r="AA215" i="103"/>
  <c r="Y215" i="103" s="1"/>
  <c r="J215" i="103" s="1"/>
  <c r="AA116" i="103"/>
  <c r="Y110" i="103"/>
  <c r="J110" i="103" s="1"/>
  <c r="AA212" i="103"/>
  <c r="AA214" i="103"/>
  <c r="Y214" i="103" s="1"/>
  <c r="J214" i="103" s="1"/>
  <c r="AB124" i="103"/>
  <c r="AB13" i="103" s="1"/>
  <c r="AB120" i="103"/>
  <c r="AB201" i="103" s="1"/>
  <c r="AB170" i="103"/>
  <c r="AB172" i="103" s="1"/>
  <c r="M308" i="104"/>
  <c r="AW12" i="105"/>
  <c r="AW134" i="105" s="1"/>
  <c r="O276" i="103"/>
  <c r="M276" i="103" s="1"/>
  <c r="AK205" i="107"/>
  <c r="AA124" i="106"/>
  <c r="Y214" i="106"/>
  <c r="J214" i="106" s="1"/>
  <c r="Y116" i="106"/>
  <c r="J116" i="106" s="1"/>
  <c r="AA170" i="106"/>
  <c r="AA172" i="106" s="1"/>
  <c r="Y126" i="106"/>
  <c r="J126" i="106" s="1"/>
  <c r="AA269" i="106"/>
  <c r="Y269" i="106" s="1"/>
  <c r="AA219" i="106"/>
  <c r="AA270" i="106"/>
  <c r="Y270" i="106" s="1"/>
  <c r="Y215" i="106"/>
  <c r="J215" i="106" s="1"/>
  <c r="AA149" i="106"/>
  <c r="Y149" i="106" s="1"/>
  <c r="Y141" i="106"/>
  <c r="J141" i="106" s="1"/>
  <c r="AA145" i="106"/>
  <c r="AA203" i="106" s="1"/>
  <c r="Y203" i="106" s="1"/>
  <c r="AC165" i="106"/>
  <c r="AH308" i="106" s="1"/>
  <c r="P13" i="103"/>
  <c r="AB276" i="106"/>
  <c r="AA190" i="103"/>
  <c r="AA194" i="103" s="1"/>
  <c r="Y269" i="103"/>
  <c r="J269" i="103" s="1"/>
  <c r="AB276" i="103"/>
  <c r="Y269" i="107"/>
  <c r="J269" i="107" s="1"/>
  <c r="Y270" i="107"/>
  <c r="J270" i="107" s="1"/>
  <c r="Y270" i="104"/>
  <c r="J270" i="104" s="1"/>
  <c r="AA190" i="104"/>
  <c r="AA194" i="104" s="1"/>
  <c r="AB276" i="107"/>
  <c r="AB270" i="105"/>
  <c r="AA270" i="105"/>
  <c r="AB245" i="104"/>
  <c r="AA245" i="104"/>
  <c r="AB162" i="105"/>
  <c r="AB165" i="105"/>
  <c r="AB174" i="105"/>
  <c r="AB190" i="105" s="1"/>
  <c r="AB194" i="105" s="1"/>
  <c r="Y141" i="105"/>
  <c r="J141" i="105" s="1"/>
  <c r="AA149" i="105"/>
  <c r="Y149" i="105" s="1"/>
  <c r="J149" i="105" s="1"/>
  <c r="AA145" i="105"/>
  <c r="AF307" i="104"/>
  <c r="AG307" i="104"/>
  <c r="AB307" i="104"/>
  <c r="AD307" i="104"/>
  <c r="AA307" i="104"/>
  <c r="AC307" i="104"/>
  <c r="AI307" i="104"/>
  <c r="AH307" i="104"/>
  <c r="AE307" i="104"/>
  <c r="AF308" i="103"/>
  <c r="AA308" i="103"/>
  <c r="AE308" i="103"/>
  <c r="AG308" i="103"/>
  <c r="AI308" i="103"/>
  <c r="AH308" i="103"/>
  <c r="AC13" i="103"/>
  <c r="AD308" i="103"/>
  <c r="AC308" i="103"/>
  <c r="AB308" i="103"/>
  <c r="Y267" i="106"/>
  <c r="Y156" i="107"/>
  <c r="J156" i="107" s="1"/>
  <c r="AA165" i="107"/>
  <c r="AF306" i="107" s="1"/>
  <c r="AA162" i="107"/>
  <c r="AA244" i="107" s="1"/>
  <c r="AA156" i="105"/>
  <c r="Y126" i="105"/>
  <c r="J126" i="105" s="1"/>
  <c r="AI307" i="106"/>
  <c r="AG307" i="106"/>
  <c r="AB307" i="106"/>
  <c r="AC307" i="106"/>
  <c r="AA307" i="106"/>
  <c r="AF307" i="106"/>
  <c r="AE307" i="106"/>
  <c r="AH307" i="106"/>
  <c r="AD307" i="106"/>
  <c r="AD308" i="104"/>
  <c r="AI308" i="104"/>
  <c r="AG308" i="104"/>
  <c r="AE308" i="104"/>
  <c r="AA308" i="104"/>
  <c r="AB308" i="104"/>
  <c r="AC13" i="104"/>
  <c r="AF308" i="104"/>
  <c r="AC308" i="104"/>
  <c r="AH308" i="104"/>
  <c r="Y156" i="104"/>
  <c r="J156" i="104" s="1"/>
  <c r="AA162" i="104"/>
  <c r="AA165" i="104"/>
  <c r="Y267" i="104"/>
  <c r="J267" i="104" s="1"/>
  <c r="AA276" i="104"/>
  <c r="AA246" i="107"/>
  <c r="AB246" i="107"/>
  <c r="AA245" i="106"/>
  <c r="AB245" i="106"/>
  <c r="AB246" i="104"/>
  <c r="AA246" i="104"/>
  <c r="AB276" i="104"/>
  <c r="AI307" i="107"/>
  <c r="AG307" i="107"/>
  <c r="AC307" i="107"/>
  <c r="AE307" i="107"/>
  <c r="AA307" i="107"/>
  <c r="AH307" i="107"/>
  <c r="AF307" i="107"/>
  <c r="AB307" i="107"/>
  <c r="AD307" i="107"/>
  <c r="AB267" i="105"/>
  <c r="AA267" i="105"/>
  <c r="AE308" i="107"/>
  <c r="AA308" i="107"/>
  <c r="AH308" i="107"/>
  <c r="AG308" i="107"/>
  <c r="AD308" i="107"/>
  <c r="AC308" i="107"/>
  <c r="AB308" i="107"/>
  <c r="AF308" i="107"/>
  <c r="AC13" i="107"/>
  <c r="AI308" i="107"/>
  <c r="AC165" i="105"/>
  <c r="AC162" i="105"/>
  <c r="AA174" i="106"/>
  <c r="AA162" i="106"/>
  <c r="AA165" i="106"/>
  <c r="Y156" i="106"/>
  <c r="J156" i="106" s="1"/>
  <c r="AB307" i="103"/>
  <c r="AD307" i="103"/>
  <c r="AH307" i="103"/>
  <c r="AG307" i="103"/>
  <c r="AC307" i="103"/>
  <c r="AF307" i="103"/>
  <c r="AA307" i="103"/>
  <c r="AI307" i="103"/>
  <c r="AE307" i="103"/>
  <c r="AB269" i="105"/>
  <c r="AA269" i="105"/>
  <c r="Y267" i="107"/>
  <c r="J267" i="107" s="1"/>
  <c r="AA276" i="107"/>
  <c r="Y270" i="103"/>
  <c r="J270" i="103" s="1"/>
  <c r="AA245" i="107"/>
  <c r="AB245" i="107"/>
  <c r="AA201" i="106"/>
  <c r="AA246" i="106"/>
  <c r="AB246" i="106"/>
  <c r="AA246" i="103"/>
  <c r="AB246" i="103"/>
  <c r="Y267" i="103"/>
  <c r="J267" i="103" s="1"/>
  <c r="AA276" i="103"/>
  <c r="AA245" i="103"/>
  <c r="AB245" i="103"/>
  <c r="Y156" i="103"/>
  <c r="J156" i="103" s="1"/>
  <c r="AA162" i="103"/>
  <c r="AB244" i="103" s="1"/>
  <c r="AA165" i="103"/>
  <c r="Y165" i="103" s="1"/>
  <c r="Y269" i="104"/>
  <c r="J269" i="104" s="1"/>
  <c r="M124" i="103"/>
  <c r="S307" i="103"/>
  <c r="T307" i="103"/>
  <c r="Q307" i="103"/>
  <c r="P307" i="103"/>
  <c r="V307" i="103"/>
  <c r="O307" i="103"/>
  <c r="U307" i="103"/>
  <c r="R307" i="103"/>
  <c r="M170" i="103"/>
  <c r="Q254" i="103" s="1"/>
  <c r="P190" i="103"/>
  <c r="P194" i="103" s="1"/>
  <c r="M219" i="103"/>
  <c r="P194" i="104"/>
  <c r="O194" i="103"/>
  <c r="O194" i="107"/>
  <c r="M245" i="105"/>
  <c r="AW256" i="104"/>
  <c r="M307" i="105"/>
  <c r="M201" i="103"/>
  <c r="O316" i="104"/>
  <c r="Q316" i="104"/>
  <c r="M245" i="104"/>
  <c r="M307" i="104"/>
  <c r="M276" i="104"/>
  <c r="M268" i="106"/>
  <c r="J268" i="106" s="1"/>
  <c r="M245" i="103"/>
  <c r="P190" i="106"/>
  <c r="Q307" i="106"/>
  <c r="S307" i="106"/>
  <c r="W307" i="106"/>
  <c r="R246" i="106"/>
  <c r="O307" i="106"/>
  <c r="V307" i="106"/>
  <c r="P245" i="106"/>
  <c r="S245" i="106"/>
  <c r="R245" i="106"/>
  <c r="T307" i="106"/>
  <c r="P307" i="106"/>
  <c r="O245" i="106"/>
  <c r="Q245" i="106"/>
  <c r="M271" i="106"/>
  <c r="J271" i="106" s="1"/>
  <c r="U307" i="106"/>
  <c r="R307" i="106"/>
  <c r="V254" i="104"/>
  <c r="T317" i="104"/>
  <c r="P254" i="104"/>
  <c r="W317" i="104"/>
  <c r="S316" i="104"/>
  <c r="W316" i="104"/>
  <c r="W255" i="104"/>
  <c r="O317" i="104"/>
  <c r="S255" i="104"/>
  <c r="T254" i="104"/>
  <c r="T316" i="104"/>
  <c r="P316" i="104"/>
  <c r="R254" i="104"/>
  <c r="W254" i="104"/>
  <c r="S317" i="104"/>
  <c r="S254" i="104"/>
  <c r="M276" i="107"/>
  <c r="M244" i="104"/>
  <c r="R244" i="106"/>
  <c r="P317" i="104"/>
  <c r="O254" i="104"/>
  <c r="U255" i="104"/>
  <c r="V255" i="104"/>
  <c r="Q254" i="104"/>
  <c r="U317" i="104"/>
  <c r="U316" i="104"/>
  <c r="R255" i="104"/>
  <c r="U254" i="104"/>
  <c r="R276" i="106"/>
  <c r="P255" i="104"/>
  <c r="O255" i="104"/>
  <c r="T255" i="104"/>
  <c r="Q317" i="104"/>
  <c r="V316" i="104"/>
  <c r="R316" i="104"/>
  <c r="R317" i="104"/>
  <c r="V317" i="104"/>
  <c r="Q255" i="104"/>
  <c r="M270" i="106"/>
  <c r="M276" i="105"/>
  <c r="M306" i="104"/>
  <c r="Q244" i="106"/>
  <c r="S244" i="106"/>
  <c r="S246" i="106"/>
  <c r="S276" i="106"/>
  <c r="Q276" i="106"/>
  <c r="Q246" i="106"/>
  <c r="M246" i="107"/>
  <c r="M244" i="103"/>
  <c r="P276" i="106"/>
  <c r="M201" i="107"/>
  <c r="P246" i="106"/>
  <c r="M246" i="103"/>
  <c r="M269" i="106"/>
  <c r="P244" i="106"/>
  <c r="M246" i="105"/>
  <c r="M308" i="103"/>
  <c r="O244" i="106"/>
  <c r="O190" i="106"/>
  <c r="V308" i="106"/>
  <c r="Q308" i="106"/>
  <c r="U308" i="106"/>
  <c r="S308" i="106"/>
  <c r="P308" i="106"/>
  <c r="R308" i="106"/>
  <c r="O308" i="106"/>
  <c r="W308" i="106"/>
  <c r="T308" i="106"/>
  <c r="M244" i="107"/>
  <c r="M306" i="107"/>
  <c r="M308" i="105"/>
  <c r="M244" i="105"/>
  <c r="T306" i="106"/>
  <c r="O306" i="106"/>
  <c r="W306" i="106"/>
  <c r="S306" i="106"/>
  <c r="P306" i="106"/>
  <c r="U306" i="106"/>
  <c r="R306" i="106"/>
  <c r="Q306" i="106"/>
  <c r="V306" i="106"/>
  <c r="Q201" i="106"/>
  <c r="O246" i="106"/>
  <c r="M308" i="107"/>
  <c r="M306" i="105"/>
  <c r="M267" i="106"/>
  <c r="O276" i="106"/>
  <c r="M306" i="103"/>
  <c r="AU205" i="103"/>
  <c r="AU207" i="103" s="1"/>
  <c r="AU12" i="103"/>
  <c r="AO205" i="103"/>
  <c r="AO207" i="103" s="1"/>
  <c r="AO12" i="103"/>
  <c r="AN205" i="103"/>
  <c r="AN207" i="103" s="1"/>
  <c r="AN225" i="103" s="1"/>
  <c r="AN12" i="103"/>
  <c r="AK322" i="103"/>
  <c r="AM205" i="103"/>
  <c r="AM12" i="103"/>
  <c r="AK256" i="103"/>
  <c r="AK318" i="103"/>
  <c r="AK320" i="103" s="1"/>
  <c r="M203" i="106"/>
  <c r="AW322" i="107"/>
  <c r="AW256" i="107"/>
  <c r="AW318" i="107"/>
  <c r="AW320" i="107" s="1"/>
  <c r="BA205" i="107"/>
  <c r="BA207" i="107" s="1"/>
  <c r="BA12" i="107"/>
  <c r="AY12" i="107"/>
  <c r="AY205" i="107"/>
  <c r="BG205" i="107"/>
  <c r="BG207" i="107" s="1"/>
  <c r="BG12" i="107"/>
  <c r="AZ205" i="107"/>
  <c r="AZ207" i="107" s="1"/>
  <c r="AZ225" i="107" s="1"/>
  <c r="AZ12" i="107"/>
  <c r="R316" i="107"/>
  <c r="W254" i="107"/>
  <c r="V317" i="107"/>
  <c r="W316" i="107"/>
  <c r="V254" i="107"/>
  <c r="U316" i="107"/>
  <c r="R255" i="107"/>
  <c r="O317" i="107"/>
  <c r="P317" i="107"/>
  <c r="V316" i="107"/>
  <c r="W255" i="107"/>
  <c r="V255" i="107"/>
  <c r="R317" i="107"/>
  <c r="Q316" i="107"/>
  <c r="S255" i="107"/>
  <c r="Q254" i="107"/>
  <c r="O254" i="107"/>
  <c r="P316" i="107"/>
  <c r="M172" i="107"/>
  <c r="W317" i="107"/>
  <c r="Q255" i="107"/>
  <c r="T255" i="107"/>
  <c r="Q317" i="107"/>
  <c r="T317" i="107"/>
  <c r="U255" i="107"/>
  <c r="R254" i="107"/>
  <c r="O316" i="107"/>
  <c r="P254" i="107"/>
  <c r="T254" i="107"/>
  <c r="S254" i="107"/>
  <c r="S316" i="107"/>
  <c r="U254" i="107"/>
  <c r="T316" i="107"/>
  <c r="S317" i="107"/>
  <c r="U317" i="107"/>
  <c r="O255" i="107"/>
  <c r="P255" i="107"/>
  <c r="J212" i="106"/>
  <c r="M219" i="106"/>
  <c r="M145" i="106"/>
  <c r="O13" i="106"/>
  <c r="M124" i="106"/>
  <c r="M149" i="106"/>
  <c r="O172" i="106"/>
  <c r="M170" i="106"/>
  <c r="Q13" i="106"/>
  <c r="AK207" i="106"/>
  <c r="AM225" i="106"/>
  <c r="O201" i="106"/>
  <c r="M120" i="106"/>
  <c r="AK322" i="105"/>
  <c r="AN205" i="105"/>
  <c r="AN207" i="105" s="1"/>
  <c r="AN225" i="105" s="1"/>
  <c r="AN12" i="105"/>
  <c r="AU205" i="105"/>
  <c r="AU207" i="105" s="1"/>
  <c r="AU12" i="105"/>
  <c r="AK318" i="105"/>
  <c r="AK320" i="105" s="1"/>
  <c r="AO12" i="105"/>
  <c r="AO205" i="105"/>
  <c r="AO207" i="105" s="1"/>
  <c r="AM205" i="105"/>
  <c r="AM12" i="105"/>
  <c r="AK256" i="105"/>
  <c r="AK318" i="104"/>
  <c r="AK320" i="104" s="1"/>
  <c r="AU12" i="104"/>
  <c r="AU205" i="104"/>
  <c r="AU207" i="104" s="1"/>
  <c r="AN205" i="104"/>
  <c r="AN207" i="104" s="1"/>
  <c r="AN225" i="104" s="1"/>
  <c r="AN12" i="104"/>
  <c r="AY12" i="104"/>
  <c r="AY205" i="104"/>
  <c r="AK256" i="104"/>
  <c r="AM205" i="104"/>
  <c r="AM12" i="104"/>
  <c r="BG12" i="104"/>
  <c r="BG205" i="104"/>
  <c r="BG207" i="104" s="1"/>
  <c r="AW322" i="104"/>
  <c r="AO12" i="104"/>
  <c r="AO205" i="104"/>
  <c r="AO207" i="104" s="1"/>
  <c r="AK322" i="104"/>
  <c r="AZ205" i="104"/>
  <c r="AZ207" i="104" s="1"/>
  <c r="AZ225" i="104" s="1"/>
  <c r="AZ12" i="104"/>
  <c r="BA205" i="104"/>
  <c r="BA207" i="104" s="1"/>
  <c r="BA12" i="104"/>
  <c r="AW318" i="104"/>
  <c r="AW320" i="104" s="1"/>
  <c r="AK207" i="107"/>
  <c r="AM225" i="107"/>
  <c r="AW12" i="106"/>
  <c r="AW134" i="106" s="1"/>
  <c r="AW205" i="106"/>
  <c r="AY207" i="106"/>
  <c r="AW265" i="106"/>
  <c r="AW278" i="106" s="1"/>
  <c r="AY278" i="106"/>
  <c r="AY292" i="106" s="1"/>
  <c r="AY225" i="105"/>
  <c r="AW207" i="105"/>
  <c r="W184" i="104"/>
  <c r="W13" i="104" s="1"/>
  <c r="O180" i="104"/>
  <c r="Q184" i="104"/>
  <c r="W180" i="104"/>
  <c r="P184" i="104"/>
  <c r="Q180" i="104"/>
  <c r="O184" i="104"/>
  <c r="P180" i="104"/>
  <c r="AW12" i="103"/>
  <c r="AW134" i="103" s="1"/>
  <c r="AW265" i="103"/>
  <c r="AW278" i="103" s="1"/>
  <c r="AY278" i="103"/>
  <c r="AY292" i="103" s="1"/>
  <c r="AW205" i="103"/>
  <c r="AY207" i="103"/>
  <c r="I452" i="24"/>
  <c r="AA189" i="105" s="1"/>
  <c r="Q135" i="23"/>
  <c r="Q134" i="23"/>
  <c r="P134" i="23"/>
  <c r="P135" i="23"/>
  <c r="O135" i="23"/>
  <c r="O134" i="23"/>
  <c r="N135" i="23"/>
  <c r="N134" i="23"/>
  <c r="R135" i="23"/>
  <c r="R134" i="23"/>
  <c r="Y120" i="106" l="1"/>
  <c r="AA219" i="105"/>
  <c r="AA174" i="107"/>
  <c r="AA190" i="107" s="1"/>
  <c r="AA194" i="107" s="1"/>
  <c r="Y212" i="105"/>
  <c r="AA170" i="105"/>
  <c r="Y116" i="105"/>
  <c r="J116" i="105" s="1"/>
  <c r="AA124" i="105"/>
  <c r="Y124" i="105" s="1"/>
  <c r="M219" i="105"/>
  <c r="AA174" i="103"/>
  <c r="AA145" i="107"/>
  <c r="Y141" i="107"/>
  <c r="J141" i="107" s="1"/>
  <c r="AA149" i="107"/>
  <c r="Y149" i="107" s="1"/>
  <c r="J149" i="107" s="1"/>
  <c r="AA219" i="107"/>
  <c r="Y212" i="107"/>
  <c r="AA170" i="107"/>
  <c r="Y116" i="107"/>
  <c r="J116" i="107" s="1"/>
  <c r="AA124" i="107"/>
  <c r="Y124" i="107" s="1"/>
  <c r="J124" i="107" s="1"/>
  <c r="AA120" i="107"/>
  <c r="Y124" i="106"/>
  <c r="J124" i="106" s="1"/>
  <c r="P201" i="105"/>
  <c r="M201" i="105" s="1"/>
  <c r="M120" i="105"/>
  <c r="P13" i="105"/>
  <c r="M124" i="105"/>
  <c r="P172" i="105"/>
  <c r="M170" i="105"/>
  <c r="AA120" i="104"/>
  <c r="AA170" i="104"/>
  <c r="AA124" i="104"/>
  <c r="Y124" i="104" s="1"/>
  <c r="J124" i="104" s="1"/>
  <c r="Y116" i="104"/>
  <c r="J116" i="104" s="1"/>
  <c r="AA174" i="104"/>
  <c r="AA145" i="104"/>
  <c r="Y141" i="104"/>
  <c r="J141" i="104" s="1"/>
  <c r="AA149" i="104"/>
  <c r="Y149" i="104" s="1"/>
  <c r="J149" i="104" s="1"/>
  <c r="AA219" i="104"/>
  <c r="Y212" i="104"/>
  <c r="AA219" i="103"/>
  <c r="Y212" i="103"/>
  <c r="Y141" i="103"/>
  <c r="J141" i="103" s="1"/>
  <c r="AA145" i="103"/>
  <c r="AA149" i="103"/>
  <c r="Y149" i="103" s="1"/>
  <c r="J149" i="103" s="1"/>
  <c r="AA124" i="103"/>
  <c r="Y124" i="103" s="1"/>
  <c r="J124" i="103" s="1"/>
  <c r="AA120" i="103"/>
  <c r="AA170" i="103"/>
  <c r="Y116" i="103"/>
  <c r="J116" i="103" s="1"/>
  <c r="Y170" i="106"/>
  <c r="AI255" i="106" s="1"/>
  <c r="AA190" i="106"/>
  <c r="AA194" i="106" s="1"/>
  <c r="AA276" i="106"/>
  <c r="Y276" i="106" s="1"/>
  <c r="Y219" i="106"/>
  <c r="AA244" i="106"/>
  <c r="Y145" i="106"/>
  <c r="J145" i="106" s="1"/>
  <c r="J149" i="106"/>
  <c r="AI308" i="106"/>
  <c r="AG308" i="106"/>
  <c r="AE308" i="106"/>
  <c r="AB308" i="106"/>
  <c r="AF308" i="106"/>
  <c r="AD308" i="106"/>
  <c r="AC308" i="106"/>
  <c r="AC13" i="106"/>
  <c r="AA308" i="106"/>
  <c r="Y165" i="106"/>
  <c r="AB244" i="106"/>
  <c r="J267" i="106"/>
  <c r="J219" i="106"/>
  <c r="J120" i="106"/>
  <c r="Y276" i="107"/>
  <c r="J276" i="107" s="1"/>
  <c r="J203" i="106"/>
  <c r="J270" i="106"/>
  <c r="Y276" i="103"/>
  <c r="J276" i="103" s="1"/>
  <c r="J269" i="106"/>
  <c r="Y270" i="105"/>
  <c r="J270" i="105" s="1"/>
  <c r="Y246" i="104"/>
  <c r="AD306" i="104"/>
  <c r="AD314" i="104" s="1"/>
  <c r="Y245" i="104"/>
  <c r="J245" i="104" s="1"/>
  <c r="Y245" i="106"/>
  <c r="AH306" i="104"/>
  <c r="AH314" i="104" s="1"/>
  <c r="Y246" i="106"/>
  <c r="Y307" i="107"/>
  <c r="J307" i="107" s="1"/>
  <c r="AF314" i="107"/>
  <c r="AA306" i="107"/>
  <c r="AA314" i="107" s="1"/>
  <c r="AB276" i="105"/>
  <c r="AD306" i="107"/>
  <c r="AD314" i="107" s="1"/>
  <c r="AC306" i="107"/>
  <c r="AC314" i="107" s="1"/>
  <c r="AA244" i="103"/>
  <c r="Y244" i="103" s="1"/>
  <c r="J244" i="103" s="1"/>
  <c r="AH306" i="107"/>
  <c r="AH314" i="107" s="1"/>
  <c r="AF189" i="105"/>
  <c r="AF189" i="107"/>
  <c r="AF189" i="104"/>
  <c r="AF189" i="103"/>
  <c r="AF189" i="106"/>
  <c r="AB189" i="107"/>
  <c r="AB189" i="105"/>
  <c r="AB189" i="106"/>
  <c r="AB189" i="103"/>
  <c r="AB189" i="104"/>
  <c r="AA189" i="103"/>
  <c r="AA189" i="104"/>
  <c r="AA189" i="106"/>
  <c r="AA189" i="107"/>
  <c r="Y307" i="104"/>
  <c r="J307" i="104" s="1"/>
  <c r="AD306" i="103"/>
  <c r="AD314" i="103" s="1"/>
  <c r="Y245" i="103"/>
  <c r="J245" i="103" s="1"/>
  <c r="Y246" i="103"/>
  <c r="J246" i="103" s="1"/>
  <c r="Y162" i="106"/>
  <c r="Y308" i="107"/>
  <c r="J308" i="107" s="1"/>
  <c r="AC306" i="104"/>
  <c r="AC314" i="104" s="1"/>
  <c r="Y165" i="104"/>
  <c r="Y308" i="104"/>
  <c r="J308" i="104" s="1"/>
  <c r="AA14" i="105"/>
  <c r="AA193" i="105"/>
  <c r="AG306" i="103"/>
  <c r="AG314" i="103" s="1"/>
  <c r="AB306" i="106"/>
  <c r="AC306" i="106"/>
  <c r="Y246" i="107"/>
  <c r="J246" i="107" s="1"/>
  <c r="AG306" i="104"/>
  <c r="AG314" i="104" s="1"/>
  <c r="Y162" i="104"/>
  <c r="Y308" i="103"/>
  <c r="J308" i="103" s="1"/>
  <c r="Y170" i="105"/>
  <c r="AA172" i="105"/>
  <c r="AA306" i="103"/>
  <c r="AB306" i="103"/>
  <c r="AB314" i="103" s="1"/>
  <c r="AG306" i="106"/>
  <c r="Y201" i="106"/>
  <c r="Y267" i="105"/>
  <c r="J267" i="105" s="1"/>
  <c r="AA276" i="105"/>
  <c r="AE306" i="104"/>
  <c r="AE314" i="104" s="1"/>
  <c r="Y120" i="105"/>
  <c r="AA201" i="105"/>
  <c r="AF306" i="103"/>
  <c r="AF314" i="103" s="1"/>
  <c r="AD306" i="106"/>
  <c r="AE308" i="105"/>
  <c r="AC308" i="105"/>
  <c r="AH308" i="105"/>
  <c r="AB308" i="105"/>
  <c r="AI308" i="105"/>
  <c r="AG308" i="105"/>
  <c r="AD308" i="105"/>
  <c r="AA308" i="105"/>
  <c r="AC13" i="105"/>
  <c r="AF308" i="105"/>
  <c r="Y219" i="105"/>
  <c r="J212" i="105"/>
  <c r="J219" i="105" s="1"/>
  <c r="AA244" i="104"/>
  <c r="AF306" i="104"/>
  <c r="AF314" i="104" s="1"/>
  <c r="Y307" i="106"/>
  <c r="AI306" i="107"/>
  <c r="AI314" i="107" s="1"/>
  <c r="AI306" i="103"/>
  <c r="AI314" i="103" s="1"/>
  <c r="AH306" i="106"/>
  <c r="AH314" i="106" s="1"/>
  <c r="AB244" i="107"/>
  <c r="Y244" i="107" s="1"/>
  <c r="J244" i="107" s="1"/>
  <c r="Y307" i="103"/>
  <c r="AB244" i="104"/>
  <c r="AI306" i="104"/>
  <c r="AI314" i="104" s="1"/>
  <c r="AH306" i="103"/>
  <c r="AH314" i="103" s="1"/>
  <c r="AA306" i="106"/>
  <c r="AI306" i="106"/>
  <c r="AB13" i="105"/>
  <c r="AF307" i="105"/>
  <c r="AD307" i="105"/>
  <c r="AI307" i="105"/>
  <c r="AH307" i="105"/>
  <c r="AE307" i="105"/>
  <c r="AA307" i="105"/>
  <c r="AG307" i="105"/>
  <c r="AB307" i="105"/>
  <c r="AC307" i="105"/>
  <c r="Y162" i="103"/>
  <c r="Y276" i="104"/>
  <c r="J276" i="104" s="1"/>
  <c r="AA306" i="104"/>
  <c r="Y162" i="107"/>
  <c r="Y145" i="105"/>
  <c r="J145" i="105" s="1"/>
  <c r="AA203" i="105"/>
  <c r="Y203" i="105" s="1"/>
  <c r="J203" i="105" s="1"/>
  <c r="AC306" i="103"/>
  <c r="AC314" i="103" s="1"/>
  <c r="AE306" i="106"/>
  <c r="AA13" i="106"/>
  <c r="AB245" i="105"/>
  <c r="AA245" i="105"/>
  <c r="AA174" i="105"/>
  <c r="AA190" i="105" s="1"/>
  <c r="AA194" i="105" s="1"/>
  <c r="Y156" i="105"/>
  <c r="J156" i="105" s="1"/>
  <c r="AA165" i="105"/>
  <c r="Y165" i="105" s="1"/>
  <c r="AA162" i="105"/>
  <c r="AB244" i="105" s="1"/>
  <c r="Y245" i="107"/>
  <c r="Y269" i="105"/>
  <c r="J269" i="105" s="1"/>
  <c r="AA246" i="105"/>
  <c r="AB246" i="105"/>
  <c r="AB306" i="104"/>
  <c r="AB314" i="104" s="1"/>
  <c r="AB306" i="107"/>
  <c r="AB314" i="107" s="1"/>
  <c r="Y165" i="107"/>
  <c r="AE306" i="107"/>
  <c r="AE314" i="107" s="1"/>
  <c r="AG306" i="107"/>
  <c r="AG314" i="107" s="1"/>
  <c r="AE306" i="103"/>
  <c r="AE314" i="103" s="1"/>
  <c r="AF306" i="106"/>
  <c r="R317" i="103"/>
  <c r="W316" i="103"/>
  <c r="W317" i="103"/>
  <c r="T254" i="103"/>
  <c r="R316" i="103"/>
  <c r="W255" i="103"/>
  <c r="U255" i="103"/>
  <c r="S254" i="103"/>
  <c r="T317" i="103"/>
  <c r="P316" i="103"/>
  <c r="O316" i="103"/>
  <c r="U317" i="103"/>
  <c r="R255" i="103"/>
  <c r="U316" i="103"/>
  <c r="R254" i="103"/>
  <c r="O254" i="103"/>
  <c r="P254" i="103"/>
  <c r="M172" i="103"/>
  <c r="O180" i="103" s="1"/>
  <c r="V255" i="103"/>
  <c r="S255" i="103"/>
  <c r="W254" i="103"/>
  <c r="V254" i="103"/>
  <c r="O317" i="103"/>
  <c r="V316" i="103"/>
  <c r="Q316" i="103"/>
  <c r="Q255" i="103"/>
  <c r="Q256" i="103" s="1"/>
  <c r="U254" i="103"/>
  <c r="T316" i="103"/>
  <c r="P317" i="103"/>
  <c r="S316" i="103"/>
  <c r="Q317" i="103"/>
  <c r="T255" i="103"/>
  <c r="O255" i="103"/>
  <c r="P255" i="103"/>
  <c r="V317" i="103"/>
  <c r="S317" i="103"/>
  <c r="M307" i="103"/>
  <c r="P194" i="106"/>
  <c r="O194" i="106"/>
  <c r="T189" i="106"/>
  <c r="T189" i="107"/>
  <c r="T189" i="104"/>
  <c r="T189" i="105"/>
  <c r="T189" i="103"/>
  <c r="P189" i="107"/>
  <c r="P189" i="105"/>
  <c r="P189" i="104"/>
  <c r="O189" i="107"/>
  <c r="P189" i="103"/>
  <c r="O189" i="105"/>
  <c r="O189" i="103"/>
  <c r="O189" i="104"/>
  <c r="P189" i="106"/>
  <c r="O189" i="106"/>
  <c r="V318" i="107"/>
  <c r="R256" i="107"/>
  <c r="P318" i="104"/>
  <c r="Q318" i="104"/>
  <c r="V256" i="104"/>
  <c r="U256" i="104"/>
  <c r="U318" i="104"/>
  <c r="O318" i="104"/>
  <c r="T318" i="104"/>
  <c r="S318" i="104"/>
  <c r="S256" i="104"/>
  <c r="M307" i="106"/>
  <c r="M245" i="106"/>
  <c r="W318" i="104"/>
  <c r="Q256" i="104"/>
  <c r="M316" i="104"/>
  <c r="P256" i="104"/>
  <c r="R256" i="104"/>
  <c r="W256" i="104"/>
  <c r="T256" i="104"/>
  <c r="O256" i="104"/>
  <c r="M317" i="104"/>
  <c r="M255" i="104"/>
  <c r="M254" i="104"/>
  <c r="R318" i="104"/>
  <c r="V318" i="104"/>
  <c r="M276" i="106"/>
  <c r="M244" i="106"/>
  <c r="M201" i="106"/>
  <c r="M246" i="106"/>
  <c r="M308" i="106"/>
  <c r="M306" i="106"/>
  <c r="AK205" i="103"/>
  <c r="AM207" i="103"/>
  <c r="AK12" i="103"/>
  <c r="AK134" i="103" s="1"/>
  <c r="U256" i="107"/>
  <c r="AW12" i="107"/>
  <c r="AW134" i="107" s="1"/>
  <c r="AY207" i="107"/>
  <c r="AW205" i="107"/>
  <c r="S256" i="107"/>
  <c r="M255" i="107"/>
  <c r="P256" i="107"/>
  <c r="Q256" i="107"/>
  <c r="R318" i="107"/>
  <c r="S318" i="107"/>
  <c r="O318" i="107"/>
  <c r="M316" i="107"/>
  <c r="Q184" i="107"/>
  <c r="O184" i="107"/>
  <c r="W180" i="107"/>
  <c r="P180" i="107"/>
  <c r="W184" i="107"/>
  <c r="W13" i="107" s="1"/>
  <c r="P184" i="107"/>
  <c r="O180" i="107"/>
  <c r="Q180" i="107"/>
  <c r="M317" i="107"/>
  <c r="W318" i="107"/>
  <c r="P318" i="107"/>
  <c r="Q318" i="107"/>
  <c r="T318" i="107"/>
  <c r="T256" i="107"/>
  <c r="O256" i="107"/>
  <c r="M254" i="107"/>
  <c r="U318" i="107"/>
  <c r="W256" i="107"/>
  <c r="V256" i="107"/>
  <c r="M172" i="106"/>
  <c r="Q317" i="106"/>
  <c r="P316" i="106"/>
  <c r="T254" i="106"/>
  <c r="T317" i="106"/>
  <c r="R255" i="106"/>
  <c r="U255" i="106"/>
  <c r="W254" i="106"/>
  <c r="Q254" i="106"/>
  <c r="Q255" i="106"/>
  <c r="O317" i="106"/>
  <c r="P254" i="106"/>
  <c r="U317" i="106"/>
  <c r="W317" i="106"/>
  <c r="R317" i="106"/>
  <c r="T255" i="106"/>
  <c r="R254" i="106"/>
  <c r="U254" i="106"/>
  <c r="Q316" i="106"/>
  <c r="S254" i="106"/>
  <c r="S255" i="106"/>
  <c r="O316" i="106"/>
  <c r="P317" i="106"/>
  <c r="T316" i="106"/>
  <c r="W316" i="106"/>
  <c r="O255" i="106"/>
  <c r="V316" i="106"/>
  <c r="R316" i="106"/>
  <c r="V317" i="106"/>
  <c r="U316" i="106"/>
  <c r="W255" i="106"/>
  <c r="V254" i="106"/>
  <c r="V255" i="106"/>
  <c r="O254" i="106"/>
  <c r="P255" i="106"/>
  <c r="S317" i="106"/>
  <c r="S316" i="106"/>
  <c r="AK12" i="105"/>
  <c r="AK134" i="105" s="1"/>
  <c r="AK205" i="105"/>
  <c r="AM207" i="105"/>
  <c r="AK12" i="104"/>
  <c r="AK134" i="104" s="1"/>
  <c r="AW12" i="104"/>
  <c r="AW134" i="104" s="1"/>
  <c r="AM207" i="104"/>
  <c r="AK205" i="104"/>
  <c r="AY207" i="104"/>
  <c r="AW205" i="104"/>
  <c r="AY225" i="106"/>
  <c r="AW207" i="106"/>
  <c r="P205" i="104"/>
  <c r="P207" i="104" s="1"/>
  <c r="P225" i="104" s="1"/>
  <c r="P12" i="104"/>
  <c r="W12" i="104"/>
  <c r="W205" i="104"/>
  <c r="W207" i="104" s="1"/>
  <c r="Q205" i="104"/>
  <c r="Q207" i="104" s="1"/>
  <c r="Q12" i="104"/>
  <c r="O205" i="104"/>
  <c r="O12" i="104"/>
  <c r="AY225" i="103"/>
  <c r="AW207" i="103"/>
  <c r="I304" i="24"/>
  <c r="AH142" i="24"/>
  <c r="AH141" i="24"/>
  <c r="AH140" i="24"/>
  <c r="Q120" i="23"/>
  <c r="Q133" i="23"/>
  <c r="P119" i="23"/>
  <c r="P133" i="23"/>
  <c r="P120" i="23"/>
  <c r="O120" i="23"/>
  <c r="O119" i="23"/>
  <c r="O133" i="23"/>
  <c r="N133" i="23"/>
  <c r="N119" i="23"/>
  <c r="N120" i="23"/>
  <c r="R133" i="23"/>
  <c r="R120" i="23"/>
  <c r="N103" i="23"/>
  <c r="R103" i="23"/>
  <c r="AA13" i="104" l="1"/>
  <c r="J120" i="105"/>
  <c r="Y145" i="107"/>
  <c r="J145" i="107" s="1"/>
  <c r="AA203" i="107"/>
  <c r="Y203" i="107" s="1"/>
  <c r="J203" i="107" s="1"/>
  <c r="AA13" i="107"/>
  <c r="AA172" i="107"/>
  <c r="Y170" i="107"/>
  <c r="J212" i="107"/>
  <c r="J219" i="107" s="1"/>
  <c r="Y219" i="107"/>
  <c r="AA201" i="107"/>
  <c r="Y201" i="107" s="1"/>
  <c r="J201" i="107" s="1"/>
  <c r="Y120" i="107"/>
  <c r="J120" i="107" s="1"/>
  <c r="J124" i="105"/>
  <c r="W316" i="105"/>
  <c r="W255" i="105"/>
  <c r="P316" i="105"/>
  <c r="Q255" i="105"/>
  <c r="S254" i="105"/>
  <c r="O317" i="105"/>
  <c r="T254" i="105"/>
  <c r="V316" i="105"/>
  <c r="V317" i="105"/>
  <c r="W254" i="105"/>
  <c r="W256" i="105" s="1"/>
  <c r="R254" i="105"/>
  <c r="O254" i="105"/>
  <c r="T316" i="105"/>
  <c r="Q317" i="105"/>
  <c r="U254" i="105"/>
  <c r="U316" i="105"/>
  <c r="R317" i="105"/>
  <c r="P255" i="105"/>
  <c r="U317" i="105"/>
  <c r="R316" i="105"/>
  <c r="S317" i="105"/>
  <c r="V254" i="105"/>
  <c r="R255" i="105"/>
  <c r="M172" i="105"/>
  <c r="T317" i="105"/>
  <c r="Q316" i="105"/>
  <c r="O316" i="105"/>
  <c r="Q254" i="105"/>
  <c r="P317" i="105"/>
  <c r="S255" i="105"/>
  <c r="S316" i="105"/>
  <c r="O255" i="105"/>
  <c r="U255" i="105"/>
  <c r="V255" i="105"/>
  <c r="T255" i="105"/>
  <c r="W317" i="105"/>
  <c r="P254" i="105"/>
  <c r="Y145" i="104"/>
  <c r="J145" i="104" s="1"/>
  <c r="AA203" i="104"/>
  <c r="Y203" i="104" s="1"/>
  <c r="J203" i="104" s="1"/>
  <c r="Y219" i="104"/>
  <c r="J212" i="104"/>
  <c r="J219" i="104" s="1"/>
  <c r="Y170" i="104"/>
  <c r="AA172" i="104"/>
  <c r="Y120" i="104"/>
  <c r="J120" i="104" s="1"/>
  <c r="AA201" i="104"/>
  <c r="Y201" i="104" s="1"/>
  <c r="J201" i="104" s="1"/>
  <c r="Y145" i="103"/>
  <c r="J145" i="103" s="1"/>
  <c r="AA203" i="103"/>
  <c r="Y203" i="103" s="1"/>
  <c r="J203" i="103" s="1"/>
  <c r="Y170" i="103"/>
  <c r="AA172" i="103"/>
  <c r="AA13" i="103"/>
  <c r="AA201" i="103"/>
  <c r="Y201" i="103" s="1"/>
  <c r="J201" i="103" s="1"/>
  <c r="Y120" i="103"/>
  <c r="J120" i="103" s="1"/>
  <c r="Y219" i="103"/>
  <c r="J212" i="103"/>
  <c r="J219" i="103" s="1"/>
  <c r="J276" i="106"/>
  <c r="AA254" i="106"/>
  <c r="AD317" i="106"/>
  <c r="AA317" i="106"/>
  <c r="AD316" i="106"/>
  <c r="AF254" i="106"/>
  <c r="J170" i="106"/>
  <c r="J172" i="106" s="1"/>
  <c r="AF255" i="106"/>
  <c r="AA255" i="106"/>
  <c r="Y172" i="106"/>
  <c r="AI180" i="106" s="1"/>
  <c r="AF316" i="106"/>
  <c r="AA316" i="106"/>
  <c r="AG254" i="106"/>
  <c r="AG317" i="106"/>
  <c r="AH255" i="106"/>
  <c r="AE254" i="106"/>
  <c r="AG255" i="106"/>
  <c r="AB254" i="106"/>
  <c r="AI254" i="106"/>
  <c r="AI256" i="106" s="1"/>
  <c r="AB317" i="106"/>
  <c r="AB255" i="106"/>
  <c r="AH254" i="106"/>
  <c r="AC255" i="106"/>
  <c r="AF317" i="106"/>
  <c r="AC254" i="106"/>
  <c r="AE255" i="106"/>
  <c r="AC317" i="106"/>
  <c r="AH316" i="106"/>
  <c r="AI316" i="106"/>
  <c r="AD254" i="106"/>
  <c r="AE317" i="106"/>
  <c r="AH317" i="106"/>
  <c r="AB316" i="106"/>
  <c r="AI317" i="106"/>
  <c r="AE316" i="106"/>
  <c r="AC316" i="106"/>
  <c r="AG316" i="106"/>
  <c r="AD255" i="106"/>
  <c r="Y244" i="106"/>
  <c r="J244" i="106" s="1"/>
  <c r="AG314" i="106"/>
  <c r="AD314" i="106"/>
  <c r="AI314" i="106"/>
  <c r="AE314" i="106"/>
  <c r="AB314" i="106"/>
  <c r="AF314" i="106"/>
  <c r="Y308" i="106"/>
  <c r="J308" i="106" s="1"/>
  <c r="AC314" i="106"/>
  <c r="J245" i="106"/>
  <c r="Y276" i="105"/>
  <c r="J276" i="105" s="1"/>
  <c r="J246" i="104"/>
  <c r="J307" i="106"/>
  <c r="AA306" i="105"/>
  <c r="AA314" i="105" s="1"/>
  <c r="AA14" i="107"/>
  <c r="AA193" i="107"/>
  <c r="AB14" i="107"/>
  <c r="AB193" i="107"/>
  <c r="AH306" i="105"/>
  <c r="AH314" i="105" s="1"/>
  <c r="AA14" i="106"/>
  <c r="AA193" i="106"/>
  <c r="AF14" i="106"/>
  <c r="AF193" i="106"/>
  <c r="AC306" i="105"/>
  <c r="AC314" i="105" s="1"/>
  <c r="AA14" i="104"/>
  <c r="AA193" i="104"/>
  <c r="AF14" i="103"/>
  <c r="AF193" i="103"/>
  <c r="AA14" i="103"/>
  <c r="AA193" i="103"/>
  <c r="AF14" i="104"/>
  <c r="AF193" i="104"/>
  <c r="AB14" i="104"/>
  <c r="AB193" i="104"/>
  <c r="AF14" i="107"/>
  <c r="AF193" i="107"/>
  <c r="Y307" i="105"/>
  <c r="J307" i="105" s="1"/>
  <c r="AB14" i="103"/>
  <c r="AB193" i="103"/>
  <c r="AF193" i="105"/>
  <c r="AF14" i="105"/>
  <c r="AB14" i="106"/>
  <c r="AB193" i="106"/>
  <c r="AE306" i="105"/>
  <c r="AE314" i="105" s="1"/>
  <c r="AB14" i="105"/>
  <c r="AB193" i="105"/>
  <c r="J201" i="106"/>
  <c r="J245" i="107"/>
  <c r="Y245" i="105"/>
  <c r="AF306" i="105"/>
  <c r="AF314" i="105" s="1"/>
  <c r="Y244" i="104"/>
  <c r="Y201" i="105"/>
  <c r="J201" i="105" s="1"/>
  <c r="Y306" i="106"/>
  <c r="AA314" i="106"/>
  <c r="Y308" i="105"/>
  <c r="J308" i="105" s="1"/>
  <c r="AG316" i="105"/>
  <c r="AG255" i="105"/>
  <c r="AF255" i="105"/>
  <c r="AD254" i="105"/>
  <c r="AG254" i="105"/>
  <c r="AC254" i="105"/>
  <c r="AE317" i="105"/>
  <c r="AD316" i="105"/>
  <c r="AC255" i="105"/>
  <c r="AA316" i="105"/>
  <c r="AH317" i="105"/>
  <c r="AB317" i="105"/>
  <c r="AH316" i="105"/>
  <c r="AF316" i="105"/>
  <c r="AB316" i="105"/>
  <c r="Y172" i="105"/>
  <c r="AH254" i="105"/>
  <c r="AC317" i="105"/>
  <c r="AD317" i="105"/>
  <c r="AE254" i="105"/>
  <c r="AI316" i="105"/>
  <c r="AG317" i="105"/>
  <c r="AE316" i="105"/>
  <c r="AI254" i="105"/>
  <c r="AC316" i="105"/>
  <c r="AA254" i="105"/>
  <c r="AH255" i="105"/>
  <c r="AB255" i="105"/>
  <c r="AI317" i="105"/>
  <c r="AD255" i="105"/>
  <c r="AA317" i="105"/>
  <c r="AE255" i="105"/>
  <c r="AB254" i="105"/>
  <c r="AF317" i="105"/>
  <c r="AI255" i="105"/>
  <c r="AA255" i="105"/>
  <c r="AF254" i="105"/>
  <c r="J170" i="105"/>
  <c r="J172" i="105" s="1"/>
  <c r="AI306" i="105"/>
  <c r="AI314" i="105" s="1"/>
  <c r="AA13" i="105"/>
  <c r="J307" i="103"/>
  <c r="AA314" i="104"/>
  <c r="Y306" i="104"/>
  <c r="Y306" i="107"/>
  <c r="Y162" i="105"/>
  <c r="AB306" i="105"/>
  <c r="AB314" i="105" s="1"/>
  <c r="Y246" i="105"/>
  <c r="AG306" i="105"/>
  <c r="AG314" i="105" s="1"/>
  <c r="AA244" i="105"/>
  <c r="Y244" i="105" s="1"/>
  <c r="AA314" i="103"/>
  <c r="Y306" i="103"/>
  <c r="AD306" i="105"/>
  <c r="AD314" i="105" s="1"/>
  <c r="W318" i="103"/>
  <c r="W256" i="103"/>
  <c r="V256" i="103"/>
  <c r="R318" i="103"/>
  <c r="U256" i="103"/>
  <c r="O318" i="103"/>
  <c r="U318" i="103"/>
  <c r="P318" i="103"/>
  <c r="P256" i="103"/>
  <c r="Q318" i="103"/>
  <c r="M255" i="103"/>
  <c r="T256" i="103"/>
  <c r="O256" i="103"/>
  <c r="M317" i="103"/>
  <c r="R256" i="103"/>
  <c r="S318" i="103"/>
  <c r="O184" i="103"/>
  <c r="P180" i="103"/>
  <c r="P205" i="103" s="1"/>
  <c r="P207" i="103" s="1"/>
  <c r="P225" i="103" s="1"/>
  <c r="W184" i="103"/>
  <c r="W13" i="103" s="1"/>
  <c r="M316" i="103"/>
  <c r="Q180" i="103"/>
  <c r="Q205" i="103" s="1"/>
  <c r="Q207" i="103" s="1"/>
  <c r="M254" i="103"/>
  <c r="P184" i="103"/>
  <c r="Q184" i="103"/>
  <c r="W180" i="103"/>
  <c r="W12" i="103" s="1"/>
  <c r="V318" i="103"/>
  <c r="T318" i="103"/>
  <c r="S256" i="103"/>
  <c r="O14" i="106"/>
  <c r="O193" i="106"/>
  <c r="P14" i="106"/>
  <c r="P193" i="106"/>
  <c r="O14" i="104"/>
  <c r="O193" i="104"/>
  <c r="O193" i="103"/>
  <c r="O14" i="103"/>
  <c r="O14" i="105"/>
  <c r="O193" i="105"/>
  <c r="P14" i="103"/>
  <c r="P193" i="103"/>
  <c r="O14" i="107"/>
  <c r="O193" i="107"/>
  <c r="P14" i="104"/>
  <c r="P193" i="104"/>
  <c r="P14" i="105"/>
  <c r="P193" i="105"/>
  <c r="P14" i="107"/>
  <c r="P193" i="107"/>
  <c r="T14" i="103"/>
  <c r="T193" i="103"/>
  <c r="T193" i="105"/>
  <c r="T14" i="105"/>
  <c r="T14" i="104"/>
  <c r="T193" i="104"/>
  <c r="T14" i="107"/>
  <c r="T193" i="107"/>
  <c r="T14" i="106"/>
  <c r="T193" i="106"/>
  <c r="M318" i="104"/>
  <c r="M256" i="104"/>
  <c r="J246" i="106"/>
  <c r="AK207" i="103"/>
  <c r="AM225" i="103"/>
  <c r="AW207" i="107"/>
  <c r="AY225" i="107"/>
  <c r="M256" i="107"/>
  <c r="Q205" i="107"/>
  <c r="Q207" i="107" s="1"/>
  <c r="Q12" i="107"/>
  <c r="P205" i="107"/>
  <c r="P207" i="107" s="1"/>
  <c r="P225" i="107" s="1"/>
  <c r="P12" i="107"/>
  <c r="M318" i="107"/>
  <c r="O205" i="107"/>
  <c r="O12" i="107"/>
  <c r="W12" i="107"/>
  <c r="W205" i="107"/>
  <c r="W207" i="107" s="1"/>
  <c r="U256" i="106"/>
  <c r="R318" i="106"/>
  <c r="S318" i="106"/>
  <c r="V318" i="106"/>
  <c r="T318" i="106"/>
  <c r="S256" i="106"/>
  <c r="P256" i="106"/>
  <c r="W256" i="106"/>
  <c r="T256" i="106"/>
  <c r="M254" i="106"/>
  <c r="O256" i="106"/>
  <c r="U318" i="106"/>
  <c r="Q318" i="106"/>
  <c r="M317" i="106"/>
  <c r="P318" i="106"/>
  <c r="M255" i="106"/>
  <c r="O318" i="106"/>
  <c r="M316" i="106"/>
  <c r="V256" i="106"/>
  <c r="W318" i="106"/>
  <c r="R256" i="106"/>
  <c r="Q256" i="106"/>
  <c r="O180" i="106"/>
  <c r="Q180" i="106"/>
  <c r="O184" i="106"/>
  <c r="Q184" i="106"/>
  <c r="P180" i="106"/>
  <c r="W180" i="106"/>
  <c r="W184" i="106"/>
  <c r="W13" i="106" s="1"/>
  <c r="P184" i="106"/>
  <c r="AM225" i="105"/>
  <c r="AK207" i="105"/>
  <c r="AW207" i="104"/>
  <c r="AY225" i="104"/>
  <c r="AM225" i="104"/>
  <c r="AK207" i="104"/>
  <c r="O205" i="103"/>
  <c r="O12" i="103"/>
  <c r="O207" i="104"/>
  <c r="AF68" i="55"/>
  <c r="AR68" i="55"/>
  <c r="BD68" i="55"/>
  <c r="T68" i="55"/>
  <c r="AI68" i="55"/>
  <c r="S68" i="55"/>
  <c r="AD68" i="55"/>
  <c r="U68" i="55"/>
  <c r="AB68" i="55"/>
  <c r="AH68" i="55"/>
  <c r="AC68" i="55"/>
  <c r="V68" i="55"/>
  <c r="AE68" i="55"/>
  <c r="AG68" i="55"/>
  <c r="W68" i="55"/>
  <c r="BE68" i="55"/>
  <c r="AP68" i="55"/>
  <c r="BB68" i="55"/>
  <c r="AZ68" i="55"/>
  <c r="BA68" i="55"/>
  <c r="AU68" i="55"/>
  <c r="AQ68" i="55"/>
  <c r="AN68" i="55"/>
  <c r="AO68" i="55"/>
  <c r="BF68" i="55"/>
  <c r="BG68" i="55"/>
  <c r="AS68" i="55"/>
  <c r="BC68" i="55"/>
  <c r="AY68" i="55"/>
  <c r="AT68" i="55"/>
  <c r="AM68" i="55"/>
  <c r="I305" i="24"/>
  <c r="AA68" i="55"/>
  <c r="Q68" i="55"/>
  <c r="R68" i="55"/>
  <c r="P68" i="55"/>
  <c r="O68" i="55"/>
  <c r="Q93" i="55"/>
  <c r="Q95" i="55" s="1"/>
  <c r="O111" i="55"/>
  <c r="O139" i="55"/>
  <c r="G5" i="55"/>
  <c r="Q119" i="23"/>
  <c r="O118" i="23"/>
  <c r="R119" i="23"/>
  <c r="R104" i="23"/>
  <c r="P103" i="23"/>
  <c r="N105" i="23"/>
  <c r="R105" i="23"/>
  <c r="O103" i="23"/>
  <c r="O104" i="23"/>
  <c r="Q103" i="23"/>
  <c r="N104" i="23"/>
  <c r="O105" i="23"/>
  <c r="Q256" i="105" l="1"/>
  <c r="R318" i="105"/>
  <c r="U256" i="105"/>
  <c r="T318" i="105"/>
  <c r="J170" i="107"/>
  <c r="J172" i="107" s="1"/>
  <c r="AG316" i="107"/>
  <c r="AE316" i="107"/>
  <c r="AA255" i="107"/>
  <c r="AF254" i="107"/>
  <c r="AF316" i="107"/>
  <c r="AH317" i="107"/>
  <c r="AC254" i="107"/>
  <c r="AG317" i="107"/>
  <c r="AA254" i="107"/>
  <c r="Y172" i="107"/>
  <c r="AB254" i="107"/>
  <c r="AD316" i="107"/>
  <c r="AE255" i="107"/>
  <c r="AF317" i="107"/>
  <c r="AC255" i="107"/>
  <c r="AI316" i="107"/>
  <c r="AA316" i="107"/>
  <c r="AH316" i="107"/>
  <c r="AB255" i="107"/>
  <c r="AF255" i="107"/>
  <c r="AH254" i="107"/>
  <c r="AE254" i="107"/>
  <c r="AD254" i="107"/>
  <c r="AB317" i="107"/>
  <c r="AD317" i="107"/>
  <c r="AE317" i="107"/>
  <c r="AG254" i="107"/>
  <c r="AG255" i="107"/>
  <c r="AC316" i="107"/>
  <c r="AH255" i="107"/>
  <c r="AD255" i="107"/>
  <c r="AB316" i="107"/>
  <c r="AB318" i="107" s="1"/>
  <c r="AB320" i="107" s="1"/>
  <c r="AB322" i="107" s="1"/>
  <c r="AI317" i="107"/>
  <c r="AI255" i="107"/>
  <c r="AI254" i="107"/>
  <c r="AA317" i="107"/>
  <c r="AC317" i="107"/>
  <c r="U318" i="105"/>
  <c r="V318" i="105"/>
  <c r="T256" i="105"/>
  <c r="M255" i="105"/>
  <c r="S318" i="105"/>
  <c r="V256" i="105"/>
  <c r="P256" i="105"/>
  <c r="M317" i="105"/>
  <c r="W180" i="105"/>
  <c r="P180" i="105"/>
  <c r="Q180" i="105"/>
  <c r="W184" i="105"/>
  <c r="W13" i="105" s="1"/>
  <c r="P184" i="105"/>
  <c r="O180" i="105"/>
  <c r="O184" i="105"/>
  <c r="Q184" i="105"/>
  <c r="S256" i="105"/>
  <c r="M254" i="105"/>
  <c r="O256" i="105"/>
  <c r="O318" i="105"/>
  <c r="M316" i="105"/>
  <c r="R256" i="105"/>
  <c r="P318" i="105"/>
  <c r="Q318" i="105"/>
  <c r="W318" i="105"/>
  <c r="J170" i="104"/>
  <c r="J172" i="104" s="1"/>
  <c r="AA316" i="104"/>
  <c r="AE254" i="104"/>
  <c r="AC254" i="104"/>
  <c r="AF255" i="104"/>
  <c r="AB255" i="104"/>
  <c r="AI316" i="104"/>
  <c r="AD316" i="104"/>
  <c r="AH316" i="104"/>
  <c r="AF317" i="104"/>
  <c r="AF254" i="104"/>
  <c r="AD254" i="104"/>
  <c r="AG316" i="104"/>
  <c r="AE317" i="104"/>
  <c r="AH255" i="104"/>
  <c r="AH317" i="104"/>
  <c r="AA254" i="104"/>
  <c r="AF316" i="104"/>
  <c r="AF318" i="104" s="1"/>
  <c r="AF320" i="104" s="1"/>
  <c r="AF322" i="104" s="1"/>
  <c r="AG254" i="104"/>
  <c r="AD255" i="104"/>
  <c r="AI254" i="104"/>
  <c r="AI317" i="104"/>
  <c r="AB317" i="104"/>
  <c r="AB316" i="104"/>
  <c r="AE316" i="104"/>
  <c r="AA255" i="104"/>
  <c r="Y172" i="104"/>
  <c r="AC317" i="104"/>
  <c r="AE255" i="104"/>
  <c r="AI255" i="104"/>
  <c r="AG255" i="104"/>
  <c r="AC316" i="104"/>
  <c r="AG317" i="104"/>
  <c r="AB254" i="104"/>
  <c r="AC255" i="104"/>
  <c r="AD317" i="104"/>
  <c r="AH254" i="104"/>
  <c r="AA317" i="104"/>
  <c r="AB316" i="103"/>
  <c r="AF317" i="103"/>
  <c r="AI316" i="103"/>
  <c r="AE316" i="103"/>
  <c r="AC255" i="103"/>
  <c r="AG254" i="103"/>
  <c r="AI317" i="103"/>
  <c r="AD316" i="103"/>
  <c r="AA316" i="103"/>
  <c r="AH317" i="103"/>
  <c r="AC317" i="103"/>
  <c r="AD254" i="103"/>
  <c r="AA254" i="103"/>
  <c r="Y172" i="103"/>
  <c r="AG255" i="103"/>
  <c r="AE254" i="103"/>
  <c r="AI255" i="103"/>
  <c r="AA255" i="103"/>
  <c r="AB317" i="103"/>
  <c r="AC254" i="103"/>
  <c r="AG316" i="103"/>
  <c r="AD317" i="103"/>
  <c r="J170" i="103"/>
  <c r="J172" i="103" s="1"/>
  <c r="AB255" i="103"/>
  <c r="AF255" i="103"/>
  <c r="AI254" i="103"/>
  <c r="AD255" i="103"/>
  <c r="AE255" i="103"/>
  <c r="AF316" i="103"/>
  <c r="AA317" i="103"/>
  <c r="AE317" i="103"/>
  <c r="AG317" i="103"/>
  <c r="AF254" i="103"/>
  <c r="AB254" i="103"/>
  <c r="AH254" i="103"/>
  <c r="AH255" i="103"/>
  <c r="AH316" i="103"/>
  <c r="AC316" i="103"/>
  <c r="AA256" i="106"/>
  <c r="AA318" i="106"/>
  <c r="AA320" i="106" s="1"/>
  <c r="AA322" i="106" s="1"/>
  <c r="AI318" i="106"/>
  <c r="AI320" i="106" s="1"/>
  <c r="AI322" i="106" s="1"/>
  <c r="AG256" i="106"/>
  <c r="AD318" i="106"/>
  <c r="AD320" i="106" s="1"/>
  <c r="AD322" i="106" s="1"/>
  <c r="AA184" i="106"/>
  <c r="AC184" i="106"/>
  <c r="AC180" i="106"/>
  <c r="AC205" i="106" s="1"/>
  <c r="AC207" i="106" s="1"/>
  <c r="AF256" i="106"/>
  <c r="AA180" i="106"/>
  <c r="AA205" i="106" s="1"/>
  <c r="AI184" i="106"/>
  <c r="AI13" i="106" s="1"/>
  <c r="Y13" i="106" s="1"/>
  <c r="AB180" i="106"/>
  <c r="AB205" i="106" s="1"/>
  <c r="AB207" i="106" s="1"/>
  <c r="AB225" i="106" s="1"/>
  <c r="AB184" i="106"/>
  <c r="AC256" i="106"/>
  <c r="AF318" i="106"/>
  <c r="AF320" i="106" s="1"/>
  <c r="AF322" i="106" s="1"/>
  <c r="AH256" i="106"/>
  <c r="AB318" i="106"/>
  <c r="AB320" i="106" s="1"/>
  <c r="AB322" i="106" s="1"/>
  <c r="AE256" i="106"/>
  <c r="AB256" i="106"/>
  <c r="AG318" i="106"/>
  <c r="AG320" i="106" s="1"/>
  <c r="AG322" i="106" s="1"/>
  <c r="Y255" i="106"/>
  <c r="Y254" i="106"/>
  <c r="Y317" i="106"/>
  <c r="J317" i="106" s="1"/>
  <c r="AH318" i="106"/>
  <c r="AH320" i="106" s="1"/>
  <c r="AH322" i="106" s="1"/>
  <c r="AD256" i="106"/>
  <c r="AE318" i="106"/>
  <c r="AE320" i="106" s="1"/>
  <c r="AE322" i="106" s="1"/>
  <c r="AC318" i="106"/>
  <c r="AC320" i="106" s="1"/>
  <c r="AC322" i="106" s="1"/>
  <c r="Y316" i="106"/>
  <c r="J316" i="106" s="1"/>
  <c r="Y314" i="106"/>
  <c r="J306" i="106"/>
  <c r="AE318" i="105"/>
  <c r="AE320" i="105" s="1"/>
  <c r="AE322" i="105" s="1"/>
  <c r="AG256" i="105"/>
  <c r="AC256" i="105"/>
  <c r="AF318" i="105"/>
  <c r="AF320" i="105" s="1"/>
  <c r="AF322" i="105" s="1"/>
  <c r="Y255" i="105"/>
  <c r="AE256" i="105"/>
  <c r="AD256" i="105"/>
  <c r="AC318" i="105"/>
  <c r="AC320" i="105" s="1"/>
  <c r="AC322" i="105" s="1"/>
  <c r="Y306" i="105"/>
  <c r="Y314" i="103"/>
  <c r="J306" i="103"/>
  <c r="AA256" i="105"/>
  <c r="Y254" i="105"/>
  <c r="Y316" i="105"/>
  <c r="AA318" i="105"/>
  <c r="AA320" i="105" s="1"/>
  <c r="AA322" i="105" s="1"/>
  <c r="AB256" i="105"/>
  <c r="AH256" i="105"/>
  <c r="AG318" i="105"/>
  <c r="AG320" i="105" s="1"/>
  <c r="AG322" i="105" s="1"/>
  <c r="Y314" i="107"/>
  <c r="J306" i="107"/>
  <c r="AI256" i="105"/>
  <c r="AB180" i="105"/>
  <c r="AI184" i="105"/>
  <c r="AI13" i="105" s="1"/>
  <c r="Y13" i="105" s="1"/>
  <c r="AA180" i="105"/>
  <c r="AI180" i="105"/>
  <c r="AC184" i="105"/>
  <c r="AB184" i="105"/>
  <c r="AC180" i="105"/>
  <c r="AA184" i="105"/>
  <c r="AD318" i="105"/>
  <c r="AD320" i="105" s="1"/>
  <c r="AD322" i="105" s="1"/>
  <c r="J244" i="104"/>
  <c r="J245" i="105"/>
  <c r="AI205" i="106"/>
  <c r="AI207" i="106" s="1"/>
  <c r="AI12" i="106"/>
  <c r="Y317" i="105"/>
  <c r="AB318" i="105"/>
  <c r="AB320" i="105" s="1"/>
  <c r="AB322" i="105" s="1"/>
  <c r="J246" i="105"/>
  <c r="J244" i="105"/>
  <c r="Y314" i="104"/>
  <c r="J306" i="104"/>
  <c r="AF256" i="105"/>
  <c r="AI318" i="105"/>
  <c r="AI320" i="105" s="1"/>
  <c r="AI322" i="105" s="1"/>
  <c r="AH318" i="105"/>
  <c r="AH320" i="105" s="1"/>
  <c r="AH322" i="105" s="1"/>
  <c r="W205" i="103"/>
  <c r="W207" i="103" s="1"/>
  <c r="M318" i="103"/>
  <c r="P12" i="103"/>
  <c r="Q12" i="103"/>
  <c r="M256" i="103"/>
  <c r="O207" i="107"/>
  <c r="P12" i="106"/>
  <c r="P205" i="106"/>
  <c r="P207" i="106" s="1"/>
  <c r="P225" i="106" s="1"/>
  <c r="O205" i="106"/>
  <c r="O12" i="106"/>
  <c r="W12" i="106"/>
  <c r="W205" i="106"/>
  <c r="W207" i="106" s="1"/>
  <c r="Q205" i="106"/>
  <c r="Q207" i="106" s="1"/>
  <c r="Q12" i="106"/>
  <c r="M318" i="106"/>
  <c r="M256" i="106"/>
  <c r="O207" i="103"/>
  <c r="O225" i="104"/>
  <c r="AO118" i="55"/>
  <c r="AO122" i="55"/>
  <c r="AZ118" i="55"/>
  <c r="AB118" i="55"/>
  <c r="AN118" i="55"/>
  <c r="P118" i="55"/>
  <c r="T78" i="55"/>
  <c r="T189" i="55" s="1"/>
  <c r="AF78" i="55"/>
  <c r="Y68" i="55"/>
  <c r="BF161" i="55"/>
  <c r="AT161" i="55"/>
  <c r="AH161" i="55"/>
  <c r="BE161" i="55"/>
  <c r="AS161" i="55"/>
  <c r="AG161" i="55"/>
  <c r="BC161" i="55"/>
  <c r="AQ161" i="55"/>
  <c r="AE161" i="55"/>
  <c r="BB161" i="55"/>
  <c r="AP161" i="55"/>
  <c r="AD161" i="55"/>
  <c r="BA161" i="55"/>
  <c r="AO161" i="55"/>
  <c r="AC161" i="55"/>
  <c r="AZ161" i="55"/>
  <c r="AN161" i="55"/>
  <c r="AB161" i="55"/>
  <c r="AY161" i="55"/>
  <c r="AM161" i="55"/>
  <c r="AA161" i="55"/>
  <c r="AK68" i="55"/>
  <c r="AR78" i="55"/>
  <c r="AW68" i="55"/>
  <c r="BD78" i="55"/>
  <c r="M178" i="55"/>
  <c r="O161" i="55"/>
  <c r="AK178" i="55"/>
  <c r="U161" i="55"/>
  <c r="Y178" i="55"/>
  <c r="S161" i="55"/>
  <c r="V161" i="55"/>
  <c r="P161" i="55"/>
  <c r="Q161" i="55"/>
  <c r="AW178" i="55"/>
  <c r="R161" i="55"/>
  <c r="Q118" i="23"/>
  <c r="P118" i="23"/>
  <c r="N118" i="23"/>
  <c r="R118" i="23"/>
  <c r="Q104" i="23"/>
  <c r="P105" i="23"/>
  <c r="P104" i="23"/>
  <c r="Q105" i="23"/>
  <c r="O106" i="23"/>
  <c r="N106" i="23"/>
  <c r="R106" i="23"/>
  <c r="AF256" i="103" l="1"/>
  <c r="AH318" i="103"/>
  <c r="AH320" i="103" s="1"/>
  <c r="AH322" i="103" s="1"/>
  <c r="AF318" i="103"/>
  <c r="AF320" i="103" s="1"/>
  <c r="AF322" i="103" s="1"/>
  <c r="M256" i="105"/>
  <c r="AC318" i="103"/>
  <c r="AC320" i="103" s="1"/>
  <c r="AC322" i="103" s="1"/>
  <c r="AI256" i="103"/>
  <c r="AB318" i="104"/>
  <c r="AB320" i="104" s="1"/>
  <c r="AB322" i="104" s="1"/>
  <c r="AD256" i="107"/>
  <c r="AE256" i="107"/>
  <c r="AD318" i="107"/>
  <c r="AD320" i="107" s="1"/>
  <c r="AD322" i="107" s="1"/>
  <c r="AG256" i="107"/>
  <c r="AH318" i="107"/>
  <c r="AH320" i="107" s="1"/>
  <c r="AH322" i="107" s="1"/>
  <c r="AC318" i="107"/>
  <c r="AC320" i="107" s="1"/>
  <c r="AC322" i="107" s="1"/>
  <c r="AH256" i="107"/>
  <c r="AF318" i="107"/>
  <c r="AF320" i="107" s="1"/>
  <c r="AF322" i="107" s="1"/>
  <c r="Y317" i="107"/>
  <c r="J317" i="107" s="1"/>
  <c r="AF256" i="107"/>
  <c r="AI256" i="107"/>
  <c r="AB256" i="107"/>
  <c r="Y255" i="107"/>
  <c r="J255" i="107" s="1"/>
  <c r="AB180" i="107"/>
  <c r="AI180" i="107"/>
  <c r="AB184" i="107"/>
  <c r="AC184" i="107"/>
  <c r="AC180" i="107"/>
  <c r="AA184" i="107"/>
  <c r="AI184" i="107"/>
  <c r="AI13" i="107" s="1"/>
  <c r="Y13" i="107" s="1"/>
  <c r="AA180" i="107"/>
  <c r="AE318" i="107"/>
  <c r="AE320" i="107" s="1"/>
  <c r="AE322" i="107" s="1"/>
  <c r="Y316" i="107"/>
  <c r="AA318" i="107"/>
  <c r="AA320" i="107" s="1"/>
  <c r="AA322" i="107" s="1"/>
  <c r="Y254" i="107"/>
  <c r="AA256" i="107"/>
  <c r="AG318" i="107"/>
  <c r="AG320" i="107" s="1"/>
  <c r="AG322" i="107" s="1"/>
  <c r="AC256" i="107"/>
  <c r="AI318" i="107"/>
  <c r="AI320" i="107" s="1"/>
  <c r="AI322" i="107" s="1"/>
  <c r="J317" i="105"/>
  <c r="M318" i="105"/>
  <c r="O12" i="105"/>
  <c r="O205" i="105"/>
  <c r="O207" i="105" s="1"/>
  <c r="O225" i="105" s="1"/>
  <c r="Q205" i="105"/>
  <c r="Q207" i="105" s="1"/>
  <c r="Q12" i="105"/>
  <c r="P205" i="105"/>
  <c r="P207" i="105" s="1"/>
  <c r="P225" i="105" s="1"/>
  <c r="P12" i="105"/>
  <c r="W12" i="105"/>
  <c r="W205" i="105"/>
  <c r="W207" i="105" s="1"/>
  <c r="AC318" i="104"/>
  <c r="AC320" i="104" s="1"/>
  <c r="AC322" i="104" s="1"/>
  <c r="AD318" i="104"/>
  <c r="AD320" i="104" s="1"/>
  <c r="AD322" i="104" s="1"/>
  <c r="AI318" i="104"/>
  <c r="AI320" i="104" s="1"/>
  <c r="AI322" i="104" s="1"/>
  <c r="AC256" i="104"/>
  <c r="AF256" i="104"/>
  <c r="AB256" i="104"/>
  <c r="Y317" i="104"/>
  <c r="J317" i="104" s="1"/>
  <c r="AH256" i="104"/>
  <c r="AI256" i="104"/>
  <c r="AG318" i="104"/>
  <c r="AG320" i="104" s="1"/>
  <c r="AG322" i="104" s="1"/>
  <c r="AD256" i="104"/>
  <c r="AI184" i="104"/>
  <c r="AI13" i="104" s="1"/>
  <c r="Y13" i="104" s="1"/>
  <c r="AC184" i="104"/>
  <c r="AB180" i="104"/>
  <c r="AB184" i="104"/>
  <c r="AI180" i="104"/>
  <c r="AC180" i="104"/>
  <c r="AA180" i="104"/>
  <c r="AA184" i="104"/>
  <c r="AG256" i="104"/>
  <c r="AE256" i="104"/>
  <c r="Y316" i="104"/>
  <c r="AA318" i="104"/>
  <c r="AA320" i="104" s="1"/>
  <c r="AA322" i="104" s="1"/>
  <c r="Y255" i="104"/>
  <c r="J255" i="104" s="1"/>
  <c r="AE318" i="104"/>
  <c r="AE320" i="104" s="1"/>
  <c r="AE322" i="104" s="1"/>
  <c r="AA256" i="104"/>
  <c r="Y254" i="104"/>
  <c r="AH318" i="104"/>
  <c r="AH320" i="104" s="1"/>
  <c r="AH322" i="104" s="1"/>
  <c r="AG256" i="103"/>
  <c r="Y317" i="103"/>
  <c r="J317" i="103" s="1"/>
  <c r="AG318" i="103"/>
  <c r="AG320" i="103" s="1"/>
  <c r="AG322" i="103" s="1"/>
  <c r="AD256" i="103"/>
  <c r="AB256" i="103"/>
  <c r="AE256" i="103"/>
  <c r="AD318" i="103"/>
  <c r="AD320" i="103" s="1"/>
  <c r="AD322" i="103" s="1"/>
  <c r="AA256" i="103"/>
  <c r="Y254" i="103"/>
  <c r="AC256" i="103"/>
  <c r="AE318" i="103"/>
  <c r="AE320" i="103" s="1"/>
  <c r="AE322" i="103" s="1"/>
  <c r="AH256" i="103"/>
  <c r="AI318" i="103"/>
  <c r="AI320" i="103" s="1"/>
  <c r="AI322" i="103" s="1"/>
  <c r="Y255" i="103"/>
  <c r="J255" i="103" s="1"/>
  <c r="AA180" i="103"/>
  <c r="AI180" i="103"/>
  <c r="AC184" i="103"/>
  <c r="AB180" i="103"/>
  <c r="AC180" i="103"/>
  <c r="AB184" i="103"/>
  <c r="AI184" i="103"/>
  <c r="AI13" i="103" s="1"/>
  <c r="Y13" i="103" s="1"/>
  <c r="AA184" i="103"/>
  <c r="Y316" i="103"/>
  <c r="AA318" i="103"/>
  <c r="AA320" i="103" s="1"/>
  <c r="AA322" i="103" s="1"/>
  <c r="AB318" i="103"/>
  <c r="AB320" i="103" s="1"/>
  <c r="AB322" i="103" s="1"/>
  <c r="J255" i="106"/>
  <c r="J255" i="105"/>
  <c r="J254" i="106"/>
  <c r="AA12" i="106"/>
  <c r="AC12" i="106"/>
  <c r="AB12" i="106"/>
  <c r="Y256" i="106"/>
  <c r="Y318" i="106"/>
  <c r="Y320" i="106" s="1"/>
  <c r="Y322" i="106"/>
  <c r="AB205" i="105"/>
  <c r="AB207" i="105" s="1"/>
  <c r="AB225" i="105" s="1"/>
  <c r="AB12" i="105"/>
  <c r="Y322" i="105"/>
  <c r="AC205" i="105"/>
  <c r="AC207" i="105" s="1"/>
  <c r="AC12" i="105"/>
  <c r="Y318" i="105"/>
  <c r="J316" i="105"/>
  <c r="Y205" i="106"/>
  <c r="AA207" i="106"/>
  <c r="AI205" i="105"/>
  <c r="AI207" i="105" s="1"/>
  <c r="AI12" i="105"/>
  <c r="Y256" i="105"/>
  <c r="J254" i="105"/>
  <c r="Y314" i="105"/>
  <c r="J306" i="105"/>
  <c r="AA12" i="105"/>
  <c r="AA205" i="105"/>
  <c r="O225" i="107"/>
  <c r="O207" i="106"/>
  <c r="O225" i="103"/>
  <c r="AH162" i="55"/>
  <c r="AH12" i="55" s="1"/>
  <c r="AT162" i="55"/>
  <c r="AT12" i="55" s="1"/>
  <c r="BF162" i="55"/>
  <c r="BF205" i="55" s="1"/>
  <c r="BF207" i="55" s="1"/>
  <c r="T205" i="55"/>
  <c r="T159" i="55"/>
  <c r="AF251" i="55"/>
  <c r="BE251" i="55"/>
  <c r="BF251" i="55"/>
  <c r="BD251" i="55"/>
  <c r="BA251" i="55"/>
  <c r="BB251" i="55"/>
  <c r="AR251" i="55"/>
  <c r="T14" i="55"/>
  <c r="T193" i="55"/>
  <c r="V162" i="55"/>
  <c r="V12" i="55" s="1"/>
  <c r="AR205" i="55"/>
  <c r="AR189" i="55"/>
  <c r="AR159" i="55"/>
  <c r="AK159" i="55" s="1"/>
  <c r="BD205" i="55"/>
  <c r="BD189" i="55"/>
  <c r="BD159" i="55"/>
  <c r="AW159" i="55" s="1"/>
  <c r="AF205" i="55"/>
  <c r="AF189" i="55"/>
  <c r="AF159" i="55"/>
  <c r="Y159" i="55" s="1"/>
  <c r="AZ251" i="55"/>
  <c r="BG251" i="55"/>
  <c r="AY251" i="55"/>
  <c r="P106" i="23"/>
  <c r="Q106" i="23"/>
  <c r="J318" i="105" l="1"/>
  <c r="AC205" i="107"/>
  <c r="AC207" i="107" s="1"/>
  <c r="AC12" i="107"/>
  <c r="AA12" i="107"/>
  <c r="AA205" i="107"/>
  <c r="Y256" i="107"/>
  <c r="J256" i="107" s="1"/>
  <c r="J254" i="107"/>
  <c r="Y322" i="107"/>
  <c r="J316" i="107"/>
  <c r="Y318" i="107"/>
  <c r="AI205" i="107"/>
  <c r="AI207" i="107" s="1"/>
  <c r="AI12" i="107"/>
  <c r="AB12" i="107"/>
  <c r="AB205" i="107"/>
  <c r="AB207" i="107" s="1"/>
  <c r="AB225" i="107" s="1"/>
  <c r="AA12" i="104"/>
  <c r="AA205" i="104"/>
  <c r="J316" i="104"/>
  <c r="Y318" i="104"/>
  <c r="AB205" i="104"/>
  <c r="AB207" i="104" s="1"/>
  <c r="AB225" i="104" s="1"/>
  <c r="AB12" i="104"/>
  <c r="AC205" i="104"/>
  <c r="AC207" i="104" s="1"/>
  <c r="AC12" i="104"/>
  <c r="AI205" i="104"/>
  <c r="AI207" i="104" s="1"/>
  <c r="AI12" i="104"/>
  <c r="J254" i="104"/>
  <c r="Y256" i="104"/>
  <c r="J256" i="104" s="1"/>
  <c r="Y322" i="104"/>
  <c r="AC12" i="103"/>
  <c r="AC205" i="103"/>
  <c r="AC207" i="103" s="1"/>
  <c r="AB12" i="103"/>
  <c r="AB205" i="103"/>
  <c r="AB207" i="103" s="1"/>
  <c r="AB225" i="103" s="1"/>
  <c r="Y256" i="103"/>
  <c r="J256" i="103" s="1"/>
  <c r="J254" i="103"/>
  <c r="Y322" i="103"/>
  <c r="AI12" i="103"/>
  <c r="AI205" i="103"/>
  <c r="AI207" i="103" s="1"/>
  <c r="Y318" i="103"/>
  <c r="J316" i="103"/>
  <c r="AA12" i="103"/>
  <c r="AA205" i="103"/>
  <c r="J256" i="105"/>
  <c r="J256" i="106"/>
  <c r="Y12" i="106"/>
  <c r="Y134" i="106" s="1"/>
  <c r="J318" i="106"/>
  <c r="Y320" i="105"/>
  <c r="Y205" i="105"/>
  <c r="AA207" i="105"/>
  <c r="Y12" i="105"/>
  <c r="Y134" i="105" s="1"/>
  <c r="Y207" i="106"/>
  <c r="AA225" i="106"/>
  <c r="O225" i="106"/>
  <c r="AT205" i="55"/>
  <c r="AT207" i="55" s="1"/>
  <c r="BF12" i="55"/>
  <c r="AH205" i="55"/>
  <c r="AH207" i="55" s="1"/>
  <c r="T207" i="55"/>
  <c r="AR207" i="55"/>
  <c r="AT249" i="55" s="1"/>
  <c r="AF207" i="55"/>
  <c r="AA249" i="55" s="1"/>
  <c r="BD207" i="55"/>
  <c r="BA249" i="55" s="1"/>
  <c r="T165" i="55"/>
  <c r="M159" i="55"/>
  <c r="J159" i="55" s="1"/>
  <c r="T162" i="55"/>
  <c r="T12" i="55" s="1"/>
  <c r="T251" i="55"/>
  <c r="AR165" i="55"/>
  <c r="AR13" i="55" s="1"/>
  <c r="AR162" i="55"/>
  <c r="AR12" i="55" s="1"/>
  <c r="V205" i="55"/>
  <c r="V207" i="55" s="1"/>
  <c r="AF162" i="55"/>
  <c r="AF12" i="55" s="1"/>
  <c r="AF165" i="55"/>
  <c r="AF13" i="55" s="1"/>
  <c r="BD193" i="55"/>
  <c r="BD14" i="55"/>
  <c r="AR193" i="55"/>
  <c r="AR14" i="55"/>
  <c r="BD165" i="55"/>
  <c r="BD13" i="55" s="1"/>
  <c r="BD162" i="55"/>
  <c r="BD12" i="55" s="1"/>
  <c r="AF193" i="55"/>
  <c r="AF14" i="55"/>
  <c r="AW251" i="55"/>
  <c r="M139" i="23"/>
  <c r="Y12" i="107" l="1"/>
  <c r="Y134" i="107" s="1"/>
  <c r="Y205" i="107"/>
  <c r="AA207" i="107"/>
  <c r="J318" i="107"/>
  <c r="Y320" i="107"/>
  <c r="Y12" i="104"/>
  <c r="Y134" i="104" s="1"/>
  <c r="J318" i="104"/>
  <c r="Y320" i="104"/>
  <c r="Y205" i="104"/>
  <c r="AA207" i="104"/>
  <c r="Y12" i="103"/>
  <c r="Y134" i="103" s="1"/>
  <c r="Y205" i="103"/>
  <c r="AA207" i="103"/>
  <c r="J318" i="103"/>
  <c r="Y320" i="103"/>
  <c r="AA225" i="105"/>
  <c r="Y207" i="105"/>
  <c r="Q249" i="55"/>
  <c r="AR249" i="55"/>
  <c r="O249" i="55"/>
  <c r="U249" i="55"/>
  <c r="T249" i="55"/>
  <c r="P249" i="55"/>
  <c r="W249" i="55"/>
  <c r="AQ249" i="55"/>
  <c r="V249" i="55"/>
  <c r="R249" i="55"/>
  <c r="AM249" i="55"/>
  <c r="BC249" i="55"/>
  <c r="AG249" i="55"/>
  <c r="AF249" i="55"/>
  <c r="AD249" i="55"/>
  <c r="AP249" i="55"/>
  <c r="AO249" i="55"/>
  <c r="AZ249" i="55"/>
  <c r="AI249" i="55"/>
  <c r="AS249" i="55"/>
  <c r="AY249" i="55"/>
  <c r="AE249" i="55"/>
  <c r="S249" i="55"/>
  <c r="AB249" i="55"/>
  <c r="BG249" i="55"/>
  <c r="BB249" i="55"/>
  <c r="BF249" i="55"/>
  <c r="AC249" i="55"/>
  <c r="BD249" i="55"/>
  <c r="AN249" i="55"/>
  <c r="AH249" i="55"/>
  <c r="BE249" i="55"/>
  <c r="AU249" i="55"/>
  <c r="S311" i="55"/>
  <c r="T13" i="55"/>
  <c r="T311" i="55"/>
  <c r="V311" i="55"/>
  <c r="W311" i="55"/>
  <c r="P311" i="55"/>
  <c r="U311" i="55"/>
  <c r="R311" i="55"/>
  <c r="O311" i="55"/>
  <c r="Q311" i="55"/>
  <c r="AY311" i="55"/>
  <c r="BD311" i="55"/>
  <c r="BG311" i="55"/>
  <c r="BF311" i="55"/>
  <c r="BA311" i="55"/>
  <c r="BC311" i="55"/>
  <c r="BE311" i="55"/>
  <c r="BB311" i="55"/>
  <c r="AZ311" i="55"/>
  <c r="AF311" i="55"/>
  <c r="AB311" i="55"/>
  <c r="AE311" i="55"/>
  <c r="AA311" i="55"/>
  <c r="AH311" i="55"/>
  <c r="AC311" i="55"/>
  <c r="AD311" i="55"/>
  <c r="AG311" i="55"/>
  <c r="AI311" i="55"/>
  <c r="AM311" i="55"/>
  <c r="AR311" i="55"/>
  <c r="AS311" i="55"/>
  <c r="AT311" i="55"/>
  <c r="AO311" i="55"/>
  <c r="AU311" i="55"/>
  <c r="AP311" i="55"/>
  <c r="AN311" i="55"/>
  <c r="AQ311" i="55"/>
  <c r="I139" i="23"/>
  <c r="N124" i="23"/>
  <c r="AA225" i="107" l="1"/>
  <c r="Y207" i="107"/>
  <c r="AA225" i="104"/>
  <c r="Y207" i="104"/>
  <c r="AA225" i="103"/>
  <c r="Y207" i="103"/>
  <c r="Q133" i="24"/>
  <c r="Q145" i="24" l="1"/>
  <c r="O105" i="55"/>
  <c r="O122" i="55" l="1"/>
  <c r="O118" i="55"/>
  <c r="O106" i="55"/>
  <c r="O200" i="55"/>
  <c r="AM105" i="55" l="1"/>
  <c r="AM122" i="55" s="1"/>
  <c r="AM118" i="55" l="1"/>
  <c r="AM200" i="55"/>
  <c r="AM106" i="55"/>
  <c r="O251" i="55"/>
  <c r="O313" i="55"/>
  <c r="U251" i="55"/>
  <c r="U313" i="55"/>
  <c r="S251" i="55"/>
  <c r="S313" i="55"/>
  <c r="AO313" i="55"/>
  <c r="AO251" i="55"/>
  <c r="Q251" i="55"/>
  <c r="Q313" i="55"/>
  <c r="AN251" i="55"/>
  <c r="AN313" i="55"/>
  <c r="AU251" i="55"/>
  <c r="AU313" i="55"/>
  <c r="AH251" i="55"/>
  <c r="AH313" i="55"/>
  <c r="R251" i="55"/>
  <c r="R313" i="55"/>
  <c r="AC313" i="55"/>
  <c r="AC251" i="55"/>
  <c r="W251" i="55"/>
  <c r="W313" i="55"/>
  <c r="AQ313" i="55"/>
  <c r="AQ251" i="55"/>
  <c r="AT251" i="55"/>
  <c r="AT313" i="55"/>
  <c r="AD251" i="55"/>
  <c r="AD313" i="55"/>
  <c r="AM251" i="55"/>
  <c r="AM313" i="55"/>
  <c r="AP251" i="55"/>
  <c r="AP313" i="55"/>
  <c r="AE313" i="55"/>
  <c r="AE251" i="55"/>
  <c r="V251" i="55"/>
  <c r="V313" i="55"/>
  <c r="AS313" i="55"/>
  <c r="AS251" i="55"/>
  <c r="P313" i="55"/>
  <c r="P251" i="55"/>
  <c r="AB251" i="55"/>
  <c r="AB313" i="55"/>
  <c r="AG313" i="55"/>
  <c r="AG251" i="55"/>
  <c r="AK313" i="55" l="1"/>
  <c r="I194" i="23" s="1"/>
  <c r="M313" i="55"/>
  <c r="I164" i="23" s="1"/>
  <c r="AK251" i="55"/>
  <c r="M251" i="55"/>
  <c r="I94" i="23" s="1"/>
  <c r="M124" i="23"/>
  <c r="I124" i="23" l="1"/>
  <c r="AT194" i="55"/>
  <c r="AU194" i="55"/>
  <c r="V194" i="55" l="1"/>
  <c r="W194" i="55"/>
  <c r="J78" i="23"/>
  <c r="K78" i="23"/>
  <c r="K79" i="23"/>
  <c r="J81" i="23"/>
  <c r="J80" i="23"/>
  <c r="K81" i="23"/>
  <c r="J79" i="23"/>
  <c r="K80" i="23"/>
  <c r="J133" i="24" l="1"/>
  <c r="J145" i="24" l="1"/>
  <c r="I273" i="24"/>
  <c r="J273" i="24" s="1"/>
  <c r="K273" i="24" s="1"/>
  <c r="L273" i="24" s="1"/>
  <c r="M273" i="24" s="1"/>
  <c r="N273" i="24" s="1"/>
  <c r="O273" i="24" s="1"/>
  <c r="P273" i="24" s="1"/>
  <c r="Q273" i="24" s="1"/>
  <c r="R273" i="24" s="1"/>
  <c r="S273" i="24" s="1"/>
  <c r="T273" i="24" s="1"/>
  <c r="R12" i="23"/>
  <c r="O18" i="23"/>
  <c r="R18" i="23"/>
  <c r="P18" i="23"/>
  <c r="P12" i="23"/>
  <c r="M12" i="23"/>
  <c r="Q18" i="23"/>
  <c r="O12" i="23"/>
  <c r="N18" i="23"/>
  <c r="Q32" i="23" l="1" a="1"/>
  <c r="Q32" i="23" s="1"/>
  <c r="P32" i="23" a="1"/>
  <c r="P32" i="23" s="1"/>
  <c r="O32" i="23" a="1"/>
  <c r="O32" i="23" s="1"/>
  <c r="N32" i="23" a="1"/>
  <c r="N32" i="23" s="1"/>
  <c r="R32" i="23" a="1"/>
  <c r="R32" i="23" s="1"/>
  <c r="R22" i="23"/>
  <c r="N22" i="23"/>
  <c r="Q22" i="23"/>
  <c r="O22" i="23"/>
  <c r="P22" i="23"/>
  <c r="O89" i="23"/>
  <c r="O91" i="23"/>
  <c r="P44" i="23"/>
  <c r="R91" i="23"/>
  <c r="R56" i="23"/>
  <c r="O90" i="23"/>
  <c r="Q25" i="23"/>
  <c r="N88" i="23"/>
  <c r="N44" i="23"/>
  <c r="P50" i="23"/>
  <c r="Q56" i="23"/>
  <c r="N38" i="23"/>
  <c r="Q91" i="23"/>
  <c r="O50" i="23"/>
  <c r="Q89" i="23"/>
  <c r="O88" i="23"/>
  <c r="N92" i="23"/>
  <c r="N89" i="23"/>
  <c r="R25" i="23"/>
  <c r="Q50" i="23"/>
  <c r="O38" i="23"/>
  <c r="N56" i="23"/>
  <c r="N90" i="23"/>
  <c r="O92" i="23"/>
  <c r="Q90" i="23"/>
  <c r="P56" i="23"/>
  <c r="N25" i="23"/>
  <c r="P92" i="23"/>
  <c r="R90" i="23"/>
  <c r="R50" i="23"/>
  <c r="O56" i="23"/>
  <c r="Q88" i="23"/>
  <c r="Q92" i="23"/>
  <c r="P90" i="23"/>
  <c r="R38" i="23"/>
  <c r="Q38" i="23"/>
  <c r="O25" i="23"/>
  <c r="P38" i="23"/>
  <c r="P25" i="23"/>
  <c r="N91" i="23"/>
  <c r="O44" i="23"/>
  <c r="Q44" i="23"/>
  <c r="N50" i="23"/>
  <c r="R88" i="23"/>
  <c r="R44" i="23"/>
  <c r="N29" i="23" l="1"/>
  <c r="O29" i="23"/>
  <c r="Q29" i="23"/>
  <c r="P29" i="23"/>
  <c r="R29" i="23"/>
  <c r="O179" i="23"/>
  <c r="N208" i="23"/>
  <c r="N173" i="23"/>
  <c r="Q173" i="23"/>
  <c r="N176" i="23"/>
  <c r="Q188" i="23"/>
  <c r="P190" i="23"/>
  <c r="Q238" i="23"/>
  <c r="R190" i="23"/>
  <c r="R160" i="23"/>
  <c r="P205" i="23"/>
  <c r="Q158" i="23"/>
  <c r="R207" i="23"/>
  <c r="N203" i="23"/>
  <c r="Q209" i="23"/>
  <c r="N161" i="23"/>
  <c r="Q208" i="23"/>
  <c r="R203" i="23"/>
  <c r="N160" i="23"/>
  <c r="O207" i="23"/>
  <c r="N175" i="23"/>
  <c r="Q206" i="23"/>
  <c r="P193" i="23"/>
  <c r="Q175" i="23"/>
  <c r="N178" i="23"/>
  <c r="O158" i="23"/>
  <c r="P191" i="23"/>
  <c r="P175" i="23"/>
  <c r="P209" i="23"/>
  <c r="O205" i="23"/>
  <c r="O241" i="23"/>
  <c r="R174" i="23"/>
  <c r="Q205" i="23"/>
  <c r="R241" i="23"/>
  <c r="R189" i="23"/>
  <c r="O191" i="23"/>
  <c r="R162" i="23"/>
  <c r="N207" i="23"/>
  <c r="N189" i="23"/>
  <c r="O209" i="23"/>
  <c r="N162" i="23"/>
  <c r="R191" i="23"/>
  <c r="N209" i="23"/>
  <c r="O194" i="23"/>
  <c r="P204" i="23"/>
  <c r="P207" i="23"/>
  <c r="P177" i="23"/>
  <c r="N179" i="23"/>
  <c r="R238" i="23"/>
  <c r="R240" i="23"/>
  <c r="P192" i="23"/>
  <c r="Q177" i="23"/>
  <c r="O240" i="23"/>
  <c r="P173" i="23"/>
  <c r="P188" i="23"/>
  <c r="P162" i="23"/>
  <c r="N174" i="23"/>
  <c r="Q204" i="23"/>
  <c r="Q192" i="23"/>
  <c r="N190" i="23"/>
  <c r="O204" i="23"/>
  <c r="P203" i="23"/>
  <c r="O176" i="23"/>
  <c r="P178" i="23"/>
  <c r="O193" i="23"/>
  <c r="N191" i="23"/>
  <c r="Q193" i="23"/>
  <c r="Q179" i="23"/>
  <c r="R177" i="23"/>
  <c r="N194" i="23"/>
  <c r="P160" i="23"/>
  <c r="P206" i="23"/>
  <c r="Q191" i="23"/>
  <c r="R173" i="23"/>
  <c r="O189" i="23"/>
  <c r="P176" i="23"/>
  <c r="O177" i="23"/>
  <c r="O203" i="23"/>
  <c r="P194" i="23"/>
  <c r="R208" i="23"/>
  <c r="R193" i="23"/>
  <c r="N240" i="23"/>
  <c r="O160" i="23"/>
  <c r="Q160" i="23"/>
  <c r="N158" i="23"/>
  <c r="R161" i="23"/>
  <c r="N159" i="23"/>
  <c r="N177" i="23"/>
  <c r="R158" i="23"/>
  <c r="O161" i="23"/>
  <c r="P208" i="23"/>
  <c r="Q159" i="23"/>
  <c r="R188" i="23"/>
  <c r="O162" i="23"/>
  <c r="R176" i="23"/>
  <c r="P189" i="23"/>
  <c r="R194" i="23"/>
  <c r="O192" i="23"/>
  <c r="N206" i="23"/>
  <c r="R178" i="23"/>
  <c r="Q237" i="23"/>
  <c r="Q241" i="23"/>
  <c r="O190" i="23"/>
  <c r="O238" i="23"/>
  <c r="N241" i="23"/>
  <c r="N238" i="23"/>
  <c r="R206" i="23"/>
  <c r="Q207" i="23"/>
  <c r="R192" i="23"/>
  <c r="P241" i="23"/>
  <c r="R237" i="23"/>
  <c r="R179" i="23"/>
  <c r="Q161" i="23"/>
  <c r="N193" i="23"/>
  <c r="N188" i="23"/>
  <c r="P179" i="23"/>
  <c r="Q194" i="23"/>
  <c r="N192" i="23"/>
  <c r="Q190" i="23"/>
  <c r="Q176" i="23"/>
  <c r="R92" i="23"/>
  <c r="O188" i="23"/>
  <c r="N237" i="23"/>
  <c r="Q162" i="23"/>
  <c r="O178" i="23"/>
  <c r="Q240" i="23"/>
  <c r="O208" i="23"/>
  <c r="Q174" i="23"/>
  <c r="P174" i="23"/>
  <c r="N204" i="23"/>
  <c r="O206" i="23"/>
  <c r="Q178" i="23"/>
  <c r="R89" i="23"/>
  <c r="R205" i="23"/>
  <c r="R209" i="23"/>
  <c r="R204" i="23"/>
  <c r="O173" i="23"/>
  <c r="N205" i="23"/>
  <c r="O159" i="23"/>
  <c r="R159" i="23"/>
  <c r="R175" i="23"/>
  <c r="Q189" i="23"/>
  <c r="Q203" i="23"/>
  <c r="O237" i="23"/>
  <c r="O175" i="23"/>
  <c r="O174" i="23"/>
  <c r="Q12" i="23"/>
  <c r="N12" i="23"/>
  <c r="M18" i="23"/>
  <c r="M32" i="23" l="1" a="1"/>
  <c r="M32" i="23" s="1"/>
  <c r="M22" i="23"/>
  <c r="M62" i="23"/>
  <c r="M25" i="23"/>
  <c r="M29" i="23" l="1"/>
  <c r="M38" i="23"/>
  <c r="M242" i="23"/>
  <c r="M50" i="23"/>
  <c r="M94" i="23"/>
  <c r="M194" i="23"/>
  <c r="M56" i="23"/>
  <c r="M44" i="23"/>
  <c r="M209" i="23"/>
  <c r="I311" i="24" l="1"/>
  <c r="J311" i="24" l="1"/>
  <c r="AI251" i="55" l="1"/>
  <c r="AI313" i="55"/>
  <c r="AA251" i="55"/>
  <c r="AA313" i="55"/>
  <c r="Y251" i="55" l="1"/>
  <c r="J251" i="55" s="1"/>
  <c r="Y313" i="55"/>
  <c r="AH194" i="55"/>
  <c r="AI194" i="55"/>
  <c r="M109" i="23"/>
  <c r="M179" i="23"/>
  <c r="I109" i="23" l="1"/>
  <c r="J313" i="55"/>
  <c r="I179" i="23"/>
  <c r="AY105" i="55"/>
  <c r="AY122" i="55" s="1"/>
  <c r="AA105" i="55"/>
  <c r="AA122" i="55" l="1"/>
  <c r="AA200" i="55"/>
  <c r="AA118" i="55"/>
  <c r="AY118" i="55"/>
  <c r="AY200" i="55"/>
  <c r="AY106" i="55"/>
  <c r="AA106" i="55"/>
  <c r="AK64" i="55"/>
  <c r="AR238" i="55" s="1"/>
  <c r="AK65" i="55"/>
  <c r="AR239" i="55" s="1"/>
  <c r="AO78" i="55"/>
  <c r="AN78" i="55"/>
  <c r="AK67" i="55"/>
  <c r="AQ78" i="55"/>
  <c r="AP78" i="55"/>
  <c r="AK66" i="55"/>
  <c r="AG78" i="55"/>
  <c r="Y69" i="55"/>
  <c r="Y67" i="55"/>
  <c r="AE78" i="55"/>
  <c r="Y64" i="55"/>
  <c r="AF238" i="55" s="1"/>
  <c r="AB78" i="55"/>
  <c r="Y66" i="55"/>
  <c r="AD78" i="55"/>
  <c r="Y65" i="55"/>
  <c r="AF239" i="55" s="1"/>
  <c r="AC78" i="55"/>
  <c r="AH250" i="55" l="1"/>
  <c r="AF250" i="55"/>
  <c r="AG250" i="55"/>
  <c r="AB250" i="55"/>
  <c r="AI250" i="55"/>
  <c r="AE250" i="55"/>
  <c r="AD250" i="55"/>
  <c r="AC250" i="55"/>
  <c r="AP157" i="55"/>
  <c r="AP174" i="55" s="1"/>
  <c r="AO239" i="55"/>
  <c r="AU239" i="55"/>
  <c r="AN239" i="55"/>
  <c r="AQ239" i="55"/>
  <c r="AT239" i="55"/>
  <c r="AP239" i="55"/>
  <c r="AM239" i="55"/>
  <c r="AS239" i="55"/>
  <c r="AA239" i="55"/>
  <c r="AI239" i="55"/>
  <c r="AG239" i="55"/>
  <c r="AD239" i="55"/>
  <c r="AE239" i="55"/>
  <c r="AH239" i="55"/>
  <c r="AB239" i="55"/>
  <c r="AC239" i="55"/>
  <c r="AS238" i="55"/>
  <c r="AO238" i="55"/>
  <c r="AU238" i="55"/>
  <c r="AQ238" i="55"/>
  <c r="AN238" i="55"/>
  <c r="AT238" i="55"/>
  <c r="AM238" i="55"/>
  <c r="AP238" i="55"/>
  <c r="AI238" i="55"/>
  <c r="AG238" i="55"/>
  <c r="AD238" i="55"/>
  <c r="AE238" i="55"/>
  <c r="AB238" i="55"/>
  <c r="AH238" i="55"/>
  <c r="AC238" i="55"/>
  <c r="AA238" i="55"/>
  <c r="AC88" i="55"/>
  <c r="AC91" i="55" s="1"/>
  <c r="AC217" i="55" s="1"/>
  <c r="AN88" i="55"/>
  <c r="AG157" i="55"/>
  <c r="AG174" i="55" s="1"/>
  <c r="AF237" i="55"/>
  <c r="AD157" i="55"/>
  <c r="AD174" i="55" s="1"/>
  <c r="AR237" i="55"/>
  <c r="AM78" i="55"/>
  <c r="AB88" i="55"/>
  <c r="AQ157" i="55"/>
  <c r="AQ174" i="55" s="1"/>
  <c r="AO88" i="55"/>
  <c r="AO91" i="55" s="1"/>
  <c r="AO217" i="55" s="1"/>
  <c r="AE157" i="55"/>
  <c r="AE174" i="55" s="1"/>
  <c r="K293" i="24"/>
  <c r="R293" i="24"/>
  <c r="M293" i="24"/>
  <c r="N293" i="24"/>
  <c r="I293" i="24"/>
  <c r="Q293" i="24"/>
  <c r="L293" i="24"/>
  <c r="P293" i="24"/>
  <c r="O293" i="24"/>
  <c r="J293" i="24"/>
  <c r="S69" i="105" l="1"/>
  <c r="S69" i="103"/>
  <c r="S69" i="106"/>
  <c r="S69" i="104"/>
  <c r="S69" i="107"/>
  <c r="S69" i="55"/>
  <c r="O69" i="55"/>
  <c r="AB97" i="55"/>
  <c r="AB115" i="55" s="1"/>
  <c r="AN97" i="55"/>
  <c r="AN99" i="55" s="1"/>
  <c r="AS78" i="55"/>
  <c r="AK69" i="55"/>
  <c r="AB191" i="55"/>
  <c r="AN191" i="55"/>
  <c r="AN195" i="55" s="1"/>
  <c r="AQ162" i="55"/>
  <c r="AQ165" i="55"/>
  <c r="AG162" i="55"/>
  <c r="AA250" i="55" s="1"/>
  <c r="AG165" i="55"/>
  <c r="AG13" i="55" s="1"/>
  <c r="AP162" i="55"/>
  <c r="AP165" i="55"/>
  <c r="AD162" i="55"/>
  <c r="AD165" i="55"/>
  <c r="AE162" i="55"/>
  <c r="AE12" i="55" s="1"/>
  <c r="AE165" i="55"/>
  <c r="M68" i="55"/>
  <c r="J68" i="55" s="1"/>
  <c r="AS237" i="55"/>
  <c r="AQ237" i="55"/>
  <c r="AP237" i="55"/>
  <c r="AN237" i="55"/>
  <c r="AO237" i="55"/>
  <c r="AU237" i="55"/>
  <c r="AT237" i="55"/>
  <c r="AM237" i="55"/>
  <c r="AA237" i="55"/>
  <c r="AG237" i="55"/>
  <c r="AD237" i="55"/>
  <c r="AC237" i="55"/>
  <c r="AE237" i="55"/>
  <c r="AB237" i="55"/>
  <c r="AI237" i="55"/>
  <c r="AH237" i="55"/>
  <c r="Y78" i="55"/>
  <c r="Y239" i="55"/>
  <c r="Y238" i="55"/>
  <c r="AK239" i="55"/>
  <c r="AM88" i="55"/>
  <c r="AK238" i="55"/>
  <c r="AA88" i="55"/>
  <c r="AS157" i="55" l="1"/>
  <c r="AS174" i="55" s="1"/>
  <c r="AS250" i="55"/>
  <c r="AR250" i="55"/>
  <c r="AQ250" i="55"/>
  <c r="AO250" i="55"/>
  <c r="AT250" i="55"/>
  <c r="AU250" i="55"/>
  <c r="AP250" i="55"/>
  <c r="AN250" i="55"/>
  <c r="AM250" i="55"/>
  <c r="M69" i="104"/>
  <c r="J69" i="104" s="1"/>
  <c r="U78" i="104"/>
  <c r="U78" i="55"/>
  <c r="M69" i="106"/>
  <c r="J69" i="106" s="1"/>
  <c r="U78" i="106"/>
  <c r="U78" i="103"/>
  <c r="M69" i="103"/>
  <c r="J69" i="103" s="1"/>
  <c r="U78" i="107"/>
  <c r="M69" i="107"/>
  <c r="J69" i="107" s="1"/>
  <c r="U78" i="105"/>
  <c r="M69" i="105"/>
  <c r="J69" i="105" s="1"/>
  <c r="AN110" i="55"/>
  <c r="AN213" i="55" s="1"/>
  <c r="AR268" i="55" s="1"/>
  <c r="AB99" i="55"/>
  <c r="AN158" i="55"/>
  <c r="AN115" i="55"/>
  <c r="AN138" i="55"/>
  <c r="AN147" i="55" s="1"/>
  <c r="AN149" i="55" s="1"/>
  <c r="AB98" i="55"/>
  <c r="AB158" i="55"/>
  <c r="AN98" i="55"/>
  <c r="AS268" i="55"/>
  <c r="AO268" i="55"/>
  <c r="AU268" i="55"/>
  <c r="AP268" i="55"/>
  <c r="AT268" i="55"/>
  <c r="AQ268" i="55"/>
  <c r="AM91" i="55"/>
  <c r="AM217" i="55" s="1"/>
  <c r="AM272" i="55" s="1"/>
  <c r="AQ247" i="55"/>
  <c r="AP12" i="55"/>
  <c r="AE247" i="55"/>
  <c r="AD12" i="55"/>
  <c r="AG12" i="55"/>
  <c r="AQ205" i="55"/>
  <c r="AQ207" i="55" s="1"/>
  <c r="AQ12" i="55"/>
  <c r="AR309" i="55"/>
  <c r="AP13" i="55"/>
  <c r="AF310" i="55"/>
  <c r="AE13" i="55"/>
  <c r="AF309" i="55"/>
  <c r="AD13" i="55"/>
  <c r="AR310" i="55"/>
  <c r="AQ13" i="55"/>
  <c r="AK78" i="55"/>
  <c r="AA91" i="55"/>
  <c r="AP248" i="55"/>
  <c r="AQ248" i="55"/>
  <c r="AN248" i="55"/>
  <c r="AU248" i="55"/>
  <c r="AO248" i="55"/>
  <c r="AE248" i="55"/>
  <c r="AD248" i="55"/>
  <c r="AC248" i="55"/>
  <c r="AO247" i="55"/>
  <c r="AP247" i="55"/>
  <c r="AP205" i="55"/>
  <c r="AP207" i="55" s="1"/>
  <c r="AC247" i="55"/>
  <c r="AD247" i="55"/>
  <c r="AF247" i="55"/>
  <c r="AD205" i="55"/>
  <c r="AD207" i="55" s="1"/>
  <c r="AG205" i="55"/>
  <c r="AG207" i="55" s="1"/>
  <c r="AF248" i="55"/>
  <c r="AE205" i="55"/>
  <c r="AE207" i="55" s="1"/>
  <c r="AS248" i="55"/>
  <c r="AR248" i="55"/>
  <c r="AT248" i="55"/>
  <c r="AS247" i="55"/>
  <c r="AR247" i="55"/>
  <c r="AK249" i="55"/>
  <c r="AF312" i="55"/>
  <c r="Y311" i="55"/>
  <c r="AH248" i="55"/>
  <c r="AG248" i="55"/>
  <c r="AH247" i="55"/>
  <c r="AG247" i="55"/>
  <c r="AT247" i="55"/>
  <c r="AS190" i="55"/>
  <c r="AS194" i="55" s="1"/>
  <c r="AP190" i="55"/>
  <c r="AP194" i="55" s="1"/>
  <c r="AE190" i="55"/>
  <c r="AE194" i="55" s="1"/>
  <c r="AD190" i="55"/>
  <c r="AD194" i="55" s="1"/>
  <c r="AQ190" i="55"/>
  <c r="AQ194" i="55" s="1"/>
  <c r="AG190" i="55"/>
  <c r="AG194" i="55" s="1"/>
  <c r="AM248" i="55"/>
  <c r="AB110" i="55"/>
  <c r="AB138" i="55"/>
  <c r="AB147" i="55" s="1"/>
  <c r="AB248" i="55"/>
  <c r="AA248" i="55"/>
  <c r="AI248" i="55"/>
  <c r="AB247" i="55"/>
  <c r="AK237" i="55"/>
  <c r="AA247" i="55"/>
  <c r="AI247" i="55"/>
  <c r="AD309" i="55"/>
  <c r="AB309" i="55"/>
  <c r="AA309" i="55"/>
  <c r="AI309" i="55"/>
  <c r="AH309" i="55"/>
  <c r="AG309" i="55"/>
  <c r="AE309" i="55"/>
  <c r="AC309" i="55"/>
  <c r="AT309" i="55"/>
  <c r="AS309" i="55"/>
  <c r="AQ309" i="55"/>
  <c r="AP309" i="55"/>
  <c r="AO309" i="55"/>
  <c r="AN309" i="55"/>
  <c r="AM309" i="55"/>
  <c r="AU309" i="55"/>
  <c r="AI310" i="55"/>
  <c r="AH310" i="55"/>
  <c r="AG310" i="55"/>
  <c r="AE310" i="55"/>
  <c r="AD310" i="55"/>
  <c r="AC310" i="55"/>
  <c r="AA310" i="55"/>
  <c r="AB310" i="55"/>
  <c r="AH312" i="55"/>
  <c r="AG312" i="55"/>
  <c r="AI312" i="55"/>
  <c r="AE312" i="55"/>
  <c r="AD312" i="55"/>
  <c r="AC312" i="55"/>
  <c r="AB312" i="55"/>
  <c r="AA312" i="55"/>
  <c r="AU247" i="55"/>
  <c r="AN247" i="55"/>
  <c r="AM247" i="55"/>
  <c r="AS310" i="55"/>
  <c r="AT310" i="55"/>
  <c r="AP310" i="55"/>
  <c r="AO310" i="55"/>
  <c r="AN310" i="55"/>
  <c r="AM310" i="55"/>
  <c r="AQ310" i="55"/>
  <c r="AU310" i="55"/>
  <c r="AS162" i="55" l="1"/>
  <c r="AS12" i="55" s="1"/>
  <c r="AS165" i="55"/>
  <c r="W250" i="106"/>
  <c r="W252" i="106" s="1"/>
  <c r="W258" i="106" s="1"/>
  <c r="W260" i="106" s="1"/>
  <c r="V250" i="106"/>
  <c r="U250" i="106"/>
  <c r="T250" i="106"/>
  <c r="T252" i="106" s="1"/>
  <c r="T258" i="106" s="1"/>
  <c r="T260" i="106" s="1"/>
  <c r="S250" i="106"/>
  <c r="R250" i="106"/>
  <c r="Q250" i="106"/>
  <c r="P250" i="106"/>
  <c r="T250" i="105"/>
  <c r="T252" i="105" s="1"/>
  <c r="T258" i="105" s="1"/>
  <c r="T260" i="105" s="1"/>
  <c r="S250" i="105"/>
  <c r="R250" i="105"/>
  <c r="Q250" i="105"/>
  <c r="P250" i="105"/>
  <c r="W250" i="105"/>
  <c r="W252" i="105" s="1"/>
  <c r="W258" i="105" s="1"/>
  <c r="W260" i="105" s="1"/>
  <c r="V250" i="105"/>
  <c r="V252" i="105" s="1"/>
  <c r="V258" i="105" s="1"/>
  <c r="V260" i="105" s="1"/>
  <c r="U250" i="105"/>
  <c r="U252" i="105" s="1"/>
  <c r="U258" i="105" s="1"/>
  <c r="U260" i="105" s="1"/>
  <c r="Q250" i="107"/>
  <c r="P250" i="107"/>
  <c r="W250" i="107"/>
  <c r="W252" i="107" s="1"/>
  <c r="W258" i="107" s="1"/>
  <c r="W260" i="107" s="1"/>
  <c r="V250" i="107"/>
  <c r="V252" i="107" s="1"/>
  <c r="V258" i="107" s="1"/>
  <c r="V260" i="107" s="1"/>
  <c r="U250" i="107"/>
  <c r="U252" i="107" s="1"/>
  <c r="U258" i="107" s="1"/>
  <c r="U260" i="107" s="1"/>
  <c r="T250" i="107"/>
  <c r="T252" i="107" s="1"/>
  <c r="T258" i="107" s="1"/>
  <c r="T260" i="107" s="1"/>
  <c r="S250" i="107"/>
  <c r="R250" i="107"/>
  <c r="P250" i="104"/>
  <c r="V250" i="104"/>
  <c r="V252" i="104" s="1"/>
  <c r="V258" i="104" s="1"/>
  <c r="V260" i="104" s="1"/>
  <c r="W250" i="104"/>
  <c r="W252" i="104" s="1"/>
  <c r="W258" i="104" s="1"/>
  <c r="W260" i="104" s="1"/>
  <c r="Q250" i="104"/>
  <c r="R250" i="104"/>
  <c r="U250" i="104"/>
  <c r="U252" i="104" s="1"/>
  <c r="U258" i="104" s="1"/>
  <c r="U260" i="104" s="1"/>
  <c r="T250" i="104"/>
  <c r="T252" i="104" s="1"/>
  <c r="T258" i="104" s="1"/>
  <c r="T260" i="104" s="1"/>
  <c r="S250" i="104"/>
  <c r="R250" i="103"/>
  <c r="T250" i="103"/>
  <c r="T252" i="103" s="1"/>
  <c r="T258" i="103" s="1"/>
  <c r="T260" i="103" s="1"/>
  <c r="S250" i="103"/>
  <c r="W250" i="103"/>
  <c r="W252" i="103" s="1"/>
  <c r="W258" i="103" s="1"/>
  <c r="W260" i="103" s="1"/>
  <c r="V250" i="103"/>
  <c r="V252" i="103" s="1"/>
  <c r="V258" i="103" s="1"/>
  <c r="V260" i="103" s="1"/>
  <c r="Q250" i="103"/>
  <c r="U250" i="103"/>
  <c r="U252" i="103" s="1"/>
  <c r="U258" i="103" s="1"/>
  <c r="U260" i="103" s="1"/>
  <c r="P250" i="103"/>
  <c r="AD252" i="107"/>
  <c r="AD258" i="107" s="1"/>
  <c r="AD260" i="107" s="1"/>
  <c r="BD252" i="107"/>
  <c r="BD258" i="107" s="1"/>
  <c r="BD260" i="107" s="1"/>
  <c r="AO252" i="107"/>
  <c r="AO258" i="107" s="1"/>
  <c r="AO260" i="107" s="1"/>
  <c r="AE252" i="107"/>
  <c r="AE258" i="107" s="1"/>
  <c r="AE260" i="107" s="1"/>
  <c r="AN252" i="107"/>
  <c r="AN258" i="107" s="1"/>
  <c r="AN260" i="107" s="1"/>
  <c r="BE252" i="107"/>
  <c r="BE258" i="107" s="1"/>
  <c r="BE260" i="107" s="1"/>
  <c r="AU252" i="107"/>
  <c r="AU258" i="107" s="1"/>
  <c r="AU260" i="107" s="1"/>
  <c r="BB252" i="107"/>
  <c r="BB258" i="107" s="1"/>
  <c r="BB260" i="107" s="1"/>
  <c r="BF252" i="107"/>
  <c r="BF258" i="107" s="1"/>
  <c r="BF260" i="107" s="1"/>
  <c r="BC252" i="107"/>
  <c r="BC258" i="107" s="1"/>
  <c r="BC260" i="107" s="1"/>
  <c r="AS252" i="107"/>
  <c r="AS258" i="107" s="1"/>
  <c r="AS260" i="107" s="1"/>
  <c r="AR252" i="107"/>
  <c r="AR258" i="107" s="1"/>
  <c r="AR260" i="107" s="1"/>
  <c r="BA252" i="107"/>
  <c r="BA258" i="107" s="1"/>
  <c r="BA260" i="107" s="1"/>
  <c r="AT252" i="107"/>
  <c r="AT258" i="107" s="1"/>
  <c r="AT260" i="107" s="1"/>
  <c r="AH252" i="107"/>
  <c r="AH258" i="107" s="1"/>
  <c r="AH260" i="107" s="1"/>
  <c r="U157" i="107"/>
  <c r="BG252" i="107"/>
  <c r="BG258" i="107" s="1"/>
  <c r="BG260" i="107" s="1"/>
  <c r="AP252" i="107"/>
  <c r="AP258" i="107" s="1"/>
  <c r="AP260" i="107" s="1"/>
  <c r="AQ252" i="107"/>
  <c r="AQ258" i="107" s="1"/>
  <c r="AQ260" i="107" s="1"/>
  <c r="AG252" i="107"/>
  <c r="AG258" i="107" s="1"/>
  <c r="AG260" i="107" s="1"/>
  <c r="AF252" i="107"/>
  <c r="AF258" i="107" s="1"/>
  <c r="AF260" i="107" s="1"/>
  <c r="AI252" i="107"/>
  <c r="AI258" i="107" s="1"/>
  <c r="AI260" i="107" s="1"/>
  <c r="AB252" i="107"/>
  <c r="AB258" i="107" s="1"/>
  <c r="AZ252" i="107"/>
  <c r="AZ258" i="107" s="1"/>
  <c r="AZ260" i="107" s="1"/>
  <c r="AC252" i="107"/>
  <c r="AC258" i="107" s="1"/>
  <c r="AC260" i="107" s="1"/>
  <c r="M78" i="107"/>
  <c r="J78" i="107" s="1"/>
  <c r="BA252" i="105"/>
  <c r="BA258" i="105" s="1"/>
  <c r="BA260" i="105" s="1"/>
  <c r="AE252" i="105"/>
  <c r="AE258" i="105" s="1"/>
  <c r="AE260" i="105" s="1"/>
  <c r="AP252" i="105"/>
  <c r="AP258" i="105" s="1"/>
  <c r="AP260" i="105" s="1"/>
  <c r="BE252" i="105"/>
  <c r="BE258" i="105" s="1"/>
  <c r="BE260" i="105" s="1"/>
  <c r="AO252" i="105"/>
  <c r="AO258" i="105" s="1"/>
  <c r="AO260" i="105" s="1"/>
  <c r="BF252" i="105"/>
  <c r="BF258" i="105" s="1"/>
  <c r="BF260" i="105" s="1"/>
  <c r="AB252" i="105"/>
  <c r="AB258" i="105" s="1"/>
  <c r="AH252" i="105"/>
  <c r="AH258" i="105" s="1"/>
  <c r="AH260" i="105" s="1"/>
  <c r="AS252" i="105"/>
  <c r="AS258" i="105" s="1"/>
  <c r="AS260" i="105" s="1"/>
  <c r="AZ252" i="105"/>
  <c r="AZ258" i="105" s="1"/>
  <c r="AZ260" i="105" s="1"/>
  <c r="AR252" i="105"/>
  <c r="AR258" i="105" s="1"/>
  <c r="AR260" i="105" s="1"/>
  <c r="AN252" i="105"/>
  <c r="AN258" i="105" s="1"/>
  <c r="AN260" i="105" s="1"/>
  <c r="AI252" i="105"/>
  <c r="AI258" i="105" s="1"/>
  <c r="AI260" i="105" s="1"/>
  <c r="AC252" i="105"/>
  <c r="AC258" i="105" s="1"/>
  <c r="AC260" i="105" s="1"/>
  <c r="AD252" i="105"/>
  <c r="AD258" i="105" s="1"/>
  <c r="AD260" i="105" s="1"/>
  <c r="BC252" i="105"/>
  <c r="BC258" i="105" s="1"/>
  <c r="BC260" i="105" s="1"/>
  <c r="BG252" i="105"/>
  <c r="BG258" i="105" s="1"/>
  <c r="BG260" i="105" s="1"/>
  <c r="U157" i="105"/>
  <c r="AU252" i="105"/>
  <c r="AU258" i="105" s="1"/>
  <c r="AU260" i="105" s="1"/>
  <c r="BD252" i="105"/>
  <c r="BD258" i="105" s="1"/>
  <c r="BD260" i="105" s="1"/>
  <c r="AF252" i="105"/>
  <c r="AF258" i="105" s="1"/>
  <c r="AF260" i="105" s="1"/>
  <c r="BB252" i="105"/>
  <c r="BB258" i="105" s="1"/>
  <c r="BB260" i="105" s="1"/>
  <c r="AQ252" i="105"/>
  <c r="AQ258" i="105" s="1"/>
  <c r="AQ260" i="105" s="1"/>
  <c r="AG252" i="105"/>
  <c r="AG258" i="105" s="1"/>
  <c r="AG260" i="105" s="1"/>
  <c r="AT252" i="105"/>
  <c r="AT258" i="105" s="1"/>
  <c r="AT260" i="105" s="1"/>
  <c r="M78" i="105"/>
  <c r="J78" i="105" s="1"/>
  <c r="AH252" i="103"/>
  <c r="AH258" i="103" s="1"/>
  <c r="AH260" i="103" s="1"/>
  <c r="AD252" i="103"/>
  <c r="AD258" i="103" s="1"/>
  <c r="AD260" i="103" s="1"/>
  <c r="AN252" i="103"/>
  <c r="AN258" i="103" s="1"/>
  <c r="AN260" i="103" s="1"/>
  <c r="AC252" i="103"/>
  <c r="AC258" i="103" s="1"/>
  <c r="AC260" i="103" s="1"/>
  <c r="AF252" i="103"/>
  <c r="AF258" i="103" s="1"/>
  <c r="AF260" i="103" s="1"/>
  <c r="AU252" i="103"/>
  <c r="AU258" i="103" s="1"/>
  <c r="AU260" i="103" s="1"/>
  <c r="AS252" i="103"/>
  <c r="AS258" i="103" s="1"/>
  <c r="AS260" i="103" s="1"/>
  <c r="AR252" i="103"/>
  <c r="AR258" i="103" s="1"/>
  <c r="AR260" i="103" s="1"/>
  <c r="AQ252" i="103"/>
  <c r="AQ258" i="103" s="1"/>
  <c r="AQ260" i="103" s="1"/>
  <c r="BD252" i="103"/>
  <c r="BD258" i="103" s="1"/>
  <c r="BD260" i="103" s="1"/>
  <c r="BA252" i="103"/>
  <c r="BA258" i="103" s="1"/>
  <c r="BA260" i="103" s="1"/>
  <c r="AO252" i="103"/>
  <c r="AO258" i="103" s="1"/>
  <c r="AO260" i="103" s="1"/>
  <c r="AI252" i="103"/>
  <c r="AI258" i="103" s="1"/>
  <c r="AI260" i="103" s="1"/>
  <c r="AB252" i="103"/>
  <c r="AB258" i="103" s="1"/>
  <c r="AE252" i="103"/>
  <c r="AE258" i="103" s="1"/>
  <c r="AE260" i="103" s="1"/>
  <c r="AT252" i="103"/>
  <c r="AT258" i="103" s="1"/>
  <c r="AT260" i="103" s="1"/>
  <c r="AZ252" i="103"/>
  <c r="AZ258" i="103" s="1"/>
  <c r="AZ260" i="103" s="1"/>
  <c r="U157" i="103"/>
  <c r="BF252" i="103"/>
  <c r="BF258" i="103" s="1"/>
  <c r="BF260" i="103" s="1"/>
  <c r="AP252" i="103"/>
  <c r="AP258" i="103" s="1"/>
  <c r="AP260" i="103" s="1"/>
  <c r="BE252" i="103"/>
  <c r="BE258" i="103" s="1"/>
  <c r="BE260" i="103" s="1"/>
  <c r="AG252" i="103"/>
  <c r="AG258" i="103" s="1"/>
  <c r="AG260" i="103" s="1"/>
  <c r="BC252" i="103"/>
  <c r="BC258" i="103" s="1"/>
  <c r="BC260" i="103" s="1"/>
  <c r="BG252" i="103"/>
  <c r="BG258" i="103" s="1"/>
  <c r="BG260" i="103" s="1"/>
  <c r="BB252" i="103"/>
  <c r="BB258" i="103" s="1"/>
  <c r="BB260" i="103" s="1"/>
  <c r="M78" i="103"/>
  <c r="J78" i="103" s="1"/>
  <c r="U157" i="104"/>
  <c r="AT252" i="104"/>
  <c r="AT258" i="104" s="1"/>
  <c r="AT260" i="104" s="1"/>
  <c r="AR252" i="104"/>
  <c r="AR258" i="104" s="1"/>
  <c r="AR260" i="104" s="1"/>
  <c r="AI252" i="104"/>
  <c r="AI258" i="104" s="1"/>
  <c r="AI260" i="104" s="1"/>
  <c r="AB252" i="104"/>
  <c r="AB258" i="104" s="1"/>
  <c r="AD252" i="104"/>
  <c r="AD258" i="104" s="1"/>
  <c r="AD260" i="104" s="1"/>
  <c r="BD252" i="104"/>
  <c r="BD258" i="104" s="1"/>
  <c r="BD260" i="104" s="1"/>
  <c r="BA252" i="104"/>
  <c r="BA258" i="104" s="1"/>
  <c r="BA260" i="104" s="1"/>
  <c r="BB252" i="104"/>
  <c r="BB258" i="104" s="1"/>
  <c r="BB260" i="104" s="1"/>
  <c r="AO252" i="104"/>
  <c r="AO258" i="104" s="1"/>
  <c r="AO260" i="104" s="1"/>
  <c r="AP252" i="104"/>
  <c r="AP258" i="104" s="1"/>
  <c r="AP260" i="104" s="1"/>
  <c r="BC252" i="104"/>
  <c r="BC258" i="104" s="1"/>
  <c r="BC260" i="104" s="1"/>
  <c r="BE252" i="104"/>
  <c r="BE258" i="104" s="1"/>
  <c r="BE260" i="104" s="1"/>
  <c r="AN252" i="104"/>
  <c r="AN258" i="104" s="1"/>
  <c r="AN260" i="104" s="1"/>
  <c r="AS252" i="104"/>
  <c r="AS258" i="104" s="1"/>
  <c r="AS260" i="104" s="1"/>
  <c r="AZ252" i="104"/>
  <c r="AZ258" i="104" s="1"/>
  <c r="AZ260" i="104" s="1"/>
  <c r="AE252" i="104"/>
  <c r="AE258" i="104" s="1"/>
  <c r="AE260" i="104" s="1"/>
  <c r="AQ252" i="104"/>
  <c r="AQ258" i="104" s="1"/>
  <c r="AQ260" i="104" s="1"/>
  <c r="BG252" i="104"/>
  <c r="BG258" i="104" s="1"/>
  <c r="BG260" i="104" s="1"/>
  <c r="AG252" i="104"/>
  <c r="AG258" i="104" s="1"/>
  <c r="AG260" i="104" s="1"/>
  <c r="AC252" i="104"/>
  <c r="AC258" i="104" s="1"/>
  <c r="AC260" i="104" s="1"/>
  <c r="AU252" i="104"/>
  <c r="AU258" i="104" s="1"/>
  <c r="AU260" i="104" s="1"/>
  <c r="AH252" i="104"/>
  <c r="AH258" i="104" s="1"/>
  <c r="AH260" i="104" s="1"/>
  <c r="BF252" i="104"/>
  <c r="BF258" i="104" s="1"/>
  <c r="BF260" i="104" s="1"/>
  <c r="AF252" i="104"/>
  <c r="AF258" i="104" s="1"/>
  <c r="AF260" i="104" s="1"/>
  <c r="M78" i="104"/>
  <c r="J78" i="104" s="1"/>
  <c r="U157" i="106"/>
  <c r="AZ252" i="106"/>
  <c r="AZ258" i="106" s="1"/>
  <c r="AZ260" i="106" s="1"/>
  <c r="AT252" i="106"/>
  <c r="AT258" i="106" s="1"/>
  <c r="AT260" i="106" s="1"/>
  <c r="AF252" i="106"/>
  <c r="AF258" i="106" s="1"/>
  <c r="AF260" i="106" s="1"/>
  <c r="AO252" i="106"/>
  <c r="AO258" i="106" s="1"/>
  <c r="AO260" i="106" s="1"/>
  <c r="BG252" i="106"/>
  <c r="BG258" i="106" s="1"/>
  <c r="BG260" i="106" s="1"/>
  <c r="AC252" i="106"/>
  <c r="AC258" i="106" s="1"/>
  <c r="AC260" i="106" s="1"/>
  <c r="AH252" i="106"/>
  <c r="AH258" i="106" s="1"/>
  <c r="AH260" i="106" s="1"/>
  <c r="BA252" i="106"/>
  <c r="BA258" i="106" s="1"/>
  <c r="BA260" i="106" s="1"/>
  <c r="AP252" i="106"/>
  <c r="AP258" i="106" s="1"/>
  <c r="AP260" i="106" s="1"/>
  <c r="AQ252" i="106"/>
  <c r="AQ258" i="106" s="1"/>
  <c r="AQ260" i="106" s="1"/>
  <c r="AS252" i="106"/>
  <c r="AS258" i="106" s="1"/>
  <c r="AS260" i="106" s="1"/>
  <c r="AD252" i="106"/>
  <c r="AD258" i="106" s="1"/>
  <c r="AD260" i="106" s="1"/>
  <c r="U252" i="106"/>
  <c r="U258" i="106" s="1"/>
  <c r="U260" i="106" s="1"/>
  <c r="AR252" i="106"/>
  <c r="AR258" i="106" s="1"/>
  <c r="AR260" i="106" s="1"/>
  <c r="BE252" i="106"/>
  <c r="BE258" i="106" s="1"/>
  <c r="BE260" i="106" s="1"/>
  <c r="BD252" i="106"/>
  <c r="BD258" i="106" s="1"/>
  <c r="BD260" i="106" s="1"/>
  <c r="AU252" i="106"/>
  <c r="AU258" i="106" s="1"/>
  <c r="AU260" i="106" s="1"/>
  <c r="BF252" i="106"/>
  <c r="BF258" i="106" s="1"/>
  <c r="BF260" i="106" s="1"/>
  <c r="BB252" i="106"/>
  <c r="BB258" i="106" s="1"/>
  <c r="BB260" i="106" s="1"/>
  <c r="AB252" i="106"/>
  <c r="AB258" i="106" s="1"/>
  <c r="AN252" i="106"/>
  <c r="AN258" i="106" s="1"/>
  <c r="AN260" i="106" s="1"/>
  <c r="AG252" i="106"/>
  <c r="AG258" i="106" s="1"/>
  <c r="AG260" i="106" s="1"/>
  <c r="AI252" i="106"/>
  <c r="AI258" i="106" s="1"/>
  <c r="AI260" i="106" s="1"/>
  <c r="BC252" i="106"/>
  <c r="BC258" i="106" s="1"/>
  <c r="BC260" i="106" s="1"/>
  <c r="V252" i="106"/>
  <c r="V258" i="106" s="1"/>
  <c r="V260" i="106" s="1"/>
  <c r="AE252" i="106"/>
  <c r="AE258" i="106" s="1"/>
  <c r="AE260" i="106" s="1"/>
  <c r="M78" i="106"/>
  <c r="J78" i="106" s="1"/>
  <c r="AN268" i="55"/>
  <c r="AN212" i="55"/>
  <c r="AN116" i="55"/>
  <c r="AN120" i="55" s="1"/>
  <c r="AN201" i="55" s="1"/>
  <c r="AN216" i="55"/>
  <c r="AM271" i="55" s="1"/>
  <c r="AN215" i="55"/>
  <c r="AB213" i="55"/>
  <c r="AC268" i="55" s="1"/>
  <c r="AB212" i="55"/>
  <c r="AN143" i="55"/>
  <c r="AM191" i="55"/>
  <c r="AU272" i="55"/>
  <c r="AQ272" i="55"/>
  <c r="AN272" i="55"/>
  <c r="AR272" i="55"/>
  <c r="AT272" i="55"/>
  <c r="AP272" i="55"/>
  <c r="AS272" i="55"/>
  <c r="AO272" i="55"/>
  <c r="AR271" i="55"/>
  <c r="AT271" i="55"/>
  <c r="AQ271" i="55"/>
  <c r="AP271" i="55"/>
  <c r="AH268" i="55"/>
  <c r="AA217" i="55"/>
  <c r="AF272" i="55" s="1"/>
  <c r="AK213" i="55"/>
  <c r="AM268" i="55"/>
  <c r="AB116" i="55"/>
  <c r="AB189" i="55" s="1"/>
  <c r="AB216" i="55"/>
  <c r="AB215" i="55"/>
  <c r="AP312" i="55"/>
  <c r="AS13" i="55"/>
  <c r="AQ312" i="55"/>
  <c r="AN312" i="55"/>
  <c r="AS312" i="55"/>
  <c r="AM312" i="55"/>
  <c r="AT312" i="55"/>
  <c r="AR312" i="55"/>
  <c r="AU312" i="55"/>
  <c r="AO312" i="55"/>
  <c r="AB143" i="55"/>
  <c r="AB149" i="55"/>
  <c r="Y249" i="55"/>
  <c r="AK311" i="55"/>
  <c r="AB195" i="55"/>
  <c r="AK248" i="55"/>
  <c r="Y248" i="55"/>
  <c r="AK309" i="55"/>
  <c r="AK247" i="55"/>
  <c r="Y310" i="55"/>
  <c r="Y309" i="55"/>
  <c r="Y312" i="55"/>
  <c r="Y247" i="55"/>
  <c r="AK310" i="55"/>
  <c r="M121" i="23"/>
  <c r="M122" i="23"/>
  <c r="M107" i="23"/>
  <c r="M178" i="23"/>
  <c r="M177" i="23"/>
  <c r="M176" i="23"/>
  <c r="M191" i="23"/>
  <c r="M106" i="23"/>
  <c r="M192" i="23"/>
  <c r="AS205" i="55" l="1"/>
  <c r="AS207" i="55" s="1"/>
  <c r="AB260" i="106"/>
  <c r="AB291" i="106"/>
  <c r="AB294" i="106" s="1"/>
  <c r="AB265" i="106"/>
  <c r="AB278" i="106" s="1"/>
  <c r="AB292" i="106" s="1"/>
  <c r="AB260" i="104"/>
  <c r="AB291" i="104"/>
  <c r="AB294" i="104" s="1"/>
  <c r="AB265" i="104"/>
  <c r="AB278" i="104" s="1"/>
  <c r="AB292" i="104" s="1"/>
  <c r="AB260" i="107"/>
  <c r="AB265" i="107"/>
  <c r="AB278" i="107" s="1"/>
  <c r="AB292" i="107" s="1"/>
  <c r="AB291" i="107"/>
  <c r="AB294" i="107" s="1"/>
  <c r="AB260" i="103"/>
  <c r="AB265" i="103"/>
  <c r="AB278" i="103" s="1"/>
  <c r="AB292" i="103" s="1"/>
  <c r="AB291" i="103"/>
  <c r="AB294" i="103" s="1"/>
  <c r="AB260" i="105"/>
  <c r="AB265" i="105"/>
  <c r="AB278" i="105" s="1"/>
  <c r="AB292" i="105" s="1"/>
  <c r="AB291" i="105"/>
  <c r="AB294" i="105" s="1"/>
  <c r="Y250" i="55"/>
  <c r="U174" i="106"/>
  <c r="U190" i="106" s="1"/>
  <c r="U194" i="106" s="1"/>
  <c r="U162" i="106"/>
  <c r="O250" i="106" s="1"/>
  <c r="M250" i="106" s="1"/>
  <c r="U165" i="106"/>
  <c r="M157" i="106"/>
  <c r="J157" i="106" s="1"/>
  <c r="AK252" i="107"/>
  <c r="AK258" i="107" s="1"/>
  <c r="AM252" i="107"/>
  <c r="AM258" i="107" s="1"/>
  <c r="AM260" i="107" s="1"/>
  <c r="AK260" i="107" s="1"/>
  <c r="Y252" i="106"/>
  <c r="AA252" i="106"/>
  <c r="AA258" i="106" s="1"/>
  <c r="U174" i="103"/>
  <c r="U190" i="103" s="1"/>
  <c r="U194" i="103" s="1"/>
  <c r="U162" i="103"/>
  <c r="O250" i="103" s="1"/>
  <c r="M250" i="103" s="1"/>
  <c r="U165" i="103"/>
  <c r="M157" i="103"/>
  <c r="J157" i="103" s="1"/>
  <c r="AK252" i="103"/>
  <c r="AK258" i="103" s="1"/>
  <c r="AM252" i="103"/>
  <c r="AM258" i="103" s="1"/>
  <c r="AM260" i="103" s="1"/>
  <c r="AK260" i="103" s="1"/>
  <c r="U174" i="105"/>
  <c r="U190" i="105" s="1"/>
  <c r="U194" i="105" s="1"/>
  <c r="U162" i="105"/>
  <c r="O250" i="105" s="1"/>
  <c r="M250" i="105" s="1"/>
  <c r="U165" i="105"/>
  <c r="M157" i="105"/>
  <c r="J157" i="105" s="1"/>
  <c r="AW252" i="105"/>
  <c r="AW258" i="105" s="1"/>
  <c r="AY252" i="105"/>
  <c r="AY258" i="105" s="1"/>
  <c r="AY260" i="105" s="1"/>
  <c r="AW260" i="105" s="1"/>
  <c r="AW252" i="104"/>
  <c r="AW258" i="104" s="1"/>
  <c r="AY252" i="104"/>
  <c r="AY258" i="104" s="1"/>
  <c r="AY260" i="104" s="1"/>
  <c r="AW260" i="104" s="1"/>
  <c r="U165" i="104"/>
  <c r="U162" i="104"/>
  <c r="O250" i="104" s="1"/>
  <c r="M250" i="104" s="1"/>
  <c r="U174" i="104"/>
  <c r="U190" i="104" s="1"/>
  <c r="U194" i="104" s="1"/>
  <c r="M157" i="104"/>
  <c r="J157" i="104" s="1"/>
  <c r="Y252" i="105"/>
  <c r="AA252" i="105"/>
  <c r="AA258" i="105" s="1"/>
  <c r="AA252" i="107"/>
  <c r="AA258" i="107" s="1"/>
  <c r="Y252" i="107"/>
  <c r="AK252" i="106"/>
  <c r="AK258" i="106" s="1"/>
  <c r="AM252" i="106"/>
  <c r="AM258" i="106" s="1"/>
  <c r="AM260" i="106" s="1"/>
  <c r="AK260" i="106" s="1"/>
  <c r="AK252" i="105"/>
  <c r="AK258" i="105" s="1"/>
  <c r="AM252" i="105"/>
  <c r="AM258" i="105" s="1"/>
  <c r="AM260" i="105" s="1"/>
  <c r="AK260" i="105" s="1"/>
  <c r="AW252" i="106"/>
  <c r="AW258" i="106" s="1"/>
  <c r="AY252" i="106"/>
  <c r="AY258" i="106" s="1"/>
  <c r="AY260" i="106" s="1"/>
  <c r="AW260" i="106" s="1"/>
  <c r="Y252" i="104"/>
  <c r="AA252" i="104"/>
  <c r="AA258" i="104" s="1"/>
  <c r="AK252" i="104"/>
  <c r="AK258" i="104" s="1"/>
  <c r="AM252" i="104"/>
  <c r="AM258" i="104" s="1"/>
  <c r="AM260" i="104" s="1"/>
  <c r="AK260" i="104" s="1"/>
  <c r="AA252" i="103"/>
  <c r="AA258" i="103" s="1"/>
  <c r="Y252" i="103"/>
  <c r="AW252" i="103"/>
  <c r="AW258" i="103" s="1"/>
  <c r="AY252" i="103"/>
  <c r="AY258" i="103" s="1"/>
  <c r="AY260" i="103" s="1"/>
  <c r="AW260" i="103" s="1"/>
  <c r="AW252" i="107"/>
  <c r="AW258" i="107" s="1"/>
  <c r="AY252" i="107"/>
  <c r="AY258" i="107" s="1"/>
  <c r="AY260" i="107" s="1"/>
  <c r="AW260" i="107" s="1"/>
  <c r="U174" i="107"/>
  <c r="U190" i="107" s="1"/>
  <c r="U194" i="107" s="1"/>
  <c r="U162" i="107"/>
  <c r="O250" i="107" s="1"/>
  <c r="M250" i="107" s="1"/>
  <c r="U165" i="107"/>
  <c r="M157" i="107"/>
  <c r="J157" i="107" s="1"/>
  <c r="AN271" i="55"/>
  <c r="AN189" i="55"/>
  <c r="AN14" i="55" s="1"/>
  <c r="AN170" i="55"/>
  <c r="AN172" i="55" s="1"/>
  <c r="AB268" i="55"/>
  <c r="AD268" i="55"/>
  <c r="AE268" i="55"/>
  <c r="AG268" i="55"/>
  <c r="AI268" i="55"/>
  <c r="AF268" i="55"/>
  <c r="AS271" i="55"/>
  <c r="AI272" i="55"/>
  <c r="AE272" i="55"/>
  <c r="AB272" i="55"/>
  <c r="AG272" i="55"/>
  <c r="AD272" i="55"/>
  <c r="AO271" i="55"/>
  <c r="AU271" i="55"/>
  <c r="AN124" i="55"/>
  <c r="AN219" i="55"/>
  <c r="AK216" i="55"/>
  <c r="AA272" i="55"/>
  <c r="AB145" i="55"/>
  <c r="AN145" i="55"/>
  <c r="AC272" i="55"/>
  <c r="AH272" i="55"/>
  <c r="AB124" i="55"/>
  <c r="AB170" i="55"/>
  <c r="AB172" i="55" s="1"/>
  <c r="AB120" i="55"/>
  <c r="AB201" i="55" s="1"/>
  <c r="AF271" i="55"/>
  <c r="AG271" i="55"/>
  <c r="AC271" i="55"/>
  <c r="AI271" i="55"/>
  <c r="AD271" i="55"/>
  <c r="AB271" i="55"/>
  <c r="AH271" i="55"/>
  <c r="AE271" i="55"/>
  <c r="Y213" i="55"/>
  <c r="AA268" i="55"/>
  <c r="Y216" i="55"/>
  <c r="AA271" i="55"/>
  <c r="AB219" i="55"/>
  <c r="AK250" i="55"/>
  <c r="I123" i="23" s="1"/>
  <c r="AK312" i="55"/>
  <c r="I193" i="23" s="1"/>
  <c r="I122" i="23"/>
  <c r="I121" i="23"/>
  <c r="I178" i="23"/>
  <c r="I177" i="23"/>
  <c r="I192" i="23"/>
  <c r="I107" i="23"/>
  <c r="I106" i="23"/>
  <c r="I176" i="23"/>
  <c r="I191" i="23"/>
  <c r="AB14" i="55"/>
  <c r="AB193" i="55"/>
  <c r="Q123" i="23"/>
  <c r="Q138" i="23"/>
  <c r="P123" i="23"/>
  <c r="P138" i="23"/>
  <c r="O138" i="23"/>
  <c r="O123" i="23"/>
  <c r="N138" i="23"/>
  <c r="N123" i="23"/>
  <c r="M123" i="23"/>
  <c r="R138" i="23"/>
  <c r="R123" i="23"/>
  <c r="R108" i="23"/>
  <c r="M193" i="23"/>
  <c r="O108" i="23"/>
  <c r="Q108" i="23"/>
  <c r="P108" i="23"/>
  <c r="N108" i="23"/>
  <c r="M108" i="23"/>
  <c r="Y258" i="106" l="1"/>
  <c r="Y258" i="107"/>
  <c r="Y258" i="104"/>
  <c r="Y258" i="105"/>
  <c r="Y258" i="103"/>
  <c r="AA260" i="107"/>
  <c r="Y260" i="107" s="1"/>
  <c r="AA265" i="107"/>
  <c r="AA291" i="107"/>
  <c r="AA294" i="107" s="1"/>
  <c r="AA260" i="104"/>
  <c r="Y260" i="104" s="1"/>
  <c r="AA291" i="104"/>
  <c r="AA294" i="104" s="1"/>
  <c r="AA265" i="104"/>
  <c r="AA260" i="105"/>
  <c r="Y260" i="105" s="1"/>
  <c r="AA291" i="105"/>
  <c r="AA294" i="105" s="1"/>
  <c r="AA265" i="105"/>
  <c r="AA260" i="103"/>
  <c r="Y260" i="103" s="1"/>
  <c r="AA291" i="103"/>
  <c r="AA294" i="103" s="1"/>
  <c r="AA265" i="103"/>
  <c r="AA260" i="106"/>
  <c r="Y260" i="106" s="1"/>
  <c r="AA291" i="106"/>
  <c r="AA294" i="106" s="1"/>
  <c r="AA265" i="106"/>
  <c r="I108" i="23"/>
  <c r="R252" i="105"/>
  <c r="R258" i="105" s="1"/>
  <c r="U205" i="105"/>
  <c r="U12" i="105"/>
  <c r="M12" i="105" s="1"/>
  <c r="M162" i="105"/>
  <c r="J162" i="105" s="1"/>
  <c r="Q252" i="105"/>
  <c r="Q258" i="105" s="1"/>
  <c r="P252" i="105"/>
  <c r="P258" i="105" s="1"/>
  <c r="S252" i="105"/>
  <c r="S258" i="105" s="1"/>
  <c r="U13" i="104"/>
  <c r="M13" i="104" s="1"/>
  <c r="J13" i="104" s="1"/>
  <c r="M165" i="104"/>
  <c r="J165" i="104" s="1"/>
  <c r="W312" i="104"/>
  <c r="W314" i="104" s="1"/>
  <c r="W320" i="104" s="1"/>
  <c r="W322" i="104" s="1"/>
  <c r="Q312" i="104"/>
  <c r="Q314" i="104" s="1"/>
  <c r="Q320" i="104" s="1"/>
  <c r="Q322" i="104" s="1"/>
  <c r="U312" i="104"/>
  <c r="U314" i="104" s="1"/>
  <c r="U320" i="104" s="1"/>
  <c r="U322" i="104" s="1"/>
  <c r="S312" i="104"/>
  <c r="S314" i="104" s="1"/>
  <c r="S320" i="104" s="1"/>
  <c r="S322" i="104" s="1"/>
  <c r="R312" i="104"/>
  <c r="R314" i="104" s="1"/>
  <c r="R320" i="104" s="1"/>
  <c r="R322" i="104" s="1"/>
  <c r="P312" i="104"/>
  <c r="P314" i="104" s="1"/>
  <c r="P320" i="104" s="1"/>
  <c r="P322" i="104" s="1"/>
  <c r="T312" i="104"/>
  <c r="T314" i="104" s="1"/>
  <c r="T320" i="104" s="1"/>
  <c r="T322" i="104" s="1"/>
  <c r="V312" i="104"/>
  <c r="V314" i="104" s="1"/>
  <c r="V320" i="104" s="1"/>
  <c r="V322" i="104" s="1"/>
  <c r="O312" i="104"/>
  <c r="W312" i="103"/>
  <c r="W314" i="103" s="1"/>
  <c r="W320" i="103" s="1"/>
  <c r="W322" i="103" s="1"/>
  <c r="U13" i="103"/>
  <c r="M13" i="103" s="1"/>
  <c r="J13" i="103" s="1"/>
  <c r="M165" i="103"/>
  <c r="J165" i="103" s="1"/>
  <c r="P312" i="103"/>
  <c r="P314" i="103" s="1"/>
  <c r="P320" i="103" s="1"/>
  <c r="P322" i="103" s="1"/>
  <c r="S312" i="103"/>
  <c r="V312" i="103"/>
  <c r="V314" i="103" s="1"/>
  <c r="V320" i="103" s="1"/>
  <c r="V322" i="103" s="1"/>
  <c r="Q312" i="103"/>
  <c r="Q314" i="103" s="1"/>
  <c r="Q320" i="103" s="1"/>
  <c r="Q322" i="103" s="1"/>
  <c r="U312" i="103"/>
  <c r="U314" i="103" s="1"/>
  <c r="U320" i="103" s="1"/>
  <c r="U322" i="103" s="1"/>
  <c r="O312" i="103"/>
  <c r="O314" i="103" s="1"/>
  <c r="O320" i="103" s="1"/>
  <c r="O322" i="103" s="1"/>
  <c r="R312" i="103"/>
  <c r="R314" i="103" s="1"/>
  <c r="R320" i="103" s="1"/>
  <c r="R322" i="103" s="1"/>
  <c r="T312" i="103"/>
  <c r="T314" i="103" s="1"/>
  <c r="T320" i="103" s="1"/>
  <c r="T322" i="103" s="1"/>
  <c r="U13" i="106"/>
  <c r="M13" i="106" s="1"/>
  <c r="J13" i="106" s="1"/>
  <c r="M165" i="106"/>
  <c r="J165" i="106" s="1"/>
  <c r="V312" i="106"/>
  <c r="V314" i="106" s="1"/>
  <c r="V320" i="106" s="1"/>
  <c r="V322" i="106" s="1"/>
  <c r="R312" i="106"/>
  <c r="R314" i="106" s="1"/>
  <c r="R320" i="106" s="1"/>
  <c r="R322" i="106" s="1"/>
  <c r="Q312" i="106"/>
  <c r="Q314" i="106" s="1"/>
  <c r="Q320" i="106" s="1"/>
  <c r="Q322" i="106" s="1"/>
  <c r="P312" i="106"/>
  <c r="P314" i="106" s="1"/>
  <c r="P320" i="106" s="1"/>
  <c r="P322" i="106" s="1"/>
  <c r="S312" i="106"/>
  <c r="S314" i="106" s="1"/>
  <c r="S320" i="106" s="1"/>
  <c r="S322" i="106" s="1"/>
  <c r="T312" i="106"/>
  <c r="T314" i="106" s="1"/>
  <c r="T320" i="106" s="1"/>
  <c r="T322" i="106" s="1"/>
  <c r="U312" i="106"/>
  <c r="U314" i="106" s="1"/>
  <c r="U320" i="106" s="1"/>
  <c r="U322" i="106" s="1"/>
  <c r="O312" i="106"/>
  <c r="W312" i="106"/>
  <c r="W314" i="106" s="1"/>
  <c r="W320" i="106" s="1"/>
  <c r="W322" i="106" s="1"/>
  <c r="U12" i="103"/>
  <c r="M12" i="103" s="1"/>
  <c r="U205" i="103"/>
  <c r="M162" i="103"/>
  <c r="J162" i="103" s="1"/>
  <c r="Q252" i="103"/>
  <c r="Q258" i="103" s="1"/>
  <c r="R252" i="103"/>
  <c r="R258" i="103" s="1"/>
  <c r="P252" i="103"/>
  <c r="P258" i="103" s="1"/>
  <c r="S252" i="103"/>
  <c r="S258" i="103" s="1"/>
  <c r="R252" i="106"/>
  <c r="R258" i="106" s="1"/>
  <c r="U12" i="106"/>
  <c r="M12" i="106" s="1"/>
  <c r="U205" i="106"/>
  <c r="M162" i="106"/>
  <c r="J162" i="106" s="1"/>
  <c r="S252" i="106"/>
  <c r="S258" i="106" s="1"/>
  <c r="P252" i="106"/>
  <c r="P258" i="106" s="1"/>
  <c r="Q252" i="106"/>
  <c r="Q258" i="106" s="1"/>
  <c r="R252" i="107"/>
  <c r="R258" i="107" s="1"/>
  <c r="U205" i="107"/>
  <c r="U12" i="107"/>
  <c r="M12" i="107" s="1"/>
  <c r="M162" i="107"/>
  <c r="J162" i="107" s="1"/>
  <c r="S252" i="107"/>
  <c r="S258" i="107" s="1"/>
  <c r="P252" i="107"/>
  <c r="P258" i="107" s="1"/>
  <c r="Q252" i="107"/>
  <c r="Q258" i="107" s="1"/>
  <c r="R252" i="104"/>
  <c r="R258" i="104" s="1"/>
  <c r="U205" i="104"/>
  <c r="U12" i="104"/>
  <c r="M12" i="104" s="1"/>
  <c r="M162" i="104"/>
  <c r="J162" i="104" s="1"/>
  <c r="P252" i="104"/>
  <c r="P258" i="104" s="1"/>
  <c r="Q252" i="104"/>
  <c r="Q258" i="104" s="1"/>
  <c r="S252" i="104"/>
  <c r="S258" i="104" s="1"/>
  <c r="U13" i="107"/>
  <c r="M13" i="107" s="1"/>
  <c r="J13" i="107" s="1"/>
  <c r="M165" i="107"/>
  <c r="J165" i="107" s="1"/>
  <c r="Q312" i="107"/>
  <c r="Q314" i="107" s="1"/>
  <c r="Q320" i="107" s="1"/>
  <c r="Q322" i="107" s="1"/>
  <c r="W312" i="107"/>
  <c r="W314" i="107" s="1"/>
  <c r="W320" i="107" s="1"/>
  <c r="W322" i="107" s="1"/>
  <c r="T312" i="107"/>
  <c r="T314" i="107" s="1"/>
  <c r="T320" i="107" s="1"/>
  <c r="T322" i="107" s="1"/>
  <c r="S312" i="107"/>
  <c r="S314" i="107" s="1"/>
  <c r="S320" i="107" s="1"/>
  <c r="S322" i="107" s="1"/>
  <c r="V312" i="107"/>
  <c r="V314" i="107" s="1"/>
  <c r="V320" i="107" s="1"/>
  <c r="V322" i="107" s="1"/>
  <c r="U312" i="107"/>
  <c r="U314" i="107" s="1"/>
  <c r="U320" i="107" s="1"/>
  <c r="U322" i="107" s="1"/>
  <c r="O312" i="107"/>
  <c r="P312" i="107"/>
  <c r="P314" i="107" s="1"/>
  <c r="P320" i="107" s="1"/>
  <c r="P322" i="107" s="1"/>
  <c r="R312" i="107"/>
  <c r="R314" i="107" s="1"/>
  <c r="R320" i="107" s="1"/>
  <c r="R322" i="107" s="1"/>
  <c r="U13" i="105"/>
  <c r="M13" i="105" s="1"/>
  <c r="J13" i="105" s="1"/>
  <c r="M165" i="105"/>
  <c r="J165" i="105" s="1"/>
  <c r="Q312" i="105"/>
  <c r="Q314" i="105" s="1"/>
  <c r="Q320" i="105" s="1"/>
  <c r="Q322" i="105" s="1"/>
  <c r="V312" i="105"/>
  <c r="V314" i="105" s="1"/>
  <c r="V320" i="105" s="1"/>
  <c r="V322" i="105" s="1"/>
  <c r="T312" i="105"/>
  <c r="T314" i="105" s="1"/>
  <c r="T320" i="105" s="1"/>
  <c r="T322" i="105" s="1"/>
  <c r="W312" i="105"/>
  <c r="W314" i="105" s="1"/>
  <c r="W320" i="105" s="1"/>
  <c r="W322" i="105" s="1"/>
  <c r="O312" i="105"/>
  <c r="P312" i="105"/>
  <c r="P314" i="105" s="1"/>
  <c r="P320" i="105" s="1"/>
  <c r="P322" i="105" s="1"/>
  <c r="U312" i="105"/>
  <c r="U314" i="105" s="1"/>
  <c r="U320" i="105" s="1"/>
  <c r="U322" i="105" s="1"/>
  <c r="R312" i="105"/>
  <c r="R314" i="105" s="1"/>
  <c r="R320" i="105" s="1"/>
  <c r="R322" i="105" s="1"/>
  <c r="S312" i="105"/>
  <c r="S314" i="105" s="1"/>
  <c r="S320" i="105" s="1"/>
  <c r="S322" i="105" s="1"/>
  <c r="AN193" i="55"/>
  <c r="BB78" i="55"/>
  <c r="AW66" i="55"/>
  <c r="AW67" i="55"/>
  <c r="BC78" i="55"/>
  <c r="AW64" i="55"/>
  <c r="BD238" i="55" s="1"/>
  <c r="AZ78" i="55"/>
  <c r="BE78" i="55"/>
  <c r="AW69" i="55"/>
  <c r="AW65" i="55"/>
  <c r="BD239" i="55" s="1"/>
  <c r="BA78" i="55"/>
  <c r="P109" i="23"/>
  <c r="O109" i="23"/>
  <c r="N109" i="23"/>
  <c r="Q109" i="23"/>
  <c r="R109" i="23"/>
  <c r="BE250" i="55" l="1"/>
  <c r="BD250" i="55"/>
  <c r="BC250" i="55"/>
  <c r="BF250" i="55"/>
  <c r="BB250" i="55"/>
  <c r="BA250" i="55"/>
  <c r="AZ250" i="55"/>
  <c r="BG250" i="55"/>
  <c r="AY250" i="55"/>
  <c r="AA278" i="106"/>
  <c r="AA292" i="106" s="1"/>
  <c r="Y265" i="106"/>
  <c r="Y278" i="106" s="1"/>
  <c r="Y265" i="104"/>
  <c r="Y278" i="104" s="1"/>
  <c r="AA278" i="104"/>
  <c r="AA292" i="104" s="1"/>
  <c r="AA278" i="103"/>
  <c r="AA292" i="103" s="1"/>
  <c r="Y265" i="103"/>
  <c r="Y278" i="103" s="1"/>
  <c r="Y265" i="107"/>
  <c r="Y278" i="107" s="1"/>
  <c r="AA278" i="107"/>
  <c r="AA292" i="107" s="1"/>
  <c r="AA278" i="105"/>
  <c r="AA292" i="105" s="1"/>
  <c r="Y265" i="105"/>
  <c r="Y278" i="105" s="1"/>
  <c r="M134" i="104"/>
  <c r="J12" i="104"/>
  <c r="P260" i="107"/>
  <c r="P291" i="107"/>
  <c r="P265" i="107"/>
  <c r="P278" i="107" s="1"/>
  <c r="P292" i="107" s="1"/>
  <c r="P265" i="106"/>
  <c r="P278" i="106" s="1"/>
  <c r="P292" i="106" s="1"/>
  <c r="P291" i="106"/>
  <c r="P260" i="106"/>
  <c r="U207" i="103"/>
  <c r="M207" i="103" s="1"/>
  <c r="J207" i="103" s="1"/>
  <c r="M205" i="103"/>
  <c r="J205" i="103" s="1"/>
  <c r="M312" i="106"/>
  <c r="O314" i="106"/>
  <c r="O320" i="106" s="1"/>
  <c r="O322" i="106" s="1"/>
  <c r="M322" i="106" s="1"/>
  <c r="J322" i="106" s="1"/>
  <c r="U207" i="104"/>
  <c r="M207" i="104" s="1"/>
  <c r="J207" i="104" s="1"/>
  <c r="M205" i="104"/>
  <c r="J205" i="104" s="1"/>
  <c r="O252" i="107"/>
  <c r="O258" i="107" s="1"/>
  <c r="S265" i="106"/>
  <c r="S278" i="106" s="1"/>
  <c r="S292" i="106" s="1"/>
  <c r="S260" i="106"/>
  <c r="S291" i="106"/>
  <c r="S294" i="106" s="1"/>
  <c r="R265" i="103"/>
  <c r="R278" i="103" s="1"/>
  <c r="R292" i="103" s="1"/>
  <c r="R260" i="103"/>
  <c r="R291" i="103"/>
  <c r="R294" i="103" s="1"/>
  <c r="M312" i="104"/>
  <c r="O314" i="104"/>
  <c r="O320" i="104" s="1"/>
  <c r="O322" i="104" s="1"/>
  <c r="M322" i="104" s="1"/>
  <c r="J322" i="104" s="1"/>
  <c r="O252" i="105"/>
  <c r="O258" i="105" s="1"/>
  <c r="M134" i="105"/>
  <c r="J12" i="105"/>
  <c r="M312" i="107"/>
  <c r="O314" i="107"/>
  <c r="O320" i="107" s="1"/>
  <c r="O322" i="107" s="1"/>
  <c r="M322" i="107" s="1"/>
  <c r="J322" i="107" s="1"/>
  <c r="P260" i="104"/>
  <c r="P291" i="104"/>
  <c r="P265" i="104"/>
  <c r="P278" i="104" s="1"/>
  <c r="P292" i="104" s="1"/>
  <c r="R260" i="104"/>
  <c r="R265" i="104"/>
  <c r="R278" i="104" s="1"/>
  <c r="R292" i="104" s="1"/>
  <c r="R291" i="104"/>
  <c r="R294" i="104" s="1"/>
  <c r="S291" i="107"/>
  <c r="S294" i="107" s="1"/>
  <c r="S260" i="107"/>
  <c r="S265" i="107"/>
  <c r="S278" i="107" s="1"/>
  <c r="S292" i="107" s="1"/>
  <c r="R260" i="107"/>
  <c r="R265" i="107"/>
  <c r="R278" i="107" s="1"/>
  <c r="R292" i="107" s="1"/>
  <c r="R291" i="107"/>
  <c r="R294" i="107" s="1"/>
  <c r="O252" i="106"/>
  <c r="O258" i="106" s="1"/>
  <c r="R265" i="106"/>
  <c r="R278" i="106" s="1"/>
  <c r="R292" i="106" s="1"/>
  <c r="R291" i="106"/>
  <c r="R294" i="106" s="1"/>
  <c r="R260" i="106"/>
  <c r="Q260" i="103"/>
  <c r="Q291" i="103"/>
  <c r="Q294" i="103" s="1"/>
  <c r="Q265" i="103"/>
  <c r="Q278" i="103" s="1"/>
  <c r="Q292" i="103" s="1"/>
  <c r="O252" i="103"/>
  <c r="O258" i="103" s="1"/>
  <c r="P260" i="105"/>
  <c r="P291" i="105"/>
  <c r="P265" i="105"/>
  <c r="P278" i="105" s="1"/>
  <c r="P292" i="105" s="1"/>
  <c r="U207" i="105"/>
  <c r="M207" i="105" s="1"/>
  <c r="J207" i="105" s="1"/>
  <c r="M205" i="105"/>
  <c r="J205" i="105" s="1"/>
  <c r="Q260" i="104"/>
  <c r="Q291" i="104"/>
  <c r="Q294" i="104" s="1"/>
  <c r="Q265" i="104"/>
  <c r="Q278" i="104" s="1"/>
  <c r="Q292" i="104" s="1"/>
  <c r="J12" i="107"/>
  <c r="M134" i="107"/>
  <c r="U207" i="106"/>
  <c r="M207" i="106" s="1"/>
  <c r="J207" i="106" s="1"/>
  <c r="M205" i="106"/>
  <c r="J205" i="106" s="1"/>
  <c r="P265" i="103"/>
  <c r="P278" i="103" s="1"/>
  <c r="P292" i="103" s="1"/>
  <c r="P260" i="103"/>
  <c r="P291" i="103"/>
  <c r="M312" i="103"/>
  <c r="S314" i="103"/>
  <c r="S320" i="103" s="1"/>
  <c r="S322" i="103" s="1"/>
  <c r="M322" i="103" s="1"/>
  <c r="J322" i="103" s="1"/>
  <c r="S260" i="105"/>
  <c r="S291" i="105"/>
  <c r="S294" i="105" s="1"/>
  <c r="S265" i="105"/>
  <c r="S278" i="105" s="1"/>
  <c r="S292" i="105" s="1"/>
  <c r="M312" i="105"/>
  <c r="O314" i="105"/>
  <c r="O320" i="105" s="1"/>
  <c r="O322" i="105" s="1"/>
  <c r="M322" i="105" s="1"/>
  <c r="J322" i="105" s="1"/>
  <c r="O252" i="104"/>
  <c r="O258" i="104" s="1"/>
  <c r="U207" i="107"/>
  <c r="M207" i="107" s="1"/>
  <c r="J207" i="107" s="1"/>
  <c r="M205" i="107"/>
  <c r="J205" i="107" s="1"/>
  <c r="M134" i="106"/>
  <c r="J12" i="106"/>
  <c r="M134" i="103"/>
  <c r="J12" i="103"/>
  <c r="S291" i="104"/>
  <c r="S294" i="104" s="1"/>
  <c r="S265" i="104"/>
  <c r="S278" i="104" s="1"/>
  <c r="S292" i="104" s="1"/>
  <c r="S260" i="104"/>
  <c r="Q291" i="107"/>
  <c r="Q294" i="107" s="1"/>
  <c r="Q265" i="107"/>
  <c r="Q278" i="107" s="1"/>
  <c r="Q292" i="107" s="1"/>
  <c r="Q260" i="107"/>
  <c r="Q265" i="106"/>
  <c r="Q278" i="106" s="1"/>
  <c r="Q292" i="106" s="1"/>
  <c r="Q260" i="106"/>
  <c r="Q291" i="106"/>
  <c r="Q294" i="106" s="1"/>
  <c r="S291" i="103"/>
  <c r="S294" i="103" s="1"/>
  <c r="S265" i="103"/>
  <c r="S278" i="103" s="1"/>
  <c r="S292" i="103" s="1"/>
  <c r="S260" i="103"/>
  <c r="Q260" i="105"/>
  <c r="Q265" i="105"/>
  <c r="Q278" i="105" s="1"/>
  <c r="Q292" i="105" s="1"/>
  <c r="Q291" i="105"/>
  <c r="Q294" i="105" s="1"/>
  <c r="R260" i="105"/>
  <c r="R291" i="105"/>
  <c r="R294" i="105" s="1"/>
  <c r="R265" i="105"/>
  <c r="R278" i="105" s="1"/>
  <c r="R292" i="105" s="1"/>
  <c r="BF239" i="55"/>
  <c r="BA239" i="55"/>
  <c r="BE239" i="55"/>
  <c r="AY239" i="55"/>
  <c r="AZ239" i="55"/>
  <c r="BB239" i="55"/>
  <c r="BC239" i="55"/>
  <c r="BG239" i="55"/>
  <c r="BE238" i="55"/>
  <c r="BG238" i="55"/>
  <c r="BF238" i="55"/>
  <c r="BA238" i="55"/>
  <c r="BC238" i="55"/>
  <c r="AY238" i="55"/>
  <c r="AZ238" i="55"/>
  <c r="BB238" i="55"/>
  <c r="BA88" i="55"/>
  <c r="BA91" i="55" s="1"/>
  <c r="BA217" i="55" s="1"/>
  <c r="AZ88" i="55"/>
  <c r="BE157" i="55"/>
  <c r="BE174" i="55" s="1"/>
  <c r="BB157" i="55"/>
  <c r="BB174" i="55" s="1"/>
  <c r="BD237" i="55"/>
  <c r="AY78" i="55"/>
  <c r="BC157" i="55"/>
  <c r="BC174" i="55" s="1"/>
  <c r="Q163" i="23"/>
  <c r="O93" i="23"/>
  <c r="P163" i="23"/>
  <c r="P93" i="23"/>
  <c r="R163" i="23"/>
  <c r="Q93" i="23"/>
  <c r="R93" i="23"/>
  <c r="O163" i="23"/>
  <c r="N93" i="23"/>
  <c r="N163" i="23"/>
  <c r="P294" i="106" l="1"/>
  <c r="P294" i="104"/>
  <c r="P294" i="107"/>
  <c r="P294" i="103"/>
  <c r="P294" i="105"/>
  <c r="O260" i="103"/>
  <c r="M260" i="103" s="1"/>
  <c r="J260" i="103" s="1"/>
  <c r="O265" i="103"/>
  <c r="O291" i="103"/>
  <c r="O294" i="103" s="1"/>
  <c r="O260" i="106"/>
  <c r="M260" i="106" s="1"/>
  <c r="J260" i="106" s="1"/>
  <c r="O265" i="106"/>
  <c r="O291" i="106"/>
  <c r="O294" i="106" s="1"/>
  <c r="O291" i="107"/>
  <c r="O294" i="107" s="1"/>
  <c r="O260" i="107"/>
  <c r="M260" i="107" s="1"/>
  <c r="J260" i="107" s="1"/>
  <c r="O265" i="107"/>
  <c r="J250" i="103"/>
  <c r="M252" i="103"/>
  <c r="J312" i="104"/>
  <c r="M314" i="104"/>
  <c r="J250" i="107"/>
  <c r="M252" i="107"/>
  <c r="J312" i="106"/>
  <c r="M314" i="106"/>
  <c r="J312" i="105"/>
  <c r="M314" i="105"/>
  <c r="O265" i="105"/>
  <c r="O291" i="105"/>
  <c r="O294" i="105" s="1"/>
  <c r="O260" i="105"/>
  <c r="M260" i="105" s="1"/>
  <c r="J260" i="105" s="1"/>
  <c r="J250" i="104"/>
  <c r="M252" i="104"/>
  <c r="J250" i="106"/>
  <c r="M252" i="106"/>
  <c r="O265" i="104"/>
  <c r="O260" i="104"/>
  <c r="M260" i="104" s="1"/>
  <c r="J260" i="104" s="1"/>
  <c r="O291" i="104"/>
  <c r="O294" i="104" s="1"/>
  <c r="J312" i="103"/>
  <c r="M314" i="103"/>
  <c r="J312" i="107"/>
  <c r="M314" i="107"/>
  <c r="J250" i="105"/>
  <c r="M252" i="105"/>
  <c r="AZ97" i="55"/>
  <c r="AZ99" i="55" s="1"/>
  <c r="AZ191" i="55"/>
  <c r="BE165" i="55"/>
  <c r="BE13" i="55" s="1"/>
  <c r="BE162" i="55"/>
  <c r="BC165" i="55"/>
  <c r="BC162" i="55"/>
  <c r="BC12" i="55" s="1"/>
  <c r="BB162" i="55"/>
  <c r="BB165" i="55"/>
  <c r="AY237" i="55"/>
  <c r="BE237" i="55"/>
  <c r="BC237" i="55"/>
  <c r="BB237" i="55"/>
  <c r="BA237" i="55"/>
  <c r="AZ237" i="55"/>
  <c r="BG237" i="55"/>
  <c r="BF237" i="55"/>
  <c r="AW78" i="55"/>
  <c r="AW239" i="55"/>
  <c r="AW238" i="55"/>
  <c r="AY88" i="55"/>
  <c r="O164" i="23"/>
  <c r="R164" i="23"/>
  <c r="Q94" i="23"/>
  <c r="N94" i="23"/>
  <c r="Q164" i="23"/>
  <c r="P164" i="23"/>
  <c r="N164" i="23"/>
  <c r="P94" i="23"/>
  <c r="R94" i="23"/>
  <c r="O94" i="23"/>
  <c r="J252" i="104" l="1"/>
  <c r="M258" i="104"/>
  <c r="J258" i="104" s="1"/>
  <c r="M265" i="105"/>
  <c r="O278" i="105"/>
  <c r="O292" i="105" s="1"/>
  <c r="J252" i="105"/>
  <c r="M258" i="105"/>
  <c r="J258" i="105" s="1"/>
  <c r="J314" i="103"/>
  <c r="M320" i="103"/>
  <c r="J320" i="103" s="1"/>
  <c r="M265" i="104"/>
  <c r="O278" i="104"/>
  <c r="O292" i="104" s="1"/>
  <c r="J314" i="105"/>
  <c r="M320" i="105"/>
  <c r="J320" i="105" s="1"/>
  <c r="J252" i="107"/>
  <c r="M258" i="107"/>
  <c r="J258" i="107" s="1"/>
  <c r="J252" i="103"/>
  <c r="M258" i="103"/>
  <c r="J258" i="103" s="1"/>
  <c r="J252" i="106"/>
  <c r="M258" i="106"/>
  <c r="J258" i="106" s="1"/>
  <c r="O278" i="103"/>
  <c r="O292" i="103" s="1"/>
  <c r="M265" i="103"/>
  <c r="J314" i="107"/>
  <c r="M320" i="107"/>
  <c r="J320" i="107" s="1"/>
  <c r="J314" i="106"/>
  <c r="M320" i="106"/>
  <c r="J320" i="106" s="1"/>
  <c r="J314" i="104"/>
  <c r="M320" i="104"/>
  <c r="J320" i="104" s="1"/>
  <c r="M265" i="107"/>
  <c r="O278" i="107"/>
  <c r="O292" i="107" s="1"/>
  <c r="M265" i="106"/>
  <c r="O278" i="106"/>
  <c r="O292" i="106" s="1"/>
  <c r="AZ158" i="55"/>
  <c r="AZ115" i="55"/>
  <c r="BE12" i="55"/>
  <c r="AZ138" i="55"/>
  <c r="AZ147" i="55" s="1"/>
  <c r="AZ149" i="55" s="1"/>
  <c r="AZ110" i="55"/>
  <c r="AZ98" i="55"/>
  <c r="AY91" i="55"/>
  <c r="AY217" i="55" s="1"/>
  <c r="BC247" i="55"/>
  <c r="BB12" i="55"/>
  <c r="BD309" i="55"/>
  <c r="BB13" i="55"/>
  <c r="BD310" i="55"/>
  <c r="BC13" i="55"/>
  <c r="AZ248" i="55"/>
  <c r="BC248" i="55"/>
  <c r="BB248" i="55"/>
  <c r="BA248" i="55"/>
  <c r="BA247" i="55"/>
  <c r="BB247" i="55"/>
  <c r="BB205" i="55"/>
  <c r="BB207" i="55" s="1"/>
  <c r="AZ247" i="55"/>
  <c r="BD248" i="55"/>
  <c r="BC205" i="55"/>
  <c r="BC207" i="55" s="1"/>
  <c r="BE205" i="55"/>
  <c r="BE207" i="55" s="1"/>
  <c r="BE247" i="55"/>
  <c r="BD247" i="55"/>
  <c r="AW249" i="55"/>
  <c r="BD312" i="55"/>
  <c r="BF248" i="55"/>
  <c r="BE248" i="55"/>
  <c r="BF247" i="55"/>
  <c r="BC190" i="55"/>
  <c r="BC194" i="55" s="1"/>
  <c r="BB190" i="55"/>
  <c r="BB194" i="55" s="1"/>
  <c r="BE190" i="55"/>
  <c r="BE194" i="55" s="1"/>
  <c r="AY248" i="55"/>
  <c r="BG248" i="55"/>
  <c r="BG247" i="55"/>
  <c r="AY247" i="55"/>
  <c r="BF312" i="55"/>
  <c r="AZ312" i="55"/>
  <c r="BG312" i="55"/>
  <c r="BE312" i="55"/>
  <c r="BC312" i="55"/>
  <c r="BB312" i="55"/>
  <c r="BA312" i="55"/>
  <c r="AY312" i="55"/>
  <c r="BE309" i="55"/>
  <c r="BC309" i="55"/>
  <c r="BB309" i="55"/>
  <c r="BA309" i="55"/>
  <c r="AY309" i="55"/>
  <c r="AZ309" i="55"/>
  <c r="BF309" i="55"/>
  <c r="BG309" i="55"/>
  <c r="AZ310" i="55"/>
  <c r="AY310" i="55"/>
  <c r="BC310" i="55"/>
  <c r="BE310" i="55"/>
  <c r="BG310" i="55"/>
  <c r="BB310" i="55"/>
  <c r="BF310" i="55"/>
  <c r="BA310" i="55"/>
  <c r="AW237" i="55"/>
  <c r="I255" i="24"/>
  <c r="I214" i="24"/>
  <c r="I163" i="24"/>
  <c r="I129" i="24"/>
  <c r="I73" i="24"/>
  <c r="I462" i="24"/>
  <c r="I450" i="24"/>
  <c r="I266" i="24"/>
  <c r="M278" i="103" l="1"/>
  <c r="J265" i="103"/>
  <c r="J278" i="103" s="1"/>
  <c r="M278" i="107"/>
  <c r="J265" i="107"/>
  <c r="J278" i="107" s="1"/>
  <c r="M278" i="105"/>
  <c r="J265" i="105"/>
  <c r="J278" i="105" s="1"/>
  <c r="J265" i="106"/>
  <c r="J278" i="106" s="1"/>
  <c r="M278" i="106"/>
  <c r="J265" i="104"/>
  <c r="J278" i="104" s="1"/>
  <c r="M278" i="104"/>
  <c r="AZ213" i="55"/>
  <c r="BF268" i="55" s="1"/>
  <c r="AZ116" i="55"/>
  <c r="AZ120" i="55" s="1"/>
  <c r="AZ212" i="55"/>
  <c r="AZ143" i="55"/>
  <c r="BE268" i="55"/>
  <c r="AZ268" i="55"/>
  <c r="BG268" i="55"/>
  <c r="BB268" i="55"/>
  <c r="BC268" i="55"/>
  <c r="AZ215" i="55"/>
  <c r="BA268" i="55"/>
  <c r="BD268" i="55"/>
  <c r="AZ216" i="55"/>
  <c r="AW216" i="55" s="1"/>
  <c r="J129" i="24"/>
  <c r="K129" i="24" s="1"/>
  <c r="AW311" i="55"/>
  <c r="AZ195" i="55"/>
  <c r="AW247" i="55"/>
  <c r="AW248" i="55"/>
  <c r="AW250" i="55"/>
  <c r="AW312" i="55"/>
  <c r="AW310" i="55"/>
  <c r="AW309" i="55"/>
  <c r="J266" i="24"/>
  <c r="J462" i="24"/>
  <c r="J73" i="24"/>
  <c r="J163" i="24"/>
  <c r="J214" i="24"/>
  <c r="M138" i="23"/>
  <c r="M137" i="23"/>
  <c r="M136" i="23"/>
  <c r="M208" i="23"/>
  <c r="M206" i="23"/>
  <c r="M207" i="23"/>
  <c r="AZ189" i="55" l="1"/>
  <c r="AZ193" i="55" s="1"/>
  <c r="AY268" i="55"/>
  <c r="AZ145" i="55"/>
  <c r="AZ124" i="55"/>
  <c r="AZ170" i="55"/>
  <c r="AZ172" i="55" s="1"/>
  <c r="AW213" i="55"/>
  <c r="AY271" i="55"/>
  <c r="BD271" i="55"/>
  <c r="BF271" i="55"/>
  <c r="AZ271" i="55"/>
  <c r="BB271" i="55"/>
  <c r="BA271" i="55"/>
  <c r="BC271" i="55"/>
  <c r="BE271" i="55"/>
  <c r="BG271" i="55"/>
  <c r="AZ219" i="55"/>
  <c r="J154" i="24"/>
  <c r="AZ201" i="55"/>
  <c r="I207" i="23"/>
  <c r="I206" i="23"/>
  <c r="I136" i="23"/>
  <c r="I137" i="23"/>
  <c r="I138" i="23"/>
  <c r="I208" i="23"/>
  <c r="J255" i="24"/>
  <c r="K214" i="24"/>
  <c r="L129" i="24"/>
  <c r="K73" i="24"/>
  <c r="K462" i="24"/>
  <c r="K266" i="24"/>
  <c r="AZ14" i="55" l="1"/>
  <c r="K255" i="24"/>
  <c r="L255" i="24" s="1"/>
  <c r="L266" i="24"/>
  <c r="L462" i="24"/>
  <c r="L73" i="24"/>
  <c r="M129" i="24"/>
  <c r="K163" i="24"/>
  <c r="L214" i="24"/>
  <c r="M255" i="24" l="1"/>
  <c r="N255" i="24" s="1"/>
  <c r="O255" i="24" s="1"/>
  <c r="P255" i="24" s="1"/>
  <c r="Q255" i="24" s="1"/>
  <c r="R255" i="24" s="1"/>
  <c r="M214" i="24"/>
  <c r="L163" i="24"/>
  <c r="N129" i="24"/>
  <c r="O129" i="24" s="1"/>
  <c r="M73" i="24"/>
  <c r="M266" i="24"/>
  <c r="N266" i="24" l="1"/>
  <c r="P129" i="24"/>
  <c r="M163" i="24"/>
  <c r="N214" i="24"/>
  <c r="O214" i="24" l="1"/>
  <c r="N163" i="24"/>
  <c r="O266" i="24"/>
  <c r="P266" i="24" l="1"/>
  <c r="O163" i="24"/>
  <c r="P214" i="24"/>
  <c r="Q214" i="24" l="1"/>
  <c r="P163" i="24"/>
  <c r="Q266" i="24"/>
  <c r="M67" i="55" l="1"/>
  <c r="S78" i="55"/>
  <c r="M66" i="55"/>
  <c r="R78" i="55"/>
  <c r="M69" i="55"/>
  <c r="Q78" i="55"/>
  <c r="M65" i="55"/>
  <c r="R266" i="24"/>
  <c r="S266" i="24" s="1"/>
  <c r="Q163" i="24"/>
  <c r="R214" i="24"/>
  <c r="O248" i="55" l="1"/>
  <c r="T239" i="55"/>
  <c r="I416" i="24"/>
  <c r="J416" i="24"/>
  <c r="J69" i="55"/>
  <c r="U239" i="55"/>
  <c r="W239" i="55"/>
  <c r="R239" i="55"/>
  <c r="V239" i="55"/>
  <c r="Q239" i="55"/>
  <c r="S239" i="55"/>
  <c r="P239" i="55"/>
  <c r="O239" i="55"/>
  <c r="Q88" i="55"/>
  <c r="S157" i="55"/>
  <c r="S174" i="55" s="1"/>
  <c r="J67" i="55"/>
  <c r="U157" i="55"/>
  <c r="J65" i="55"/>
  <c r="R157" i="55"/>
  <c r="R174" i="55" s="1"/>
  <c r="J66" i="55"/>
  <c r="S214" i="24"/>
  <c r="R163" i="24"/>
  <c r="T266" i="24"/>
  <c r="K416" i="24" l="1"/>
  <c r="L416" i="24"/>
  <c r="U174" i="55"/>
  <c r="U190" i="55" s="1"/>
  <c r="U162" i="55"/>
  <c r="Q91" i="55"/>
  <c r="U165" i="55"/>
  <c r="U13" i="55" s="1"/>
  <c r="S162" i="55"/>
  <c r="S12" i="55" s="1"/>
  <c r="S165" i="55"/>
  <c r="R162" i="55"/>
  <c r="R165" i="55"/>
  <c r="Y237" i="55"/>
  <c r="AC95" i="55"/>
  <c r="AC97" i="55" s="1"/>
  <c r="AA95" i="55"/>
  <c r="AA97" i="55" s="1"/>
  <c r="AA115" i="55" s="1"/>
  <c r="M239" i="55"/>
  <c r="R190" i="55"/>
  <c r="AM95" i="55"/>
  <c r="AM97" i="55" s="1"/>
  <c r="AO95" i="55"/>
  <c r="AO97" i="55" s="1"/>
  <c r="S190" i="55"/>
  <c r="S163" i="24"/>
  <c r="T214" i="24"/>
  <c r="U214" i="24" s="1"/>
  <c r="Q173" i="24"/>
  <c r="X133" i="24"/>
  <c r="O247" i="55" l="1"/>
  <c r="AO158" i="55"/>
  <c r="AC158" i="55"/>
  <c r="S250" i="55"/>
  <c r="V250" i="55"/>
  <c r="U250" i="55"/>
  <c r="T250" i="55"/>
  <c r="W250" i="55"/>
  <c r="Q250" i="55"/>
  <c r="R250" i="55"/>
  <c r="AM98" i="55"/>
  <c r="AM115" i="55"/>
  <c r="U12" i="55"/>
  <c r="O250" i="55"/>
  <c r="P250" i="55"/>
  <c r="Q97" i="55"/>
  <c r="Q217" i="55"/>
  <c r="AA158" i="55"/>
  <c r="AM158" i="55"/>
  <c r="S247" i="55"/>
  <c r="R12" i="55"/>
  <c r="T309" i="55"/>
  <c r="R13" i="55"/>
  <c r="T310" i="55"/>
  <c r="S13" i="55"/>
  <c r="X145" i="24"/>
  <c r="Q248" i="55"/>
  <c r="R248" i="55"/>
  <c r="S248" i="55"/>
  <c r="Q247" i="55"/>
  <c r="R247" i="55"/>
  <c r="AA99" i="55"/>
  <c r="O312" i="55"/>
  <c r="T248" i="55"/>
  <c r="S205" i="55"/>
  <c r="S207" i="55" s="1"/>
  <c r="T247" i="55"/>
  <c r="R205" i="55"/>
  <c r="R207" i="55" s="1"/>
  <c r="U205" i="55"/>
  <c r="U207" i="55" s="1"/>
  <c r="M249" i="55"/>
  <c r="J249" i="55" s="1"/>
  <c r="T312" i="55"/>
  <c r="M311" i="55"/>
  <c r="J311" i="55" s="1"/>
  <c r="V248" i="55"/>
  <c r="U248" i="55"/>
  <c r="V247" i="55"/>
  <c r="U247" i="55"/>
  <c r="AM99" i="55"/>
  <c r="W248" i="55"/>
  <c r="P248" i="55"/>
  <c r="R194" i="55"/>
  <c r="U194" i="55"/>
  <c r="S194" i="55"/>
  <c r="P247" i="55"/>
  <c r="W247" i="55"/>
  <c r="W309" i="55"/>
  <c r="R309" i="55"/>
  <c r="Q309" i="55"/>
  <c r="P309" i="55"/>
  <c r="O309" i="55"/>
  <c r="U309" i="55"/>
  <c r="V309" i="55"/>
  <c r="S309" i="55"/>
  <c r="O310" i="55"/>
  <c r="R310" i="55"/>
  <c r="V310" i="55"/>
  <c r="W310" i="55"/>
  <c r="Q310" i="55"/>
  <c r="U310" i="55"/>
  <c r="S310" i="55"/>
  <c r="P310" i="55"/>
  <c r="R312" i="55"/>
  <c r="P312" i="55"/>
  <c r="Q312" i="55"/>
  <c r="W312" i="55"/>
  <c r="U312" i="55"/>
  <c r="V312" i="55"/>
  <c r="S312" i="55"/>
  <c r="AM138" i="55"/>
  <c r="AM143" i="55" s="1"/>
  <c r="AM110" i="55"/>
  <c r="AM212" i="55" s="1"/>
  <c r="V214" i="24"/>
  <c r="W214" i="24" s="1"/>
  <c r="X214" i="24" s="1"/>
  <c r="Y214" i="24" s="1"/>
  <c r="Z214" i="24" s="1"/>
  <c r="T163" i="24"/>
  <c r="P173" i="24"/>
  <c r="P133" i="24"/>
  <c r="M133" i="24"/>
  <c r="M154" i="24" s="1"/>
  <c r="N133" i="24"/>
  <c r="K133" i="24"/>
  <c r="L133" i="24"/>
  <c r="X173" i="24"/>
  <c r="W173" i="24"/>
  <c r="V173" i="24"/>
  <c r="U173" i="24"/>
  <c r="T173" i="24"/>
  <c r="S173" i="24"/>
  <c r="R173" i="24"/>
  <c r="T133" i="24"/>
  <c r="AC84" i="107" s="1"/>
  <c r="AY84" i="55"/>
  <c r="I133" i="24"/>
  <c r="V133" i="24"/>
  <c r="J173" i="24"/>
  <c r="M173" i="24"/>
  <c r="O173" i="24"/>
  <c r="I173" i="24"/>
  <c r="AD133" i="24"/>
  <c r="AD154" i="24" s="1"/>
  <c r="W133" i="24"/>
  <c r="Y133" i="24"/>
  <c r="Z133" i="24"/>
  <c r="AA133" i="24"/>
  <c r="AB133" i="24"/>
  <c r="AC133" i="24"/>
  <c r="AC154" i="24" s="1"/>
  <c r="AF133" i="24"/>
  <c r="AG133" i="24"/>
  <c r="K173" i="24"/>
  <c r="L173" i="24"/>
  <c r="N173" i="24"/>
  <c r="R63" i="23"/>
  <c r="BA84" i="107" l="1"/>
  <c r="BA224" i="107" s="1"/>
  <c r="AC224" i="107"/>
  <c r="AC174" i="107"/>
  <c r="AC189" i="107"/>
  <c r="AC191" i="107"/>
  <c r="BA191" i="107"/>
  <c r="BA189" i="107"/>
  <c r="AO84" i="107"/>
  <c r="Q84" i="107"/>
  <c r="AC84" i="105"/>
  <c r="AC191" i="105" s="1"/>
  <c r="AC84" i="106"/>
  <c r="BA84" i="105"/>
  <c r="BA224" i="105" s="1"/>
  <c r="BA84" i="106"/>
  <c r="AO84" i="106"/>
  <c r="Q84" i="106"/>
  <c r="BA189" i="105"/>
  <c r="BA191" i="105"/>
  <c r="AO84" i="105"/>
  <c r="Q84" i="105"/>
  <c r="AC84" i="103"/>
  <c r="AC84" i="104"/>
  <c r="BA84" i="103"/>
  <c r="BA174" i="103" s="1"/>
  <c r="BA84" i="104"/>
  <c r="AO84" i="104"/>
  <c r="Q84" i="104"/>
  <c r="BA191" i="103"/>
  <c r="BA189" i="103"/>
  <c r="Q84" i="103"/>
  <c r="AO84" i="103"/>
  <c r="AA214" i="24"/>
  <c r="AB214" i="24" s="1"/>
  <c r="AC214" i="24" s="1"/>
  <c r="AD214" i="24" s="1"/>
  <c r="AE214" i="24" s="1"/>
  <c r="AF214" i="24" s="1"/>
  <c r="AG214" i="24" s="1"/>
  <c r="AH214" i="24" s="1"/>
  <c r="AI214" i="24" s="1"/>
  <c r="AY191" i="55"/>
  <c r="AY224" i="55"/>
  <c r="AM147" i="55"/>
  <c r="AM214" i="55"/>
  <c r="AM215" i="55"/>
  <c r="K154" i="24"/>
  <c r="BA111" i="55"/>
  <c r="M145" i="24"/>
  <c r="AG145" i="24"/>
  <c r="AF145" i="24"/>
  <c r="T145" i="24"/>
  <c r="AM116" i="55"/>
  <c r="AM141" i="55"/>
  <c r="AK158" i="55"/>
  <c r="AB145" i="24"/>
  <c r="Z145" i="24"/>
  <c r="Y145" i="24"/>
  <c r="W145" i="24"/>
  <c r="AO84" i="55"/>
  <c r="I145" i="24"/>
  <c r="AA145" i="24"/>
  <c r="L145" i="24"/>
  <c r="L154" i="24"/>
  <c r="AD145" i="24"/>
  <c r="K145" i="24"/>
  <c r="AC145" i="24"/>
  <c r="N145" i="24"/>
  <c r="N154" i="24"/>
  <c r="P145" i="24"/>
  <c r="P154" i="24"/>
  <c r="AE145" i="24"/>
  <c r="V145" i="24"/>
  <c r="AA110" i="55"/>
  <c r="AA212" i="55" s="1"/>
  <c r="AA138" i="55"/>
  <c r="AA143" i="55" s="1"/>
  <c r="AM157" i="55"/>
  <c r="AK157" i="55" s="1"/>
  <c r="Y217" i="55"/>
  <c r="AK217" i="55"/>
  <c r="BA105" i="55"/>
  <c r="BA122" i="55" s="1"/>
  <c r="O84" i="55"/>
  <c r="M312" i="55"/>
  <c r="M247" i="55"/>
  <c r="M250" i="55"/>
  <c r="M310" i="55"/>
  <c r="M309" i="55"/>
  <c r="M248" i="55"/>
  <c r="Q105" i="55"/>
  <c r="Q84" i="55"/>
  <c r="AC84" i="55"/>
  <c r="AC105" i="55"/>
  <c r="AC122" i="55" s="1"/>
  <c r="AA84" i="55"/>
  <c r="BA84" i="55"/>
  <c r="U163" i="24"/>
  <c r="M91" i="23"/>
  <c r="N62" i="23"/>
  <c r="R62" i="23"/>
  <c r="P63" i="23"/>
  <c r="N63" i="23"/>
  <c r="M93" i="23"/>
  <c r="P62" i="23"/>
  <c r="Q63" i="23"/>
  <c r="O62" i="23"/>
  <c r="Q62" i="23"/>
  <c r="O63" i="23"/>
  <c r="M92" i="23"/>
  <c r="AC224" i="103" l="1"/>
  <c r="Y224" i="103" s="1"/>
  <c r="AC224" i="105"/>
  <c r="Y224" i="105" s="1"/>
  <c r="AC189" i="105"/>
  <c r="AC14" i="105" s="1"/>
  <c r="Y14" i="105" s="1"/>
  <c r="BA174" i="107"/>
  <c r="AW174" i="107" s="1"/>
  <c r="AW175" i="107" s="1"/>
  <c r="AC174" i="105"/>
  <c r="Y174" i="105" s="1"/>
  <c r="Y175" i="105" s="1"/>
  <c r="BA174" i="105"/>
  <c r="AW174" i="105" s="1"/>
  <c r="AW175" i="105" s="1"/>
  <c r="BA224" i="103"/>
  <c r="AW224" i="103" s="1"/>
  <c r="BA14" i="107"/>
  <c r="AW14" i="107" s="1"/>
  <c r="BA193" i="107"/>
  <c r="AW189" i="107"/>
  <c r="AW193" i="107" s="1"/>
  <c r="AC195" i="107"/>
  <c r="Y191" i="107"/>
  <c r="Y195" i="107" s="1"/>
  <c r="BA195" i="107"/>
  <c r="AW191" i="107"/>
  <c r="AW195" i="107" s="1"/>
  <c r="AC14" i="107"/>
  <c r="Y14" i="107" s="1"/>
  <c r="AC193" i="107"/>
  <c r="Y189" i="107"/>
  <c r="Y193" i="107" s="1"/>
  <c r="Q224" i="107"/>
  <c r="Q174" i="107"/>
  <c r="Q189" i="107"/>
  <c r="Q191" i="107"/>
  <c r="BA190" i="107"/>
  <c r="AC190" i="107"/>
  <c r="Y174" i="107"/>
  <c r="Y175" i="107" s="1"/>
  <c r="AC191" i="103"/>
  <c r="Y191" i="103" s="1"/>
  <c r="Y195" i="103" s="1"/>
  <c r="AO224" i="107"/>
  <c r="AO174" i="107"/>
  <c r="AO191" i="107"/>
  <c r="AO189" i="107"/>
  <c r="AW224" i="107"/>
  <c r="BA225" i="107"/>
  <c r="AW225" i="107" s="1"/>
  <c r="Y224" i="107"/>
  <c r="AC225" i="107"/>
  <c r="Y225" i="107" s="1"/>
  <c r="BA224" i="106"/>
  <c r="BA174" i="106"/>
  <c r="BA189" i="106"/>
  <c r="BA191" i="106"/>
  <c r="AC174" i="103"/>
  <c r="Y174" i="103" s="1"/>
  <c r="Y175" i="103" s="1"/>
  <c r="Q224" i="106"/>
  <c r="Q174" i="106"/>
  <c r="Q189" i="106"/>
  <c r="Q191" i="106"/>
  <c r="AC224" i="106"/>
  <c r="AC174" i="106"/>
  <c r="AC189" i="106"/>
  <c r="AC191" i="106"/>
  <c r="AO224" i="106"/>
  <c r="AO174" i="106"/>
  <c r="AO191" i="106"/>
  <c r="AO189" i="106"/>
  <c r="AC189" i="103"/>
  <c r="AC14" i="103" s="1"/>
  <c r="Y14" i="103" s="1"/>
  <c r="BA195" i="105"/>
  <c r="AW191" i="105"/>
  <c r="AW195" i="105" s="1"/>
  <c r="BA14" i="105"/>
  <c r="AW14" i="105" s="1"/>
  <c r="BA193" i="105"/>
  <c r="AW189" i="105"/>
  <c r="AW193" i="105" s="1"/>
  <c r="AC195" i="105"/>
  <c r="Y191" i="105"/>
  <c r="Y195" i="105" s="1"/>
  <c r="Q224" i="105"/>
  <c r="Q174" i="105"/>
  <c r="Q189" i="105"/>
  <c r="Q191" i="105"/>
  <c r="BA190" i="105"/>
  <c r="AO224" i="105"/>
  <c r="AO174" i="105"/>
  <c r="AO191" i="105"/>
  <c r="AO189" i="105"/>
  <c r="AW224" i="105"/>
  <c r="BA225" i="105"/>
  <c r="AW225" i="105" s="1"/>
  <c r="BA224" i="104"/>
  <c r="BA174" i="104"/>
  <c r="BA189" i="104"/>
  <c r="BA191" i="104"/>
  <c r="Q224" i="104"/>
  <c r="Q174" i="104"/>
  <c r="Q189" i="104"/>
  <c r="Q191" i="104"/>
  <c r="AC224" i="104"/>
  <c r="AC174" i="104"/>
  <c r="AC191" i="104"/>
  <c r="AC189" i="104"/>
  <c r="AO224" i="104"/>
  <c r="AO174" i="104"/>
  <c r="AO191" i="104"/>
  <c r="AO189" i="104"/>
  <c r="BA14" i="103"/>
  <c r="AW14" i="103" s="1"/>
  <c r="BA193" i="103"/>
  <c r="AW189" i="103"/>
  <c r="AW193" i="103" s="1"/>
  <c r="BA195" i="103"/>
  <c r="AW191" i="103"/>
  <c r="AW195" i="103" s="1"/>
  <c r="AO224" i="103"/>
  <c r="AO174" i="103"/>
  <c r="AO189" i="103"/>
  <c r="AO191" i="103"/>
  <c r="BA190" i="103"/>
  <c r="AW174" i="103"/>
  <c r="AW175" i="103" s="1"/>
  <c r="Q224" i="103"/>
  <c r="Q174" i="103"/>
  <c r="Q189" i="103"/>
  <c r="Q191" i="103"/>
  <c r="AJ214" i="24"/>
  <c r="AK214" i="24" s="1"/>
  <c r="AL214" i="24" s="1"/>
  <c r="AM214" i="24" s="1"/>
  <c r="BA224" i="55"/>
  <c r="AW224" i="55" s="1"/>
  <c r="AC224" i="55"/>
  <c r="O224" i="55"/>
  <c r="Q191" i="55"/>
  <c r="Q224" i="55"/>
  <c r="AA98" i="55"/>
  <c r="AA157" i="55" s="1"/>
  <c r="Y157" i="55" s="1"/>
  <c r="AA224" i="55"/>
  <c r="AO224" i="55"/>
  <c r="AK224" i="55" s="1"/>
  <c r="AA147" i="55"/>
  <c r="AA214" i="55"/>
  <c r="AA215" i="55"/>
  <c r="Q122" i="55"/>
  <c r="Q118" i="55"/>
  <c r="I154" i="24"/>
  <c r="BA108" i="55"/>
  <c r="AC111" i="55"/>
  <c r="Q111" i="55"/>
  <c r="AO111" i="55"/>
  <c r="AM145" i="55"/>
  <c r="AM203" i="55" s="1"/>
  <c r="BA118" i="55"/>
  <c r="AC118" i="55"/>
  <c r="Q106" i="55"/>
  <c r="AA116" i="55"/>
  <c r="AC200" i="55"/>
  <c r="AC106" i="55"/>
  <c r="BA200" i="55"/>
  <c r="BA106" i="55"/>
  <c r="AA191" i="55"/>
  <c r="AA195" i="55" s="1"/>
  <c r="AM189" i="55"/>
  <c r="Q200" i="55"/>
  <c r="AM149" i="55"/>
  <c r="AA141" i="55"/>
  <c r="AO191" i="55"/>
  <c r="AO195" i="55" s="1"/>
  <c r="Y158" i="55"/>
  <c r="AC191" i="55"/>
  <c r="BA191" i="55"/>
  <c r="AM219" i="55"/>
  <c r="J309" i="55"/>
  <c r="I161" i="23"/>
  <c r="J310" i="55"/>
  <c r="I162" i="23"/>
  <c r="J250" i="55"/>
  <c r="I93" i="23"/>
  <c r="J312" i="55"/>
  <c r="I163" i="23"/>
  <c r="J248" i="55"/>
  <c r="I92" i="23"/>
  <c r="J247" i="55"/>
  <c r="I91" i="23"/>
  <c r="AM170" i="55"/>
  <c r="AM172" i="55" s="1"/>
  <c r="AM120" i="55"/>
  <c r="AM124" i="55"/>
  <c r="V163" i="24"/>
  <c r="AC225" i="105" l="1"/>
  <c r="Y225" i="105" s="1"/>
  <c r="Y189" i="105"/>
  <c r="Y193" i="105" s="1"/>
  <c r="AC193" i="105"/>
  <c r="AC195" i="103"/>
  <c r="AC225" i="103"/>
  <c r="Y225" i="103" s="1"/>
  <c r="AC190" i="103"/>
  <c r="Y190" i="103" s="1"/>
  <c r="Y194" i="103" s="1"/>
  <c r="AC190" i="105"/>
  <c r="Y190" i="105" s="1"/>
  <c r="Y194" i="105" s="1"/>
  <c r="AC193" i="103"/>
  <c r="Y189" i="103"/>
  <c r="Y193" i="103" s="1"/>
  <c r="BA225" i="103"/>
  <c r="AW225" i="103" s="1"/>
  <c r="AK224" i="107"/>
  <c r="AO225" i="107"/>
  <c r="AK225" i="107" s="1"/>
  <c r="AW176" i="107"/>
  <c r="AW180" i="107" s="1"/>
  <c r="Q190" i="107"/>
  <c r="M174" i="107"/>
  <c r="AO14" i="107"/>
  <c r="AK14" i="107" s="1"/>
  <c r="AO193" i="107"/>
  <c r="AK189" i="107"/>
  <c r="AK193" i="107" s="1"/>
  <c r="BA194" i="107"/>
  <c r="AW190" i="107"/>
  <c r="AW194" i="107" s="1"/>
  <c r="M224" i="107"/>
  <c r="Q225" i="107"/>
  <c r="M225" i="107" s="1"/>
  <c r="AO195" i="107"/>
  <c r="AK191" i="107"/>
  <c r="AK195" i="107" s="1"/>
  <c r="Y176" i="107"/>
  <c r="Y180" i="107" s="1"/>
  <c r="Q195" i="107"/>
  <c r="M191" i="107"/>
  <c r="M195" i="107" s="1"/>
  <c r="AO190" i="107"/>
  <c r="AK174" i="107"/>
  <c r="AK175" i="107" s="1"/>
  <c r="AC194" i="107"/>
  <c r="Y190" i="107"/>
  <c r="Y194" i="107" s="1"/>
  <c r="Q14" i="107"/>
  <c r="M14" i="107" s="1"/>
  <c r="Q193" i="107"/>
  <c r="M189" i="107"/>
  <c r="M193" i="107" s="1"/>
  <c r="AO195" i="106"/>
  <c r="AK191" i="106"/>
  <c r="AK195" i="106" s="1"/>
  <c r="AC14" i="106"/>
  <c r="Y14" i="106" s="1"/>
  <c r="AC193" i="106"/>
  <c r="Y189" i="106"/>
  <c r="Y193" i="106" s="1"/>
  <c r="Q14" i="106"/>
  <c r="M14" i="106" s="1"/>
  <c r="Q193" i="106"/>
  <c r="M189" i="106"/>
  <c r="M193" i="106" s="1"/>
  <c r="BA195" i="106"/>
  <c r="AW191" i="106"/>
  <c r="AW195" i="106" s="1"/>
  <c r="AO190" i="106"/>
  <c r="AK174" i="106"/>
  <c r="AK175" i="106" s="1"/>
  <c r="AC190" i="106"/>
  <c r="Y174" i="106"/>
  <c r="Y175" i="106" s="1"/>
  <c r="Q190" i="106"/>
  <c r="M174" i="106"/>
  <c r="BA14" i="106"/>
  <c r="AW14" i="106" s="1"/>
  <c r="BA193" i="106"/>
  <c r="AW189" i="106"/>
  <c r="AW193" i="106" s="1"/>
  <c r="AK224" i="106"/>
  <c r="AO225" i="106"/>
  <c r="AK225" i="106" s="1"/>
  <c r="Y224" i="106"/>
  <c r="AC225" i="106"/>
  <c r="Y225" i="106" s="1"/>
  <c r="M224" i="106"/>
  <c r="Q225" i="106"/>
  <c r="M225" i="106" s="1"/>
  <c r="BA190" i="106"/>
  <c r="AW174" i="106"/>
  <c r="AW175" i="106" s="1"/>
  <c r="AO14" i="106"/>
  <c r="AK14" i="106" s="1"/>
  <c r="AO193" i="106"/>
  <c r="AK189" i="106"/>
  <c r="AK193" i="106" s="1"/>
  <c r="AC195" i="106"/>
  <c r="Y191" i="106"/>
  <c r="Y195" i="106" s="1"/>
  <c r="Q195" i="106"/>
  <c r="M191" i="106"/>
  <c r="M195" i="106" s="1"/>
  <c r="AW224" i="106"/>
  <c r="BA225" i="106"/>
  <c r="AW225" i="106" s="1"/>
  <c r="AK224" i="105"/>
  <c r="AO225" i="105"/>
  <c r="AK225" i="105" s="1"/>
  <c r="BA194" i="105"/>
  <c r="AW190" i="105"/>
  <c r="AW194" i="105" s="1"/>
  <c r="M224" i="105"/>
  <c r="Q225" i="105"/>
  <c r="M225" i="105" s="1"/>
  <c r="AO14" i="105"/>
  <c r="AK14" i="105" s="1"/>
  <c r="AO193" i="105"/>
  <c r="AK189" i="105"/>
  <c r="AK193" i="105" s="1"/>
  <c r="Y176" i="105"/>
  <c r="Y184" i="105" s="1"/>
  <c r="Q195" i="105"/>
  <c r="M191" i="105"/>
  <c r="M195" i="105" s="1"/>
  <c r="AO195" i="105"/>
  <c r="AK191" i="105"/>
  <c r="AK195" i="105" s="1"/>
  <c r="Q14" i="105"/>
  <c r="M14" i="105" s="1"/>
  <c r="Q193" i="105"/>
  <c r="M189" i="105"/>
  <c r="M193" i="105" s="1"/>
  <c r="AO190" i="105"/>
  <c r="AK174" i="105"/>
  <c r="AK175" i="105" s="1"/>
  <c r="AW176" i="105"/>
  <c r="AW180" i="105" s="1"/>
  <c r="Q190" i="105"/>
  <c r="M174" i="105"/>
  <c r="AO14" i="104"/>
  <c r="AK14" i="104" s="1"/>
  <c r="AO193" i="104"/>
  <c r="AK189" i="104"/>
  <c r="AK193" i="104" s="1"/>
  <c r="AC14" i="104"/>
  <c r="Y14" i="104" s="1"/>
  <c r="AC193" i="104"/>
  <c r="Y189" i="104"/>
  <c r="Y193" i="104" s="1"/>
  <c r="Q195" i="104"/>
  <c r="M191" i="104"/>
  <c r="M195" i="104" s="1"/>
  <c r="BA195" i="104"/>
  <c r="AW191" i="104"/>
  <c r="AW195" i="104" s="1"/>
  <c r="AO195" i="104"/>
  <c r="AK191" i="104"/>
  <c r="AK195" i="104" s="1"/>
  <c r="AC195" i="104"/>
  <c r="Y191" i="104"/>
  <c r="Y195" i="104" s="1"/>
  <c r="Q14" i="104"/>
  <c r="M14" i="104" s="1"/>
  <c r="Q193" i="104"/>
  <c r="M189" i="104"/>
  <c r="M193" i="104" s="1"/>
  <c r="BA14" i="104"/>
  <c r="AW14" i="104" s="1"/>
  <c r="BA193" i="104"/>
  <c r="AW189" i="104"/>
  <c r="AW193" i="104" s="1"/>
  <c r="AO190" i="104"/>
  <c r="AK174" i="104"/>
  <c r="AK175" i="104" s="1"/>
  <c r="AC190" i="104"/>
  <c r="Y174" i="104"/>
  <c r="Y175" i="104" s="1"/>
  <c r="Q190" i="104"/>
  <c r="M174" i="104"/>
  <c r="BA190" i="104"/>
  <c r="AW174" i="104"/>
  <c r="AW175" i="104" s="1"/>
  <c r="AK224" i="104"/>
  <c r="AO225" i="104"/>
  <c r="AK225" i="104" s="1"/>
  <c r="Y224" i="104"/>
  <c r="AC225" i="104"/>
  <c r="Y225" i="104" s="1"/>
  <c r="M224" i="104"/>
  <c r="Q225" i="104"/>
  <c r="M225" i="104" s="1"/>
  <c r="AW224" i="104"/>
  <c r="BA225" i="104"/>
  <c r="AW225" i="104" s="1"/>
  <c r="AO190" i="103"/>
  <c r="AK174" i="103"/>
  <c r="AK175" i="103" s="1"/>
  <c r="M224" i="103"/>
  <c r="Q225" i="103"/>
  <c r="M225" i="103" s="1"/>
  <c r="BA194" i="103"/>
  <c r="AW190" i="103"/>
  <c r="AW194" i="103" s="1"/>
  <c r="AK224" i="103"/>
  <c r="AO225" i="103"/>
  <c r="AK225" i="103" s="1"/>
  <c r="Q190" i="103"/>
  <c r="M174" i="103"/>
  <c r="AW176" i="103"/>
  <c r="AW184" i="103" s="1"/>
  <c r="Q195" i="103"/>
  <c r="M191" i="103"/>
  <c r="M195" i="103" s="1"/>
  <c r="Y176" i="103"/>
  <c r="Y180" i="103" s="1"/>
  <c r="AO195" i="103"/>
  <c r="AK191" i="103"/>
  <c r="AK195" i="103" s="1"/>
  <c r="Q14" i="103"/>
  <c r="M14" i="103" s="1"/>
  <c r="Q193" i="103"/>
  <c r="M189" i="103"/>
  <c r="M193" i="103" s="1"/>
  <c r="AO14" i="103"/>
  <c r="AK14" i="103" s="1"/>
  <c r="AO193" i="103"/>
  <c r="AK189" i="103"/>
  <c r="AK193" i="103" s="1"/>
  <c r="BA134" i="55"/>
  <c r="AY5" i="55" s="1"/>
  <c r="BA137" i="55"/>
  <c r="AA189" i="55"/>
  <c r="AA14" i="55" s="1"/>
  <c r="AA145" i="55"/>
  <c r="AA149" i="55"/>
  <c r="AA219" i="55"/>
  <c r="AA170" i="55"/>
  <c r="AA120" i="55"/>
  <c r="AA124" i="55"/>
  <c r="AM201" i="55"/>
  <c r="Q195" i="55"/>
  <c r="AK272" i="55"/>
  <c r="Y272" i="55"/>
  <c r="Y191" i="55"/>
  <c r="Y195" i="55" s="1"/>
  <c r="Y224" i="55"/>
  <c r="M224" i="55"/>
  <c r="BA95" i="55"/>
  <c r="BA97" i="55" s="1"/>
  <c r="AY95" i="55"/>
  <c r="AY97" i="55" s="1"/>
  <c r="AM14" i="55"/>
  <c r="AM193" i="55"/>
  <c r="AK191" i="55"/>
  <c r="AK195" i="55" s="1"/>
  <c r="AM195" i="55"/>
  <c r="AC195" i="55"/>
  <c r="W163" i="24"/>
  <c r="Q71" i="23"/>
  <c r="Q70" i="23"/>
  <c r="P71" i="23"/>
  <c r="P70" i="23"/>
  <c r="O70" i="23"/>
  <c r="O71" i="23"/>
  <c r="N71" i="23"/>
  <c r="N70" i="23"/>
  <c r="R71" i="23"/>
  <c r="R70" i="23"/>
  <c r="N69" i="23"/>
  <c r="R68" i="23"/>
  <c r="Q69" i="23"/>
  <c r="N68" i="23"/>
  <c r="O69" i="23"/>
  <c r="R69" i="23"/>
  <c r="P69" i="23"/>
  <c r="Q68" i="23"/>
  <c r="O68" i="23"/>
  <c r="AC194" i="103" l="1"/>
  <c r="J14" i="107"/>
  <c r="AC194" i="105"/>
  <c r="AW184" i="107"/>
  <c r="AK176" i="107"/>
  <c r="AK184" i="107" s="1"/>
  <c r="J174" i="107"/>
  <c r="M175" i="107"/>
  <c r="AO194" i="107"/>
  <c r="AK190" i="107"/>
  <c r="AK194" i="107" s="1"/>
  <c r="Y184" i="107"/>
  <c r="Q194" i="107"/>
  <c r="M190" i="107"/>
  <c r="M194" i="107" s="1"/>
  <c r="J14" i="105"/>
  <c r="M175" i="106"/>
  <c r="J174" i="106"/>
  <c r="AK176" i="106"/>
  <c r="AK184" i="106" s="1"/>
  <c r="AW176" i="106"/>
  <c r="AW184" i="106" s="1"/>
  <c r="Q194" i="106"/>
  <c r="M190" i="106"/>
  <c r="M194" i="106" s="1"/>
  <c r="AO194" i="106"/>
  <c r="AK190" i="106"/>
  <c r="AK194" i="106" s="1"/>
  <c r="Y180" i="105"/>
  <c r="BA194" i="106"/>
  <c r="AW190" i="106"/>
  <c r="AW194" i="106" s="1"/>
  <c r="Y176" i="106"/>
  <c r="Y180" i="106" s="1"/>
  <c r="J14" i="106"/>
  <c r="AC194" i="106"/>
  <c r="Y190" i="106"/>
  <c r="Y194" i="106" s="1"/>
  <c r="J174" i="105"/>
  <c r="M175" i="105"/>
  <c r="AW184" i="105"/>
  <c r="Q194" i="105"/>
  <c r="M190" i="105"/>
  <c r="M194" i="105" s="1"/>
  <c r="AK176" i="105"/>
  <c r="AK184" i="105" s="1"/>
  <c r="AO194" i="105"/>
  <c r="AK190" i="105"/>
  <c r="AK194" i="105" s="1"/>
  <c r="J14" i="104"/>
  <c r="AW176" i="104"/>
  <c r="AW184" i="104" s="1"/>
  <c r="Y176" i="104"/>
  <c r="Y184" i="104" s="1"/>
  <c r="BA194" i="104"/>
  <c r="AW190" i="104"/>
  <c r="AW194" i="104" s="1"/>
  <c r="AC194" i="104"/>
  <c r="Y190" i="104"/>
  <c r="Y194" i="104" s="1"/>
  <c r="J174" i="104"/>
  <c r="M175" i="104"/>
  <c r="AK176" i="104"/>
  <c r="AK184" i="104" s="1"/>
  <c r="Q194" i="104"/>
  <c r="M190" i="104"/>
  <c r="M194" i="104" s="1"/>
  <c r="AO194" i="104"/>
  <c r="AK190" i="104"/>
  <c r="AK194" i="104" s="1"/>
  <c r="Y184" i="103"/>
  <c r="AW180" i="103"/>
  <c r="M175" i="103"/>
  <c r="J174" i="103"/>
  <c r="AK176" i="103"/>
  <c r="AK184" i="103" s="1"/>
  <c r="J14" i="103"/>
  <c r="Q194" i="103"/>
  <c r="M190" i="103"/>
  <c r="M194" i="103" s="1"/>
  <c r="AO194" i="103"/>
  <c r="AK190" i="103"/>
  <c r="AK194" i="103" s="1"/>
  <c r="BA158" i="55"/>
  <c r="BA115" i="55"/>
  <c r="AY98" i="55"/>
  <c r="AY115" i="55"/>
  <c r="BA135" i="55"/>
  <c r="BA136" i="55" s="1"/>
  <c r="AY158" i="55"/>
  <c r="AA203" i="55"/>
  <c r="AA201" i="55"/>
  <c r="R72" i="23"/>
  <c r="Q72" i="23"/>
  <c r="O72" i="23"/>
  <c r="N72" i="23"/>
  <c r="AA172" i="55"/>
  <c r="AA193" i="55"/>
  <c r="AK271" i="55"/>
  <c r="Y271" i="55"/>
  <c r="AW271" i="55"/>
  <c r="AY99" i="55"/>
  <c r="AY138" i="55"/>
  <c r="AY143" i="55" s="1"/>
  <c r="AY110" i="55"/>
  <c r="AY212" i="55" s="1"/>
  <c r="X163" i="24"/>
  <c r="Y163" i="24" s="1"/>
  <c r="Z163" i="24" s="1"/>
  <c r="AA163" i="24" s="1"/>
  <c r="AB163" i="24" s="1"/>
  <c r="AK180" i="107" l="1"/>
  <c r="J175" i="107"/>
  <c r="M176" i="107"/>
  <c r="J176" i="107" s="1"/>
  <c r="AK180" i="106"/>
  <c r="Y184" i="106"/>
  <c r="AW180" i="106"/>
  <c r="J175" i="106"/>
  <c r="M176" i="106"/>
  <c r="J176" i="106" s="1"/>
  <c r="AK180" i="105"/>
  <c r="J175" i="105"/>
  <c r="M176" i="105"/>
  <c r="J176" i="105" s="1"/>
  <c r="J175" i="104"/>
  <c r="M176" i="104"/>
  <c r="J176" i="104" s="1"/>
  <c r="Y180" i="104"/>
  <c r="AK180" i="104"/>
  <c r="AW180" i="104"/>
  <c r="AK180" i="103"/>
  <c r="J175" i="103"/>
  <c r="M176" i="103"/>
  <c r="J176" i="103" s="1"/>
  <c r="AW115" i="55"/>
  <c r="AZ126" i="55"/>
  <c r="AZ156" i="55" s="1"/>
  <c r="AY126" i="55"/>
  <c r="BA126" i="55"/>
  <c r="BA156" i="55" s="1"/>
  <c r="BA202" i="55"/>
  <c r="AY147" i="55"/>
  <c r="AY215" i="55"/>
  <c r="AY214" i="55"/>
  <c r="AY116" i="55"/>
  <c r="BD272" i="55"/>
  <c r="BC272" i="55"/>
  <c r="AY141" i="55"/>
  <c r="AZ272" i="55"/>
  <c r="BF272" i="55"/>
  <c r="AY272" i="55"/>
  <c r="BE272" i="55"/>
  <c r="BB272" i="55"/>
  <c r="BG272" i="55"/>
  <c r="BA272" i="55"/>
  <c r="AK268" i="55"/>
  <c r="AW268" i="55"/>
  <c r="Y268" i="55"/>
  <c r="AW217" i="55"/>
  <c r="AY157" i="55"/>
  <c r="AW157" i="55" s="1"/>
  <c r="Q141" i="23"/>
  <c r="Q233" i="23"/>
  <c r="O233" i="23"/>
  <c r="N111" i="23"/>
  <c r="M180" i="107" l="1"/>
  <c r="J180" i="107" s="1"/>
  <c r="M184" i="107"/>
  <c r="J184" i="107" s="1"/>
  <c r="M184" i="106"/>
  <c r="J184" i="106" s="1"/>
  <c r="M180" i="106"/>
  <c r="J180" i="106" s="1"/>
  <c r="M180" i="105"/>
  <c r="J180" i="105" s="1"/>
  <c r="M184" i="105"/>
  <c r="J184" i="105" s="1"/>
  <c r="M180" i="104"/>
  <c r="J180" i="104" s="1"/>
  <c r="M184" i="104"/>
  <c r="J184" i="104" s="1"/>
  <c r="M180" i="103"/>
  <c r="J180" i="103" s="1"/>
  <c r="M184" i="103"/>
  <c r="J184" i="103" s="1"/>
  <c r="AY156" i="55"/>
  <c r="AW156" i="55" s="1"/>
  <c r="AW126" i="55"/>
  <c r="AZ174" i="55"/>
  <c r="AZ190" i="55" s="1"/>
  <c r="AZ194" i="55" s="1"/>
  <c r="AZ162" i="55"/>
  <c r="AZ165" i="55"/>
  <c r="AY145" i="55"/>
  <c r="AY189" i="55"/>
  <c r="Q227" i="23"/>
  <c r="Q140" i="23"/>
  <c r="P233" i="23"/>
  <c r="P227" i="23"/>
  <c r="P140" i="23"/>
  <c r="P141" i="23"/>
  <c r="O141" i="23"/>
  <c r="O227" i="23"/>
  <c r="O140" i="23"/>
  <c r="N232" i="23"/>
  <c r="N126" i="23"/>
  <c r="N226" i="23"/>
  <c r="R141" i="23"/>
  <c r="R140" i="23"/>
  <c r="R233" i="23"/>
  <c r="R227" i="23"/>
  <c r="N196" i="23"/>
  <c r="N110" i="23"/>
  <c r="N210" i="23"/>
  <c r="N225" i="23"/>
  <c r="N231" i="23"/>
  <c r="N195" i="23"/>
  <c r="AZ245" i="55" l="1"/>
  <c r="BG245" i="55"/>
  <c r="BD245" i="55"/>
  <c r="AY245" i="55"/>
  <c r="BA245" i="55"/>
  <c r="BE245" i="55"/>
  <c r="BC245" i="55"/>
  <c r="BF245" i="55"/>
  <c r="BB245" i="55"/>
  <c r="BG307" i="55"/>
  <c r="BE307" i="55"/>
  <c r="BA307" i="55"/>
  <c r="BB307" i="55"/>
  <c r="BF307" i="55"/>
  <c r="AZ307" i="55"/>
  <c r="BC307" i="55"/>
  <c r="AY307" i="55"/>
  <c r="BD307" i="55"/>
  <c r="AZ13" i="55"/>
  <c r="O142" i="23"/>
  <c r="Q142" i="23"/>
  <c r="R142" i="23"/>
  <c r="P142" i="23"/>
  <c r="N112" i="23"/>
  <c r="N197" i="23"/>
  <c r="AY149" i="55"/>
  <c r="AY203" i="55"/>
  <c r="AY219" i="55"/>
  <c r="AY174" i="55"/>
  <c r="AY165" i="55"/>
  <c r="AY162" i="55"/>
  <c r="AW272" i="55"/>
  <c r="BA138" i="55"/>
  <c r="BA143" i="55" s="1"/>
  <c r="BA110" i="55"/>
  <c r="BA212" i="55" s="1"/>
  <c r="AW158" i="55"/>
  <c r="AY124" i="55"/>
  <c r="AY170" i="55"/>
  <c r="AY172" i="55" s="1"/>
  <c r="AY120" i="55"/>
  <c r="Q81" i="23"/>
  <c r="N151" i="23"/>
  <c r="Q211" i="23"/>
  <c r="O211" i="23"/>
  <c r="N181" i="23"/>
  <c r="AW307" i="55" l="1"/>
  <c r="I204" i="23" s="1"/>
  <c r="AW110" i="55"/>
  <c r="BA147" i="55"/>
  <c r="AW138" i="55"/>
  <c r="BA116" i="55"/>
  <c r="BA215" i="55"/>
  <c r="BA214" i="55"/>
  <c r="AZ244" i="55"/>
  <c r="BD244" i="55"/>
  <c r="BE244" i="55"/>
  <c r="BG244" i="55"/>
  <c r="BB244" i="55"/>
  <c r="BA244" i="55"/>
  <c r="BF244" i="55"/>
  <c r="BC244" i="55"/>
  <c r="AY244" i="55"/>
  <c r="BG306" i="55"/>
  <c r="AZ306" i="55"/>
  <c r="BF306" i="55"/>
  <c r="BC306" i="55"/>
  <c r="BB306" i="55"/>
  <c r="BA306" i="55"/>
  <c r="BE306" i="55"/>
  <c r="BD306" i="55"/>
  <c r="AY306" i="55"/>
  <c r="AY13" i="55"/>
  <c r="Q232" i="23"/>
  <c r="Q125" i="23"/>
  <c r="Q226" i="23"/>
  <c r="Q126" i="23"/>
  <c r="P81" i="23"/>
  <c r="O81" i="23"/>
  <c r="N233" i="23"/>
  <c r="N141" i="23"/>
  <c r="N140" i="23"/>
  <c r="N125" i="23"/>
  <c r="N227" i="23"/>
  <c r="R226" i="23"/>
  <c r="R81" i="23"/>
  <c r="R126" i="23"/>
  <c r="R125" i="23"/>
  <c r="R232" i="23"/>
  <c r="R110" i="23"/>
  <c r="N165" i="23"/>
  <c r="R231" i="23"/>
  <c r="O196" i="23"/>
  <c r="O111" i="23"/>
  <c r="P110" i="23"/>
  <c r="O225" i="23"/>
  <c r="Q180" i="23"/>
  <c r="P196" i="23"/>
  <c r="N180" i="23"/>
  <c r="R111" i="23"/>
  <c r="O210" i="23"/>
  <c r="N211" i="23"/>
  <c r="N166" i="23"/>
  <c r="O195" i="23"/>
  <c r="R210" i="23"/>
  <c r="O231" i="23"/>
  <c r="Q210" i="23"/>
  <c r="P231" i="23"/>
  <c r="P211" i="23"/>
  <c r="P210" i="23"/>
  <c r="P225" i="23"/>
  <c r="N79" i="23"/>
  <c r="M204" i="23"/>
  <c r="O110" i="23"/>
  <c r="R211" i="23"/>
  <c r="R225" i="23"/>
  <c r="P195" i="23"/>
  <c r="P111" i="23"/>
  <c r="Q181" i="23"/>
  <c r="AZ269" i="55" l="1"/>
  <c r="BF269" i="55"/>
  <c r="BB269" i="55"/>
  <c r="BC269" i="55"/>
  <c r="BE269" i="55"/>
  <c r="BG269" i="55"/>
  <c r="BD269" i="55"/>
  <c r="BA269" i="55"/>
  <c r="BA270" i="55"/>
  <c r="BC270" i="55"/>
  <c r="BB270" i="55"/>
  <c r="AZ270" i="55"/>
  <c r="BD270" i="55"/>
  <c r="BE270" i="55"/>
  <c r="BF270" i="55"/>
  <c r="BG270" i="55"/>
  <c r="AY270" i="55"/>
  <c r="AW215" i="55"/>
  <c r="AY269" i="55"/>
  <c r="AW214" i="55"/>
  <c r="O212" i="23"/>
  <c r="N212" i="23"/>
  <c r="R212" i="23"/>
  <c r="Q212" i="23"/>
  <c r="P212" i="23"/>
  <c r="AY190" i="55"/>
  <c r="R127" i="23"/>
  <c r="O197" i="23"/>
  <c r="P197" i="23"/>
  <c r="Q127" i="23"/>
  <c r="R112" i="23"/>
  <c r="P112" i="23"/>
  <c r="Q182" i="23"/>
  <c r="O112" i="23"/>
  <c r="N167" i="23"/>
  <c r="N127" i="23"/>
  <c r="N182" i="23"/>
  <c r="N142" i="23"/>
  <c r="BA141" i="55"/>
  <c r="AW141" i="55" s="1"/>
  <c r="AY201" i="55"/>
  <c r="BA165" i="55"/>
  <c r="AW165" i="55" s="1"/>
  <c r="BA162" i="55"/>
  <c r="AW116" i="55"/>
  <c r="AY193" i="55"/>
  <c r="AY14" i="55"/>
  <c r="AY195" i="55"/>
  <c r="Q80" i="23"/>
  <c r="Q151" i="23"/>
  <c r="Q221" i="23"/>
  <c r="P221" i="23"/>
  <c r="P226" i="23"/>
  <c r="P125" i="23"/>
  <c r="P151" i="23"/>
  <c r="P232" i="23"/>
  <c r="P126" i="23"/>
  <c r="P150" i="23"/>
  <c r="O151" i="23"/>
  <c r="O232" i="23"/>
  <c r="O125" i="23"/>
  <c r="O226" i="23"/>
  <c r="O126" i="23"/>
  <c r="O221" i="23"/>
  <c r="O150" i="23"/>
  <c r="N81" i="23"/>
  <c r="N150" i="23"/>
  <c r="N220" i="23"/>
  <c r="N80" i="23"/>
  <c r="R151" i="23"/>
  <c r="R80" i="23"/>
  <c r="R221" i="23"/>
  <c r="Q225" i="23"/>
  <c r="Q196" i="23"/>
  <c r="N148" i="23"/>
  <c r="N230" i="23"/>
  <c r="Q111" i="23"/>
  <c r="Q195" i="23"/>
  <c r="N219" i="23"/>
  <c r="Q231" i="23"/>
  <c r="P79" i="23"/>
  <c r="P181" i="23"/>
  <c r="Q149" i="23"/>
  <c r="O79" i="23"/>
  <c r="O180" i="23"/>
  <c r="O181" i="23"/>
  <c r="R181" i="23"/>
  <c r="N95" i="23"/>
  <c r="Q110" i="23"/>
  <c r="N96" i="23"/>
  <c r="R196" i="23"/>
  <c r="R180" i="23"/>
  <c r="N149" i="23"/>
  <c r="P180" i="23"/>
  <c r="R79" i="23"/>
  <c r="R195" i="23"/>
  <c r="N224" i="23"/>
  <c r="AW269" i="55" l="1"/>
  <c r="AW270" i="55"/>
  <c r="BD267" i="55"/>
  <c r="BD276" i="55" s="1"/>
  <c r="BC267" i="55"/>
  <c r="BC276" i="55" s="1"/>
  <c r="Q197" i="23"/>
  <c r="O127" i="23"/>
  <c r="R197" i="23"/>
  <c r="P127" i="23"/>
  <c r="Q112" i="23"/>
  <c r="R182" i="23"/>
  <c r="O182" i="23"/>
  <c r="P182" i="23"/>
  <c r="N97" i="23"/>
  <c r="BA145" i="55"/>
  <c r="Q150" i="23"/>
  <c r="Q220" i="23"/>
  <c r="P80" i="23"/>
  <c r="O80" i="23"/>
  <c r="R220" i="23"/>
  <c r="R150" i="23"/>
  <c r="O224" i="23"/>
  <c r="R165" i="23"/>
  <c r="P219" i="23"/>
  <c r="O149" i="23"/>
  <c r="Q165" i="23"/>
  <c r="Q95" i="23"/>
  <c r="R219" i="23"/>
  <c r="Q224" i="23"/>
  <c r="R166" i="23"/>
  <c r="O165" i="23"/>
  <c r="O95" i="23"/>
  <c r="R230" i="23"/>
  <c r="R96" i="23"/>
  <c r="O166" i="23"/>
  <c r="Q166" i="23"/>
  <c r="Q96" i="23"/>
  <c r="O219" i="23"/>
  <c r="R149" i="23"/>
  <c r="N242" i="23"/>
  <c r="O96" i="23"/>
  <c r="R224" i="23"/>
  <c r="Q79" i="23"/>
  <c r="O230" i="23"/>
  <c r="R95" i="23"/>
  <c r="Q230" i="23"/>
  <c r="P149" i="23"/>
  <c r="R97" i="23" l="1"/>
  <c r="O97" i="23"/>
  <c r="R167" i="23"/>
  <c r="O167" i="23"/>
  <c r="Q97" i="23"/>
  <c r="Q167" i="23"/>
  <c r="N152" i="23"/>
  <c r="BA149" i="55"/>
  <c r="AW149" i="55" s="1"/>
  <c r="BF267" i="55"/>
  <c r="BF276" i="55" s="1"/>
  <c r="AZ267" i="55"/>
  <c r="AZ276" i="55" s="1"/>
  <c r="BG267" i="55"/>
  <c r="BG276" i="55" s="1"/>
  <c r="BE267" i="55"/>
  <c r="BE276" i="55" s="1"/>
  <c r="AY267" i="55"/>
  <c r="AY276" i="55" s="1"/>
  <c r="BA267" i="55"/>
  <c r="BA276" i="55" s="1"/>
  <c r="BB267" i="55"/>
  <c r="BB276" i="55" s="1"/>
  <c r="AW162" i="55"/>
  <c r="BA203" i="55"/>
  <c r="AW203" i="55" s="1"/>
  <c r="AW145" i="55"/>
  <c r="BA120" i="55"/>
  <c r="BA174" i="55"/>
  <c r="AW174" i="55" s="1"/>
  <c r="BA189" i="55"/>
  <c r="AW212" i="55"/>
  <c r="BA219" i="55"/>
  <c r="BA170" i="55"/>
  <c r="BA124" i="55"/>
  <c r="AY194" i="55"/>
  <c r="AW306" i="55"/>
  <c r="P220" i="23"/>
  <c r="O220" i="23"/>
  <c r="N221" i="23"/>
  <c r="O242" i="23"/>
  <c r="Q242" i="23"/>
  <c r="N239" i="23"/>
  <c r="N218" i="23"/>
  <c r="M163" i="23"/>
  <c r="M162" i="23"/>
  <c r="N78" i="23"/>
  <c r="Q219" i="23"/>
  <c r="R242" i="23"/>
  <c r="M164" i="23"/>
  <c r="N236" i="23"/>
  <c r="M161" i="23"/>
  <c r="BG308" i="55" l="1"/>
  <c r="BG314" i="55" s="1"/>
  <c r="BB308" i="55"/>
  <c r="BB314" i="55" s="1"/>
  <c r="BF308" i="55"/>
  <c r="BF314" i="55" s="1"/>
  <c r="AY308" i="55"/>
  <c r="AY314" i="55" s="1"/>
  <c r="BD308" i="55"/>
  <c r="BD314" i="55" s="1"/>
  <c r="BE308" i="55"/>
  <c r="BE314" i="55" s="1"/>
  <c r="BC308" i="55"/>
  <c r="BC314" i="55" s="1"/>
  <c r="AZ308" i="55"/>
  <c r="AZ314" i="55" s="1"/>
  <c r="BA308" i="55"/>
  <c r="BA314" i="55" s="1"/>
  <c r="AZ246" i="55"/>
  <c r="AZ252" i="55" s="1"/>
  <c r="BD246" i="55"/>
  <c r="BD252" i="55" s="1"/>
  <c r="BE246" i="55"/>
  <c r="BE252" i="55" s="1"/>
  <c r="BG246" i="55"/>
  <c r="BB246" i="55"/>
  <c r="BB252" i="55" s="1"/>
  <c r="BA246" i="55"/>
  <c r="BA252" i="55" s="1"/>
  <c r="BC246" i="55"/>
  <c r="BC252" i="55" s="1"/>
  <c r="BF246" i="55"/>
  <c r="BF252" i="55" s="1"/>
  <c r="AY246" i="55"/>
  <c r="N243" i="23"/>
  <c r="AW124" i="55"/>
  <c r="BA13" i="55"/>
  <c r="N82" i="23"/>
  <c r="AW120" i="55"/>
  <c r="BA201" i="55"/>
  <c r="AW201" i="55" s="1"/>
  <c r="AW219" i="55"/>
  <c r="AW267" i="55"/>
  <c r="AW276" i="55"/>
  <c r="BA190" i="55"/>
  <c r="BA194" i="55" s="1"/>
  <c r="BA172" i="55"/>
  <c r="AW170" i="55"/>
  <c r="BA193" i="55"/>
  <c r="AW189" i="55"/>
  <c r="AW193" i="55" s="1"/>
  <c r="BA14" i="55"/>
  <c r="AW191" i="55"/>
  <c r="AW195" i="55" s="1"/>
  <c r="BA195" i="55"/>
  <c r="I203" i="23"/>
  <c r="M203" i="23"/>
  <c r="R236" i="23"/>
  <c r="R148" i="23"/>
  <c r="O78" i="23"/>
  <c r="Q239" i="23"/>
  <c r="R218" i="23"/>
  <c r="O148" i="23"/>
  <c r="Q78" i="23"/>
  <c r="Q236" i="23"/>
  <c r="O236" i="23"/>
  <c r="Q148" i="23"/>
  <c r="R78" i="23"/>
  <c r="O239" i="23"/>
  <c r="R239" i="23"/>
  <c r="O218" i="23"/>
  <c r="Q218" i="23"/>
  <c r="R243" i="23" l="1"/>
  <c r="O243" i="23"/>
  <c r="Q243" i="23"/>
  <c r="R82" i="23"/>
  <c r="Q82" i="23"/>
  <c r="R152" i="23"/>
  <c r="O152" i="23"/>
  <c r="Q152" i="23"/>
  <c r="O82" i="23"/>
  <c r="AW14" i="55"/>
  <c r="AW190" i="55"/>
  <c r="AW194" i="55" s="1"/>
  <c r="AW308" i="55"/>
  <c r="AW172" i="55"/>
  <c r="AW175" i="55" s="1"/>
  <c r="AW176" i="55" s="1"/>
  <c r="M205" i="23"/>
  <c r="I71" i="23" l="1"/>
  <c r="I205" i="23"/>
  <c r="AW314" i="55"/>
  <c r="AW184" i="55"/>
  <c r="AW180" i="55"/>
  <c r="BC255" i="55" l="1"/>
  <c r="BA255" i="55"/>
  <c r="BB254" i="55"/>
  <c r="BB255" i="55"/>
  <c r="AZ255" i="55"/>
  <c r="BC254" i="55"/>
  <c r="BA254" i="55"/>
  <c r="AZ254" i="55"/>
  <c r="AZ316" i="55"/>
  <c r="AZ317" i="55"/>
  <c r="BC316" i="55"/>
  <c r="BA317" i="55"/>
  <c r="BB316" i="55"/>
  <c r="BA316" i="55"/>
  <c r="BC317" i="55"/>
  <c r="BB317" i="55"/>
  <c r="BD316" i="55"/>
  <c r="BD317" i="55"/>
  <c r="BD255" i="55"/>
  <c r="BD254" i="55"/>
  <c r="BE254" i="55"/>
  <c r="BE255" i="55"/>
  <c r="BE317" i="55"/>
  <c r="BE316" i="55"/>
  <c r="BF255" i="55"/>
  <c r="BF254" i="55"/>
  <c r="BF316" i="55"/>
  <c r="BF317" i="55"/>
  <c r="BA180" i="55"/>
  <c r="AZ180" i="55"/>
  <c r="AY180" i="55"/>
  <c r="BG184" i="55"/>
  <c r="BG13" i="55" s="1"/>
  <c r="AW13" i="55" s="1"/>
  <c r="BA184" i="55"/>
  <c r="AZ184" i="55"/>
  <c r="AY184" i="55"/>
  <c r="BG180" i="55"/>
  <c r="AY254" i="55"/>
  <c r="BG255" i="55"/>
  <c r="BG254" i="55"/>
  <c r="AY255" i="55"/>
  <c r="AY317" i="55"/>
  <c r="BG317" i="55"/>
  <c r="AY316" i="55"/>
  <c r="BG316" i="55"/>
  <c r="BA205" i="55" l="1"/>
  <c r="BA207" i="55" s="1"/>
  <c r="BA12" i="55"/>
  <c r="BG205" i="55"/>
  <c r="BG207" i="55" s="1"/>
  <c r="BG12" i="55"/>
  <c r="AY205" i="55"/>
  <c r="AY207" i="55" s="1"/>
  <c r="AY12" i="55"/>
  <c r="AZ205" i="55"/>
  <c r="AZ207" i="55" s="1"/>
  <c r="AZ12" i="55"/>
  <c r="BC256" i="55"/>
  <c r="BC258" i="55" s="1"/>
  <c r="BA256" i="55"/>
  <c r="BA258" i="55" s="1"/>
  <c r="BA318" i="55"/>
  <c r="BA320" i="55" s="1"/>
  <c r="BA322" i="55" s="1"/>
  <c r="AZ256" i="55"/>
  <c r="AZ258" i="55" s="1"/>
  <c r="BB318" i="55"/>
  <c r="BB320" i="55" s="1"/>
  <c r="BB322" i="55" s="1"/>
  <c r="BC318" i="55"/>
  <c r="BC320" i="55" s="1"/>
  <c r="BC322" i="55" s="1"/>
  <c r="AZ318" i="55"/>
  <c r="AZ320" i="55" s="1"/>
  <c r="AZ322" i="55" s="1"/>
  <c r="BB256" i="55"/>
  <c r="BB258" i="55" s="1"/>
  <c r="BD256" i="55"/>
  <c r="BD258" i="55" s="1"/>
  <c r="BD318" i="55"/>
  <c r="BD320" i="55" s="1"/>
  <c r="BD322" i="55" s="1"/>
  <c r="BF256" i="55"/>
  <c r="BF258" i="55" s="1"/>
  <c r="BE318" i="55"/>
  <c r="BE320" i="55" s="1"/>
  <c r="BE322" i="55" s="1"/>
  <c r="BE256" i="55"/>
  <c r="BE258" i="55" s="1"/>
  <c r="BF318" i="55"/>
  <c r="BF320" i="55" s="1"/>
  <c r="BF322" i="55" s="1"/>
  <c r="AW246" i="55"/>
  <c r="AW245" i="55"/>
  <c r="BG318" i="55"/>
  <c r="BG320" i="55" s="1"/>
  <c r="BG322" i="55" s="1"/>
  <c r="AW255" i="55"/>
  <c r="BG256" i="55"/>
  <c r="AW254" i="55"/>
  <c r="AY256" i="55"/>
  <c r="AW316" i="55"/>
  <c r="AY318" i="55"/>
  <c r="AY320" i="55" s="1"/>
  <c r="AY322" i="55" s="1"/>
  <c r="AW317" i="55"/>
  <c r="M141" i="23"/>
  <c r="M140" i="23"/>
  <c r="M134" i="23"/>
  <c r="M135" i="23"/>
  <c r="BC291" i="55" l="1"/>
  <c r="BE291" i="55"/>
  <c r="BB291" i="55"/>
  <c r="BF291" i="55"/>
  <c r="BD291" i="55"/>
  <c r="BA291" i="55"/>
  <c r="AZ291" i="55"/>
  <c r="AZ225" i="55"/>
  <c r="I227" i="23" s="1"/>
  <c r="AY225" i="55"/>
  <c r="BA225" i="55"/>
  <c r="BC260" i="55"/>
  <c r="BC265" i="55"/>
  <c r="BC278" i="55" s="1"/>
  <c r="BC292" i="55" s="1"/>
  <c r="BD260" i="55"/>
  <c r="BD265" i="55"/>
  <c r="BD278" i="55" s="1"/>
  <c r="BD292" i="55" s="1"/>
  <c r="BB265" i="55"/>
  <c r="BB278" i="55" s="1"/>
  <c r="BB292" i="55" s="1"/>
  <c r="BE265" i="55"/>
  <c r="BE278" i="55" s="1"/>
  <c r="BE292" i="55" s="1"/>
  <c r="AZ260" i="55"/>
  <c r="AZ265" i="55"/>
  <c r="AZ278" i="55" s="1"/>
  <c r="AZ292" i="55" s="1"/>
  <c r="BA260" i="55"/>
  <c r="BA265" i="55"/>
  <c r="BF265" i="55"/>
  <c r="BB260" i="55"/>
  <c r="BF260" i="55"/>
  <c r="BE260" i="55"/>
  <c r="AW322" i="55"/>
  <c r="I135" i="23"/>
  <c r="I134" i="23"/>
  <c r="I210" i="23"/>
  <c r="I211" i="23"/>
  <c r="I140" i="23"/>
  <c r="I141" i="23"/>
  <c r="BG252" i="55"/>
  <c r="AW244" i="55"/>
  <c r="AY252" i="55"/>
  <c r="AW12" i="55"/>
  <c r="AW318" i="55"/>
  <c r="AW256" i="55"/>
  <c r="AW205" i="55"/>
  <c r="M133" i="23"/>
  <c r="M233" i="23"/>
  <c r="M227" i="23"/>
  <c r="M221" i="23"/>
  <c r="M211" i="23"/>
  <c r="M210" i="23"/>
  <c r="I221" i="23" l="1"/>
  <c r="AW225" i="55"/>
  <c r="I233" i="23"/>
  <c r="M212" i="23"/>
  <c r="M214" i="23" s="1"/>
  <c r="M215" i="23" s="1"/>
  <c r="M142" i="23"/>
  <c r="BA278" i="55"/>
  <c r="BA292" i="55" s="1"/>
  <c r="BF278" i="55"/>
  <c r="BF292" i="55" s="1"/>
  <c r="I133" i="23"/>
  <c r="BG258" i="55"/>
  <c r="AW252" i="55"/>
  <c r="AY258" i="55"/>
  <c r="AW320" i="55"/>
  <c r="AW207" i="55"/>
  <c r="AW134" i="55"/>
  <c r="M71" i="23"/>
  <c r="BG291" i="55" l="1"/>
  <c r="AY291" i="55"/>
  <c r="R214" i="23"/>
  <c r="R215" i="23" s="1"/>
  <c r="O214" i="23"/>
  <c r="O215" i="23" s="1"/>
  <c r="N214" i="23"/>
  <c r="N215" i="23" s="1"/>
  <c r="P214" i="23"/>
  <c r="P215" i="23" s="1"/>
  <c r="Q214" i="23"/>
  <c r="Q215" i="23" s="1"/>
  <c r="AY265" i="55"/>
  <c r="AY278" i="55" s="1"/>
  <c r="AY292" i="55" s="1"/>
  <c r="BG260" i="55"/>
  <c r="BG265" i="55"/>
  <c r="BG278" i="55" s="1"/>
  <c r="BG292" i="55" s="1"/>
  <c r="AY260" i="55"/>
  <c r="P144" i="23"/>
  <c r="P145" i="23" s="1"/>
  <c r="Q144" i="23"/>
  <c r="Q145" i="23" s="1"/>
  <c r="O144" i="23"/>
  <c r="O145" i="23" s="1"/>
  <c r="R144" i="23"/>
  <c r="R145" i="23" s="1"/>
  <c r="N144" i="23"/>
  <c r="N145" i="23" s="1"/>
  <c r="M144" i="23"/>
  <c r="M145" i="23" s="1"/>
  <c r="I151" i="23"/>
  <c r="AW258" i="55"/>
  <c r="M81" i="23"/>
  <c r="M151" i="23"/>
  <c r="AW260" i="55" l="1"/>
  <c r="AW265" i="55"/>
  <c r="AW278" i="55" s="1"/>
  <c r="I81" i="23"/>
  <c r="Q129" i="24" l="1"/>
  <c r="N73" i="24"/>
  <c r="O73" i="24" l="1"/>
  <c r="P73" i="24" s="1"/>
  <c r="Q73" i="24" s="1"/>
  <c r="R73" i="24" s="1"/>
  <c r="S73" i="24" s="1"/>
  <c r="T73" i="24" s="1"/>
  <c r="U73" i="24" s="1"/>
  <c r="V73" i="24" s="1"/>
  <c r="W73" i="24" s="1"/>
  <c r="X73" i="24" s="1"/>
  <c r="Y73" i="24" s="1"/>
  <c r="Z73" i="24" s="1"/>
  <c r="AA73" i="24" s="1"/>
  <c r="AB73" i="24" s="1"/>
  <c r="AC73" i="24" s="1"/>
  <c r="AD73" i="24" s="1"/>
  <c r="AE73" i="24" s="1"/>
  <c r="AF73" i="24" s="1"/>
  <c r="AG73" i="24" s="1"/>
  <c r="AH73" i="24" s="1"/>
  <c r="AI73" i="24" s="1"/>
  <c r="AJ73" i="24" s="1"/>
  <c r="AK73" i="24" s="1"/>
  <c r="AL73" i="24" s="1"/>
  <c r="R129" i="24"/>
  <c r="S129" i="24" s="1"/>
  <c r="Q154" i="24"/>
  <c r="P34" i="23" a="1"/>
  <c r="AM73" i="24" l="1"/>
  <c r="AN73" i="24" s="1"/>
  <c r="AO73" i="24" s="1"/>
  <c r="AP73" i="24" s="1"/>
  <c r="AQ73" i="24" s="1"/>
  <c r="AR73" i="24" s="1"/>
  <c r="AS73" i="24" s="1"/>
  <c r="AT73" i="24" s="1"/>
  <c r="AU73" i="24" s="1"/>
  <c r="AV73" i="24" s="1"/>
  <c r="AW73" i="24" s="1"/>
  <c r="AX73" i="24" s="1"/>
  <c r="AY73" i="24" s="1"/>
  <c r="AZ73" i="24" s="1"/>
  <c r="BA73" i="24" s="1"/>
  <c r="T129" i="24"/>
  <c r="R154" i="24"/>
  <c r="P34" i="23"/>
  <c r="Q34" i="23" a="1"/>
  <c r="O34" i="23" a="1"/>
  <c r="N34" i="23" a="1"/>
  <c r="R34" i="23" a="1"/>
  <c r="O33" i="23" a="1"/>
  <c r="P33" i="23" a="1"/>
  <c r="Q33" i="23" a="1"/>
  <c r="N33" i="23" a="1"/>
  <c r="R33" i="23" a="1"/>
  <c r="U129" i="24" l="1"/>
  <c r="O33" i="23"/>
  <c r="R33" i="23"/>
  <c r="N33" i="23"/>
  <c r="Q34" i="23"/>
  <c r="O34" i="23"/>
  <c r="P33" i="23"/>
  <c r="N34" i="23"/>
  <c r="Q33" i="23"/>
  <c r="R34" i="23"/>
  <c r="T154" i="24" l="1"/>
  <c r="AC108" i="55"/>
  <c r="Q108" i="55"/>
  <c r="AO108" i="55"/>
  <c r="V129" i="24"/>
  <c r="U154" i="24"/>
  <c r="P68" i="23"/>
  <c r="P240" i="23"/>
  <c r="P237" i="23"/>
  <c r="P238" i="23"/>
  <c r="AO115" i="55" l="1"/>
  <c r="AK115" i="55" s="1"/>
  <c r="AC115" i="55"/>
  <c r="Y115" i="55" s="1"/>
  <c r="Q115" i="55"/>
  <c r="Q158" i="55"/>
  <c r="W129" i="24"/>
  <c r="V154" i="24"/>
  <c r="Q134" i="55"/>
  <c r="O5" i="55" s="1"/>
  <c r="Q137" i="55"/>
  <c r="Q110" i="55"/>
  <c r="Q212" i="55" s="1"/>
  <c r="AC134" i="55"/>
  <c r="AA5" i="55" s="1"/>
  <c r="AC137" i="55"/>
  <c r="AC138" i="55" s="1"/>
  <c r="AC110" i="55"/>
  <c r="AC212" i="55" s="1"/>
  <c r="AO134" i="55"/>
  <c r="AM5" i="55" s="1"/>
  <c r="AO137" i="55"/>
  <c r="AO138" i="55" s="1"/>
  <c r="AO110" i="55"/>
  <c r="AO212" i="55" s="1"/>
  <c r="P72" i="23"/>
  <c r="P91" i="23"/>
  <c r="P95" i="23"/>
  <c r="P161" i="23"/>
  <c r="P89" i="23"/>
  <c r="P165" i="23"/>
  <c r="P158" i="23"/>
  <c r="P88" i="23"/>
  <c r="P159" i="23"/>
  <c r="Q138" i="55" l="1"/>
  <c r="Q141" i="55" s="1"/>
  <c r="AA126" i="55"/>
  <c r="AA156" i="55" s="1"/>
  <c r="AO126" i="55"/>
  <c r="AO156" i="55" s="1"/>
  <c r="AO162" i="55" s="1"/>
  <c r="AM126" i="55"/>
  <c r="AM156" i="55" s="1"/>
  <c r="AN126" i="55"/>
  <c r="AN156" i="55" s="1"/>
  <c r="AN165" i="55" s="1"/>
  <c r="AB126" i="55"/>
  <c r="AB156" i="55" s="1"/>
  <c r="AB174" i="55" s="1"/>
  <c r="AB190" i="55" s="1"/>
  <c r="AB194" i="55" s="1"/>
  <c r="AC126" i="55"/>
  <c r="AC156" i="55" s="1"/>
  <c r="AC162" i="55" s="1"/>
  <c r="AK110" i="55"/>
  <c r="Y110" i="55"/>
  <c r="AK138" i="55"/>
  <c r="Y138" i="55"/>
  <c r="AO116" i="55"/>
  <c r="AO124" i="55" s="1"/>
  <c r="AC116" i="55"/>
  <c r="AC170" i="55" s="1"/>
  <c r="Q116" i="55"/>
  <c r="Q124" i="55" s="1"/>
  <c r="AO135" i="55"/>
  <c r="AO136" i="55" s="1"/>
  <c r="AO215" i="55" s="1"/>
  <c r="AO141" i="55"/>
  <c r="AC141" i="55"/>
  <c r="Q135" i="55"/>
  <c r="AC135" i="55"/>
  <c r="AC136" i="55" s="1"/>
  <c r="AC215" i="55" s="1"/>
  <c r="X129" i="24"/>
  <c r="W154" i="24"/>
  <c r="P96" i="23"/>
  <c r="P166" i="23"/>
  <c r="P224" i="23"/>
  <c r="P230" i="23"/>
  <c r="Q136" i="55" l="1"/>
  <c r="Q215" i="55" s="1"/>
  <c r="AN174" i="55"/>
  <c r="AN190" i="55" s="1"/>
  <c r="AN194" i="55" s="1"/>
  <c r="AN162" i="55"/>
  <c r="AO165" i="55"/>
  <c r="AK126" i="55"/>
  <c r="AB162" i="55"/>
  <c r="AB165" i="55"/>
  <c r="AB307" i="55" s="1"/>
  <c r="Y126" i="55"/>
  <c r="AC165" i="55"/>
  <c r="AN13" i="55"/>
  <c r="AN307" i="55"/>
  <c r="AT307" i="55"/>
  <c r="AS307" i="55"/>
  <c r="AP307" i="55"/>
  <c r="AQ307" i="55"/>
  <c r="AU307" i="55"/>
  <c r="AO307" i="55"/>
  <c r="AR307" i="55"/>
  <c r="AM307" i="55"/>
  <c r="AK156" i="55"/>
  <c r="AM174" i="55"/>
  <c r="AM190" i="55" s="1"/>
  <c r="AM194" i="55" s="1"/>
  <c r="AM162" i="55"/>
  <c r="AM165" i="55"/>
  <c r="Y156" i="55"/>
  <c r="AA174" i="55"/>
  <c r="AA190" i="55" s="1"/>
  <c r="AA194" i="55" s="1"/>
  <c r="AA165" i="55"/>
  <c r="AA162" i="55"/>
  <c r="AO143" i="55"/>
  <c r="AC143" i="55"/>
  <c r="Q143" i="55"/>
  <c r="AO170" i="55"/>
  <c r="AO172" i="55" s="1"/>
  <c r="AC147" i="55"/>
  <c r="AC149" i="55" s="1"/>
  <c r="Y149" i="55" s="1"/>
  <c r="AC202" i="55"/>
  <c r="Q202" i="55"/>
  <c r="Q147" i="55"/>
  <c r="Q149" i="55" s="1"/>
  <c r="AO147" i="55"/>
  <c r="AO149" i="55" s="1"/>
  <c r="AK149" i="55" s="1"/>
  <c r="AO202" i="55"/>
  <c r="AK116" i="55"/>
  <c r="AO120" i="55"/>
  <c r="AK120" i="55" s="1"/>
  <c r="AC120" i="55"/>
  <c r="Y116" i="55"/>
  <c r="AC124" i="55"/>
  <c r="Y124" i="55" s="1"/>
  <c r="Q170" i="55"/>
  <c r="Q172" i="55" s="1"/>
  <c r="Q120" i="55"/>
  <c r="AC214" i="55"/>
  <c r="AO214" i="55"/>
  <c r="Q189" i="55"/>
  <c r="P167" i="23"/>
  <c r="AC174" i="55"/>
  <c r="AK141" i="55"/>
  <c r="Y141" i="55"/>
  <c r="AC189" i="55"/>
  <c r="Y129" i="24"/>
  <c r="X154" i="24"/>
  <c r="AO174" i="55"/>
  <c r="AC172" i="55"/>
  <c r="Y170" i="55"/>
  <c r="AO189" i="55"/>
  <c r="AK124" i="55"/>
  <c r="P97" i="23"/>
  <c r="P148" i="23"/>
  <c r="P242" i="23"/>
  <c r="P78" i="23"/>
  <c r="AE245" i="55" l="1"/>
  <c r="Y120" i="55"/>
  <c r="Q214" i="55"/>
  <c r="Q219" i="55" s="1"/>
  <c r="Q14" i="55"/>
  <c r="AN244" i="55"/>
  <c r="AQ244" i="55"/>
  <c r="AT244" i="55"/>
  <c r="AP244" i="55"/>
  <c r="AU244" i="55"/>
  <c r="AS244" i="55"/>
  <c r="AR244" i="55"/>
  <c r="AO244" i="55"/>
  <c r="AQ245" i="55"/>
  <c r="AT245" i="55"/>
  <c r="AS245" i="55"/>
  <c r="AR245" i="55"/>
  <c r="AU245" i="55"/>
  <c r="AP245" i="55"/>
  <c r="AO245" i="55"/>
  <c r="AD244" i="55"/>
  <c r="AG244" i="55"/>
  <c r="AI244" i="55"/>
  <c r="AE244" i="55"/>
  <c r="AF244" i="55"/>
  <c r="AH244" i="55"/>
  <c r="AG245" i="55"/>
  <c r="AF245" i="55"/>
  <c r="AI245" i="55"/>
  <c r="AH245" i="55"/>
  <c r="AC245" i="55"/>
  <c r="AD245" i="55"/>
  <c r="AB244" i="55"/>
  <c r="AC244" i="55"/>
  <c r="AM245" i="55"/>
  <c r="AN245" i="55"/>
  <c r="AA245" i="55"/>
  <c r="AB245" i="55"/>
  <c r="AB13" i="55"/>
  <c r="AE307" i="55"/>
  <c r="AF307" i="55"/>
  <c r="AD307" i="55"/>
  <c r="AC307" i="55"/>
  <c r="AI307" i="55"/>
  <c r="AH307" i="55"/>
  <c r="AG307" i="55"/>
  <c r="AA307" i="55"/>
  <c r="AP306" i="55"/>
  <c r="AO306" i="55"/>
  <c r="AR306" i="55"/>
  <c r="AQ306" i="55"/>
  <c r="AM306" i="55"/>
  <c r="AT306" i="55"/>
  <c r="AU306" i="55"/>
  <c r="AS306" i="55"/>
  <c r="AN306" i="55"/>
  <c r="AK162" i="55"/>
  <c r="AM244" i="55"/>
  <c r="AK307" i="55"/>
  <c r="AO145" i="55"/>
  <c r="AK145" i="55" s="1"/>
  <c r="Q145" i="55"/>
  <c r="AC145" i="55"/>
  <c r="AC203" i="55" s="1"/>
  <c r="Y203" i="55" s="1"/>
  <c r="AE306" i="55"/>
  <c r="AB306" i="55"/>
  <c r="AG306" i="55"/>
  <c r="AC306" i="55"/>
  <c r="AF306" i="55"/>
  <c r="AA306" i="55"/>
  <c r="AH306" i="55"/>
  <c r="AD306" i="55"/>
  <c r="AI306" i="55"/>
  <c r="Y162" i="55"/>
  <c r="AA244" i="55"/>
  <c r="AA13" i="55"/>
  <c r="Y165" i="55"/>
  <c r="AK165" i="55"/>
  <c r="AM13" i="55"/>
  <c r="AK170" i="55"/>
  <c r="AK172" i="55" s="1"/>
  <c r="AO201" i="55"/>
  <c r="AK201" i="55" s="1"/>
  <c r="AC201" i="55"/>
  <c r="Y201" i="55" s="1"/>
  <c r="Q201" i="55"/>
  <c r="Q193" i="55"/>
  <c r="AH246" i="55"/>
  <c r="AM308" i="55"/>
  <c r="AS308" i="55"/>
  <c r="AN308" i="55"/>
  <c r="AC308" i="55"/>
  <c r="AP308" i="55"/>
  <c r="AE308" i="55"/>
  <c r="AA308" i="55"/>
  <c r="AQ308" i="55"/>
  <c r="AI308" i="55"/>
  <c r="AT308" i="55"/>
  <c r="AO13" i="55"/>
  <c r="AU246" i="55"/>
  <c r="AG308" i="55"/>
  <c r="AU308" i="55"/>
  <c r="AD308" i="55"/>
  <c r="AB308" i="55"/>
  <c r="AH308" i="55"/>
  <c r="AO308" i="55"/>
  <c r="AR308" i="55"/>
  <c r="AF308" i="55"/>
  <c r="AC13" i="55"/>
  <c r="AG267" i="55"/>
  <c r="AA267" i="55"/>
  <c r="AD267" i="55"/>
  <c r="AB267" i="55"/>
  <c r="Y212" i="55"/>
  <c r="AC267" i="55"/>
  <c r="AC219" i="55"/>
  <c r="AF267" i="55"/>
  <c r="AE267" i="55"/>
  <c r="AH267" i="55"/>
  <c r="AI267" i="55"/>
  <c r="AC190" i="55"/>
  <c r="Y174" i="55"/>
  <c r="AS267" i="55"/>
  <c r="AT267" i="55"/>
  <c r="AQ267" i="55"/>
  <c r="AU267" i="55"/>
  <c r="AN267" i="55"/>
  <c r="AO219" i="55"/>
  <c r="AM267" i="55"/>
  <c r="AK212" i="55"/>
  <c r="AR267" i="55"/>
  <c r="AO267" i="55"/>
  <c r="AP267" i="55"/>
  <c r="AC14" i="55"/>
  <c r="Y14" i="55" s="1"/>
  <c r="AC193" i="55"/>
  <c r="Y189" i="55"/>
  <c r="Y193" i="55" s="1"/>
  <c r="AM270" i="55"/>
  <c r="AK215" i="55"/>
  <c r="AR270" i="55"/>
  <c r="AO270" i="55"/>
  <c r="AN270" i="55"/>
  <c r="AP270" i="55"/>
  <c r="AU270" i="55"/>
  <c r="AQ270" i="55"/>
  <c r="AT270" i="55"/>
  <c r="AS270" i="55"/>
  <c r="AD269" i="55"/>
  <c r="AH269" i="55"/>
  <c r="AF269" i="55"/>
  <c r="AE269" i="55"/>
  <c r="Y214" i="55"/>
  <c r="AI269" i="55"/>
  <c r="AB269" i="55"/>
  <c r="AC269" i="55"/>
  <c r="AG269" i="55"/>
  <c r="AA269" i="55"/>
  <c r="AO14" i="55"/>
  <c r="AK14" i="55" s="1"/>
  <c r="AK189" i="55"/>
  <c r="AK193" i="55" s="1"/>
  <c r="AO193" i="55"/>
  <c r="AO190" i="55"/>
  <c r="AK174" i="55"/>
  <c r="AM269" i="55"/>
  <c r="AU269" i="55"/>
  <c r="AS269" i="55"/>
  <c r="AT269" i="55"/>
  <c r="AQ269" i="55"/>
  <c r="AK214" i="55"/>
  <c r="AN269" i="55"/>
  <c r="AP269" i="55"/>
  <c r="AO269" i="55"/>
  <c r="AR269" i="55"/>
  <c r="Y172" i="55"/>
  <c r="Z129" i="24"/>
  <c r="Y154" i="24"/>
  <c r="AC270" i="55"/>
  <c r="AF270" i="55"/>
  <c r="AD270" i="55"/>
  <c r="AE270" i="55"/>
  <c r="AI270" i="55"/>
  <c r="AB270" i="55"/>
  <c r="AH270" i="55"/>
  <c r="AG270" i="55"/>
  <c r="Y215" i="55"/>
  <c r="AA270" i="55"/>
  <c r="P82" i="23"/>
  <c r="P152" i="23"/>
  <c r="M70" i="23"/>
  <c r="M69" i="23"/>
  <c r="P236" i="23"/>
  <c r="P239" i="23"/>
  <c r="M189" i="23"/>
  <c r="P218" i="23"/>
  <c r="AI246" i="55" l="1"/>
  <c r="AI252" i="55" s="1"/>
  <c r="AG246" i="55"/>
  <c r="AG252" i="55" s="1"/>
  <c r="AD246" i="55"/>
  <c r="AD252" i="55" s="1"/>
  <c r="AF246" i="55"/>
  <c r="AF252" i="55" s="1"/>
  <c r="AE246" i="55"/>
  <c r="AE252" i="55" s="1"/>
  <c r="AS246" i="55"/>
  <c r="AS252" i="55" s="1"/>
  <c r="AU252" i="55"/>
  <c r="AH252" i="55"/>
  <c r="AQ246" i="55"/>
  <c r="AQ252" i="55" s="1"/>
  <c r="AK244" i="55"/>
  <c r="I118" i="23" s="1"/>
  <c r="AP246" i="55"/>
  <c r="AP252" i="55" s="1"/>
  <c r="AT246" i="55"/>
  <c r="AT252" i="55" s="1"/>
  <c r="AO246" i="55"/>
  <c r="AO252" i="55" s="1"/>
  <c r="AR246" i="55"/>
  <c r="AR252" i="55" s="1"/>
  <c r="AN246" i="55"/>
  <c r="AN252" i="55" s="1"/>
  <c r="Y245" i="55"/>
  <c r="I104" i="23" s="1"/>
  <c r="Y244" i="55"/>
  <c r="I103" i="23" s="1"/>
  <c r="AC246" i="55"/>
  <c r="AC252" i="55" s="1"/>
  <c r="AK245" i="55"/>
  <c r="AB246" i="55"/>
  <c r="AB252" i="55" s="1"/>
  <c r="Y307" i="55"/>
  <c r="AO314" i="55"/>
  <c r="Q203" i="55"/>
  <c r="AN314" i="55"/>
  <c r="AO203" i="55"/>
  <c r="AK203" i="55" s="1"/>
  <c r="AM246" i="55"/>
  <c r="AM252" i="55" s="1"/>
  <c r="AM314" i="55"/>
  <c r="AU314" i="55"/>
  <c r="AP314" i="55"/>
  <c r="AA246" i="55"/>
  <c r="AA252" i="55" s="1"/>
  <c r="AR314" i="55"/>
  <c r="AQ314" i="55"/>
  <c r="AK306" i="55"/>
  <c r="AS314" i="55"/>
  <c r="I189" i="23"/>
  <c r="AT314" i="55"/>
  <c r="Y145" i="55"/>
  <c r="AF314" i="55"/>
  <c r="AC314" i="55"/>
  <c r="AE314" i="55"/>
  <c r="AI314" i="55"/>
  <c r="AD314" i="55"/>
  <c r="AH314" i="55"/>
  <c r="AG314" i="55"/>
  <c r="AB314" i="55"/>
  <c r="AA314" i="55"/>
  <c r="Y306" i="55"/>
  <c r="Y270" i="55"/>
  <c r="Y308" i="55"/>
  <c r="AI276" i="55"/>
  <c r="AU276" i="55"/>
  <c r="Y269" i="55"/>
  <c r="AK308" i="55"/>
  <c r="I190" i="23" s="1"/>
  <c r="AN276" i="55"/>
  <c r="AH276" i="55"/>
  <c r="AO194" i="55"/>
  <c r="AK190" i="55"/>
  <c r="AK194" i="55" s="1"/>
  <c r="AE276" i="55"/>
  <c r="AQ276" i="55"/>
  <c r="AF276" i="55"/>
  <c r="AT276" i="55"/>
  <c r="AS276" i="55"/>
  <c r="AK175" i="55"/>
  <c r="AC276" i="55"/>
  <c r="Y175" i="55"/>
  <c r="Y219" i="55"/>
  <c r="AC194" i="55"/>
  <c r="Y190" i="55"/>
  <c r="Y194" i="55" s="1"/>
  <c r="AB276" i="55"/>
  <c r="AA129" i="24"/>
  <c r="Z154" i="24"/>
  <c r="AD276" i="55"/>
  <c r="AA276" i="55"/>
  <c r="Y267" i="55"/>
  <c r="AK269" i="55"/>
  <c r="AG276" i="55"/>
  <c r="AP276" i="55"/>
  <c r="AK270" i="55"/>
  <c r="AO276" i="55"/>
  <c r="AR276" i="55"/>
  <c r="I70" i="23"/>
  <c r="AK219" i="55"/>
  <c r="I69" i="23"/>
  <c r="AM276" i="55"/>
  <c r="AK267" i="55"/>
  <c r="P243" i="23"/>
  <c r="M119" i="23"/>
  <c r="M118" i="23"/>
  <c r="M190" i="23"/>
  <c r="M175" i="23"/>
  <c r="M104" i="23"/>
  <c r="M188" i="23"/>
  <c r="M173" i="23"/>
  <c r="M103" i="23"/>
  <c r="M174" i="23"/>
  <c r="I119" i="23" l="1"/>
  <c r="I174" i="23"/>
  <c r="AK246" i="55"/>
  <c r="AK252" i="55" s="1"/>
  <c r="Y246" i="55"/>
  <c r="Y252" i="55" s="1"/>
  <c r="I188" i="23"/>
  <c r="Y314" i="55"/>
  <c r="I173" i="23"/>
  <c r="AK314" i="55"/>
  <c r="I175" i="23"/>
  <c r="AK276" i="55"/>
  <c r="AB129" i="24"/>
  <c r="AA154" i="24"/>
  <c r="Y176" i="55"/>
  <c r="Y184" i="55" s="1"/>
  <c r="AK176" i="55"/>
  <c r="AK184" i="55" s="1"/>
  <c r="Y276" i="55"/>
  <c r="M120" i="23"/>
  <c r="M105" i="23"/>
  <c r="I120" i="23" l="1"/>
  <c r="I105" i="23"/>
  <c r="AS316" i="55"/>
  <c r="AN317" i="55"/>
  <c r="AN316" i="55"/>
  <c r="AO317" i="55"/>
  <c r="AU316" i="55"/>
  <c r="AQ316" i="55"/>
  <c r="AU317" i="55"/>
  <c r="AT317" i="55"/>
  <c r="AS317" i="55"/>
  <c r="AT316" i="55"/>
  <c r="AR316" i="55"/>
  <c r="AO316" i="55"/>
  <c r="AQ317" i="55"/>
  <c r="AP317" i="55"/>
  <c r="AM317" i="55"/>
  <c r="AM316" i="55"/>
  <c r="AP316" i="55"/>
  <c r="AR317" i="55"/>
  <c r="AN184" i="55"/>
  <c r="AU184" i="55"/>
  <c r="AU13" i="55" s="1"/>
  <c r="AO184" i="55"/>
  <c r="AM184" i="55"/>
  <c r="AI316" i="55"/>
  <c r="AG316" i="55"/>
  <c r="AF316" i="55"/>
  <c r="AC316" i="55"/>
  <c r="AE317" i="55"/>
  <c r="AH316" i="55"/>
  <c r="AI317" i="55"/>
  <c r="AB317" i="55"/>
  <c r="AA316" i="55"/>
  <c r="AD317" i="55"/>
  <c r="AB316" i="55"/>
  <c r="AC317" i="55"/>
  <c r="AE316" i="55"/>
  <c r="AD316" i="55"/>
  <c r="AF317" i="55"/>
  <c r="AA317" i="55"/>
  <c r="AH317" i="55"/>
  <c r="AG317" i="55"/>
  <c r="AB184" i="55"/>
  <c r="AA184" i="55"/>
  <c r="AI184" i="55"/>
  <c r="AI13" i="55" s="1"/>
  <c r="Y13" i="55" s="1"/>
  <c r="AC184" i="55"/>
  <c r="AK180" i="55"/>
  <c r="Y180" i="55"/>
  <c r="AC129" i="24"/>
  <c r="AB154" i="24"/>
  <c r="AD318" i="55" l="1"/>
  <c r="AD320" i="55" s="1"/>
  <c r="AD322" i="55" s="1"/>
  <c r="AE318" i="55"/>
  <c r="AE320" i="55" s="1"/>
  <c r="AE322" i="55" s="1"/>
  <c r="AO318" i="55"/>
  <c r="AO320" i="55" s="1"/>
  <c r="AO322" i="55" s="1"/>
  <c r="AQ318" i="55"/>
  <c r="AQ320" i="55" s="1"/>
  <c r="AQ322" i="55" s="1"/>
  <c r="AK317" i="55"/>
  <c r="AR318" i="55"/>
  <c r="AR320" i="55" s="1"/>
  <c r="AR322" i="55" s="1"/>
  <c r="AN318" i="55"/>
  <c r="AN320" i="55" s="1"/>
  <c r="AN322" i="55" s="1"/>
  <c r="Y317" i="55"/>
  <c r="AT318" i="55"/>
  <c r="AT320" i="55" s="1"/>
  <c r="AT322" i="55" s="1"/>
  <c r="AM318" i="55"/>
  <c r="AM320" i="55" s="1"/>
  <c r="AM322" i="55" s="1"/>
  <c r="AK316" i="55"/>
  <c r="AQ255" i="55"/>
  <c r="AT254" i="55"/>
  <c r="AR254" i="55"/>
  <c r="AS255" i="55"/>
  <c r="AR255" i="55"/>
  <c r="AU254" i="55"/>
  <c r="AU255" i="55"/>
  <c r="AO254" i="55"/>
  <c r="AN254" i="55"/>
  <c r="AT255" i="55"/>
  <c r="AP254" i="55"/>
  <c r="AM255" i="55"/>
  <c r="AM254" i="55"/>
  <c r="AS254" i="55"/>
  <c r="AO255" i="55"/>
  <c r="AN255" i="55"/>
  <c r="AP255" i="55"/>
  <c r="AQ254" i="55"/>
  <c r="AU180" i="55"/>
  <c r="AK13" i="55" s="1"/>
  <c r="AM180" i="55"/>
  <c r="AO180" i="55"/>
  <c r="AN180" i="55"/>
  <c r="AP318" i="55"/>
  <c r="AP320" i="55" s="1"/>
  <c r="AP322" i="55" s="1"/>
  <c r="AU318" i="55"/>
  <c r="AU320" i="55" s="1"/>
  <c r="AU322" i="55" s="1"/>
  <c r="AS318" i="55"/>
  <c r="AS320" i="55" s="1"/>
  <c r="AS322" i="55" s="1"/>
  <c r="AC318" i="55"/>
  <c r="AC320" i="55" s="1"/>
  <c r="AC322" i="55" s="1"/>
  <c r="AB318" i="55"/>
  <c r="AB320" i="55" s="1"/>
  <c r="AB322" i="55" s="1"/>
  <c r="AF318" i="55"/>
  <c r="AF320" i="55" s="1"/>
  <c r="AF322" i="55" s="1"/>
  <c r="AH318" i="55"/>
  <c r="AH320" i="55" s="1"/>
  <c r="AH322" i="55" s="1"/>
  <c r="AG318" i="55"/>
  <c r="AG320" i="55" s="1"/>
  <c r="AG322" i="55" s="1"/>
  <c r="AB255" i="55"/>
  <c r="AB254" i="55"/>
  <c r="AA254" i="55"/>
  <c r="AI255" i="55"/>
  <c r="AH255" i="55"/>
  <c r="AF255" i="55"/>
  <c r="AH254" i="55"/>
  <c r="AE254" i="55"/>
  <c r="AI254" i="55"/>
  <c r="AF254" i="55"/>
  <c r="AD254" i="55"/>
  <c r="AE255" i="55"/>
  <c r="AA255" i="55"/>
  <c r="AC254" i="55"/>
  <c r="AG255" i="55"/>
  <c r="AG254" i="55"/>
  <c r="AC255" i="55"/>
  <c r="AD255" i="55"/>
  <c r="AB180" i="55"/>
  <c r="AC180" i="55"/>
  <c r="AA180" i="55"/>
  <c r="AI180" i="55"/>
  <c r="AA318" i="55"/>
  <c r="AA320" i="55" s="1"/>
  <c r="AA322" i="55" s="1"/>
  <c r="Y316" i="55"/>
  <c r="AI318" i="55"/>
  <c r="AI320" i="55" s="1"/>
  <c r="AI322" i="55" s="1"/>
  <c r="AD129" i="24"/>
  <c r="M181" i="23"/>
  <c r="M195" i="23"/>
  <c r="M180" i="23"/>
  <c r="M196" i="23"/>
  <c r="AF256" i="55" l="1"/>
  <c r="AF258" i="55" s="1"/>
  <c r="AF265" i="55" s="1"/>
  <c r="AF278" i="55" s="1"/>
  <c r="AF292" i="55" s="1"/>
  <c r="AC256" i="55"/>
  <c r="AC258" i="55" s="1"/>
  <c r="AC265" i="55" s="1"/>
  <c r="AC278" i="55" s="1"/>
  <c r="AC292" i="55" s="1"/>
  <c r="AH256" i="55"/>
  <c r="AH258" i="55" s="1"/>
  <c r="AH265" i="55" s="1"/>
  <c r="AH278" i="55" s="1"/>
  <c r="AH292" i="55" s="1"/>
  <c r="AB256" i="55"/>
  <c r="AB258" i="55" s="1"/>
  <c r="AN256" i="55"/>
  <c r="AN258" i="55" s="1"/>
  <c r="AI256" i="55"/>
  <c r="AI258" i="55" s="1"/>
  <c r="AS256" i="55"/>
  <c r="AS258" i="55" s="1"/>
  <c r="M197" i="23"/>
  <c r="AO12" i="55"/>
  <c r="AO205" i="55"/>
  <c r="AO207" i="55" s="1"/>
  <c r="AO225" i="55" s="1"/>
  <c r="AK254" i="55"/>
  <c r="AM256" i="55"/>
  <c r="AM258" i="55" s="1"/>
  <c r="AM291" i="55" s="1"/>
  <c r="AM205" i="55"/>
  <c r="AM12" i="55"/>
  <c r="AK255" i="55"/>
  <c r="AO256" i="55"/>
  <c r="AO258" i="55" s="1"/>
  <c r="AO291" i="55" s="1"/>
  <c r="I195" i="23"/>
  <c r="AK318" i="55"/>
  <c r="AK320" i="55" s="1"/>
  <c r="AU12" i="55"/>
  <c r="AU205" i="55"/>
  <c r="AU207" i="55" s="1"/>
  <c r="AP256" i="55"/>
  <c r="AP258" i="55" s="1"/>
  <c r="AP291" i="55" s="1"/>
  <c r="AR256" i="55"/>
  <c r="AR258" i="55" s="1"/>
  <c r="AR291" i="55" s="1"/>
  <c r="AK322" i="55"/>
  <c r="I181" i="23"/>
  <c r="AN205" i="55"/>
  <c r="AN207" i="55" s="1"/>
  <c r="AN225" i="55" s="1"/>
  <c r="AN12" i="55"/>
  <c r="AQ256" i="55"/>
  <c r="AQ258" i="55" s="1"/>
  <c r="AQ291" i="55" s="1"/>
  <c r="AU256" i="55"/>
  <c r="AU258" i="55" s="1"/>
  <c r="AU291" i="55" s="1"/>
  <c r="AT256" i="55"/>
  <c r="AT258" i="55" s="1"/>
  <c r="AT291" i="55" s="1"/>
  <c r="I196" i="23"/>
  <c r="M182" i="23"/>
  <c r="AA205" i="55"/>
  <c r="AA12" i="55"/>
  <c r="Y255" i="55"/>
  <c r="AI12" i="55"/>
  <c r="AI205" i="55"/>
  <c r="AI207" i="55" s="1"/>
  <c r="Y318" i="55"/>
  <c r="Y320" i="55" s="1"/>
  <c r="I180" i="23"/>
  <c r="AC205" i="55"/>
  <c r="AC207" i="55" s="1"/>
  <c r="AC225" i="55" s="1"/>
  <c r="AC12" i="55"/>
  <c r="AG256" i="55"/>
  <c r="AG258" i="55" s="1"/>
  <c r="AG291" i="55" s="1"/>
  <c r="AE256" i="55"/>
  <c r="AE258" i="55" s="1"/>
  <c r="AE291" i="55" s="1"/>
  <c r="Y322" i="55"/>
  <c r="AB12" i="55"/>
  <c r="AB205" i="55"/>
  <c r="AB207" i="55" s="1"/>
  <c r="AB225" i="55" s="1"/>
  <c r="AD256" i="55"/>
  <c r="AD258" i="55" s="1"/>
  <c r="AD291" i="55" s="1"/>
  <c r="Y254" i="55"/>
  <c r="AA256" i="55"/>
  <c r="AA258" i="55" s="1"/>
  <c r="AA291" i="55" s="1"/>
  <c r="AE129" i="24"/>
  <c r="M125" i="23"/>
  <c r="M232" i="23"/>
  <c r="M150" i="23"/>
  <c r="M126" i="23"/>
  <c r="M226" i="23"/>
  <c r="M149" i="23"/>
  <c r="M110" i="23"/>
  <c r="M231" i="23"/>
  <c r="M225" i="23"/>
  <c r="M111" i="23"/>
  <c r="AS265" i="55" l="1"/>
  <c r="AS278" i="55" s="1"/>
  <c r="AS292" i="55" s="1"/>
  <c r="AS291" i="55"/>
  <c r="AI291" i="55"/>
  <c r="AH260" i="55"/>
  <c r="AH291" i="55"/>
  <c r="AF260" i="55"/>
  <c r="AF291" i="55"/>
  <c r="AC260" i="55"/>
  <c r="AC291" i="55"/>
  <c r="AN265" i="55"/>
  <c r="AN278" i="55" s="1"/>
  <c r="AN292" i="55" s="1"/>
  <c r="AN291" i="55"/>
  <c r="AB265" i="55"/>
  <c r="AB278" i="55" s="1"/>
  <c r="AB292" i="55" s="1"/>
  <c r="AB291" i="55"/>
  <c r="AB260" i="55"/>
  <c r="AI260" i="55"/>
  <c r="AS260" i="55"/>
  <c r="AI265" i="55"/>
  <c r="AI278" i="55" s="1"/>
  <c r="AI292" i="55" s="1"/>
  <c r="AN260" i="55"/>
  <c r="M127" i="23"/>
  <c r="AK256" i="55"/>
  <c r="AK258" i="55" s="1"/>
  <c r="I125" i="23"/>
  <c r="AR260" i="55"/>
  <c r="AR265" i="55"/>
  <c r="AR278" i="55" s="1"/>
  <c r="AR292" i="55" s="1"/>
  <c r="I150" i="23"/>
  <c r="AK12" i="55"/>
  <c r="AK134" i="55" s="1"/>
  <c r="I232" i="23"/>
  <c r="AU260" i="55"/>
  <c r="AU265" i="55"/>
  <c r="AU278" i="55" s="1"/>
  <c r="AU292" i="55" s="1"/>
  <c r="AQ260" i="55"/>
  <c r="AQ265" i="55"/>
  <c r="AQ278" i="55" s="1"/>
  <c r="AQ292" i="55" s="1"/>
  <c r="I226" i="23"/>
  <c r="AP265" i="55"/>
  <c r="AP278" i="55" s="1"/>
  <c r="AP292" i="55" s="1"/>
  <c r="AP260" i="55"/>
  <c r="AM207" i="55"/>
  <c r="AK205" i="55"/>
  <c r="I126" i="23"/>
  <c r="AT265" i="55"/>
  <c r="AT278" i="55" s="1"/>
  <c r="AT292" i="55" s="1"/>
  <c r="AT260" i="55"/>
  <c r="AO260" i="55"/>
  <c r="AO265" i="55"/>
  <c r="AO278" i="55" s="1"/>
  <c r="AO292" i="55" s="1"/>
  <c r="AM265" i="55"/>
  <c r="AM260" i="55"/>
  <c r="R199" i="23"/>
  <c r="R200" i="23" s="1"/>
  <c r="P199" i="23"/>
  <c r="P200" i="23" s="1"/>
  <c r="O199" i="23"/>
  <c r="O200" i="23" s="1"/>
  <c r="N199" i="23"/>
  <c r="N200" i="23" s="1"/>
  <c r="M199" i="23"/>
  <c r="M200" i="23" s="1"/>
  <c r="Q199" i="23"/>
  <c r="Q200" i="23" s="1"/>
  <c r="M112" i="23"/>
  <c r="I225" i="23"/>
  <c r="AG265" i="55"/>
  <c r="AG278" i="55" s="1"/>
  <c r="AG292" i="55" s="1"/>
  <c r="AG260" i="55"/>
  <c r="I149" i="23"/>
  <c r="AA260" i="55"/>
  <c r="AA265" i="55"/>
  <c r="I231" i="23"/>
  <c r="I111" i="23"/>
  <c r="AA207" i="55"/>
  <c r="Y205" i="55"/>
  <c r="Y256" i="55"/>
  <c r="I110" i="23"/>
  <c r="AD260" i="55"/>
  <c r="AD265" i="55"/>
  <c r="AD278" i="55" s="1"/>
  <c r="AD292" i="55" s="1"/>
  <c r="AE265" i="55"/>
  <c r="AE278" i="55" s="1"/>
  <c r="AE292" i="55" s="1"/>
  <c r="AE260" i="55"/>
  <c r="Y12" i="55"/>
  <c r="R184" i="23"/>
  <c r="R185" i="23" s="1"/>
  <c r="Q184" i="23"/>
  <c r="Q185" i="23" s="1"/>
  <c r="O184" i="23"/>
  <c r="O185" i="23" s="1"/>
  <c r="P184" i="23"/>
  <c r="P185" i="23" s="1"/>
  <c r="N184" i="23"/>
  <c r="N185" i="23" s="1"/>
  <c r="M184" i="23"/>
  <c r="M185" i="23" s="1"/>
  <c r="AF129" i="24"/>
  <c r="AE154" i="24"/>
  <c r="M80" i="23"/>
  <c r="AK260" i="55" l="1"/>
  <c r="AK207" i="55"/>
  <c r="AM225" i="55"/>
  <c r="AK225" i="55" s="1"/>
  <c r="I80" i="23"/>
  <c r="AM278" i="55"/>
  <c r="AM292" i="55" s="1"/>
  <c r="AK265" i="55"/>
  <c r="AK278" i="55" s="1"/>
  <c r="R129" i="23"/>
  <c r="R130" i="23" s="1"/>
  <c r="O129" i="23"/>
  <c r="O130" i="23" s="1"/>
  <c r="P129" i="23"/>
  <c r="P130" i="23" s="1"/>
  <c r="N129" i="23"/>
  <c r="N130" i="23" s="1"/>
  <c r="M129" i="23"/>
  <c r="M130" i="23" s="1"/>
  <c r="Q129" i="23"/>
  <c r="Q130" i="23" s="1"/>
  <c r="Y258" i="55"/>
  <c r="Y260" i="55"/>
  <c r="Y207" i="55"/>
  <c r="AA225" i="55"/>
  <c r="Y225" i="55" s="1"/>
  <c r="Y134" i="55"/>
  <c r="Y265" i="55"/>
  <c r="AA278" i="55"/>
  <c r="AA292" i="55" s="1"/>
  <c r="R114" i="23"/>
  <c r="R115" i="23" s="1"/>
  <c r="P114" i="23"/>
  <c r="P115" i="23" s="1"/>
  <c r="M114" i="23"/>
  <c r="M115" i="23" s="1"/>
  <c r="O114" i="23"/>
  <c r="O115" i="23" s="1"/>
  <c r="Q114" i="23"/>
  <c r="Q115" i="23" s="1"/>
  <c r="N114" i="23"/>
  <c r="N115" i="23" s="1"/>
  <c r="AG129" i="24"/>
  <c r="AF154" i="24"/>
  <c r="M220" i="23"/>
  <c r="M219" i="23"/>
  <c r="M79" i="23"/>
  <c r="I220" i="23" l="1"/>
  <c r="Y278" i="55"/>
  <c r="I219" i="23"/>
  <c r="I79" i="23"/>
  <c r="AH129" i="24"/>
  <c r="AG154" i="24"/>
  <c r="AI129" i="24" l="1"/>
  <c r="AH154" i="24"/>
  <c r="AJ129" i="24" l="1"/>
  <c r="AI154" i="24"/>
  <c r="AJ154" i="24" l="1"/>
  <c r="AK129" i="24"/>
  <c r="AL129" i="24" l="1"/>
  <c r="AM129" i="24" l="1"/>
  <c r="AN129" i="24" l="1"/>
  <c r="AO129" i="24" l="1"/>
  <c r="AP129" i="24" l="1"/>
  <c r="AQ129" i="24" l="1"/>
  <c r="AR129" i="24" l="1"/>
  <c r="AS129" i="24" l="1"/>
  <c r="AT129" i="24" s="1"/>
  <c r="AU129" i="24" s="1"/>
  <c r="AV129" i="24" s="1"/>
  <c r="AW129" i="24" s="1"/>
  <c r="AX129" i="24" s="1"/>
  <c r="AS154" i="24" l="1"/>
  <c r="Q35" i="23" l="1" a="1"/>
  <c r="P35" i="23" a="1"/>
  <c r="O35" i="23" a="1"/>
  <c r="N35" i="23" a="1"/>
  <c r="R35" i="23" a="1"/>
  <c r="N35" i="23" l="1"/>
  <c r="Q35" i="23"/>
  <c r="O35" i="23"/>
  <c r="P35" i="23"/>
  <c r="R35" i="23"/>
  <c r="I32" i="23" l="1"/>
  <c r="O285" i="55" a="1"/>
  <c r="O285" i="55" s="1"/>
  <c r="O53" i="55"/>
  <c r="O64" i="55" l="1"/>
  <c r="O232" i="55" s="1"/>
  <c r="O56" i="55" a="1"/>
  <c r="O56" i="55" s="1"/>
  <c r="O54" i="55"/>
  <c r="O290" i="55" s="1"/>
  <c r="J51" i="55"/>
  <c r="F2" i="55" s="1"/>
  <c r="M14" i="23" a="1"/>
  <c r="O62" i="55" l="1"/>
  <c r="O230" i="55" s="1"/>
  <c r="M14" i="23"/>
  <c r="I14" i="23"/>
  <c r="P78" i="55" l="1"/>
  <c r="M64" i="55"/>
  <c r="P88" i="55" l="1"/>
  <c r="P191" i="55" s="1"/>
  <c r="P195" i="55" s="1"/>
  <c r="P97" i="55"/>
  <c r="V238" i="55"/>
  <c r="O238" i="55"/>
  <c r="T238" i="55"/>
  <c r="Q238" i="55"/>
  <c r="S238" i="55"/>
  <c r="W238" i="55"/>
  <c r="J64" i="55"/>
  <c r="P238" i="55"/>
  <c r="U238" i="55"/>
  <c r="R238" i="55"/>
  <c r="P115" i="55" l="1"/>
  <c r="P158" i="55"/>
  <c r="P98" i="55"/>
  <c r="P99" i="55"/>
  <c r="P110" i="55"/>
  <c r="P138" i="55"/>
  <c r="W268" i="55"/>
  <c r="W271" i="55"/>
  <c r="T268" i="55"/>
  <c r="T271" i="55"/>
  <c r="U268" i="55"/>
  <c r="U271" i="55"/>
  <c r="V268" i="55"/>
  <c r="V271" i="55"/>
  <c r="M238" i="55"/>
  <c r="O78" i="55" l="1"/>
  <c r="P147" i="55"/>
  <c r="P149" i="55" s="1"/>
  <c r="P143" i="55"/>
  <c r="P145" i="55" s="1"/>
  <c r="P116" i="55"/>
  <c r="P189" i="55" s="1"/>
  <c r="P215" i="55"/>
  <c r="P213" i="55"/>
  <c r="P212" i="55"/>
  <c r="P216" i="55"/>
  <c r="M54" i="55"/>
  <c r="M62" i="55"/>
  <c r="AB294" i="55" l="1"/>
  <c r="AE294" i="55"/>
  <c r="M78" i="55"/>
  <c r="J78" i="55" s="1"/>
  <c r="AR294" i="55"/>
  <c r="AN294" i="55"/>
  <c r="AS294" i="55"/>
  <c r="AQ294" i="55"/>
  <c r="BG294" i="55"/>
  <c r="AM294" i="55"/>
  <c r="BC294" i="55"/>
  <c r="AZ294" i="55"/>
  <c r="BA294" i="55"/>
  <c r="AG294" i="55"/>
  <c r="BF294" i="55"/>
  <c r="BB294" i="55"/>
  <c r="AF294" i="55"/>
  <c r="AT294" i="55"/>
  <c r="AP294" i="55"/>
  <c r="AO294" i="55"/>
  <c r="BD294" i="55"/>
  <c r="AY294" i="55"/>
  <c r="O88" i="55"/>
  <c r="O91" i="55" s="1"/>
  <c r="O217" i="55" s="1"/>
  <c r="M217" i="55" s="1"/>
  <c r="J217" i="55" s="1"/>
  <c r="I241" i="23" s="1"/>
  <c r="BE294" i="55"/>
  <c r="AA294" i="55"/>
  <c r="AH294" i="55"/>
  <c r="AU294" i="55"/>
  <c r="AI294" i="55"/>
  <c r="AC294" i="55"/>
  <c r="AD294" i="55"/>
  <c r="S271" i="55"/>
  <c r="Q271" i="55"/>
  <c r="R271" i="55"/>
  <c r="S268" i="55"/>
  <c r="Q268" i="55"/>
  <c r="R268" i="55"/>
  <c r="M216" i="55"/>
  <c r="J216" i="55" s="1"/>
  <c r="I240" i="23" s="1"/>
  <c r="O271" i="55"/>
  <c r="P271" i="55"/>
  <c r="M213" i="55"/>
  <c r="J213" i="55" s="1"/>
  <c r="O268" i="55"/>
  <c r="P268" i="55"/>
  <c r="P193" i="55"/>
  <c r="P14" i="55"/>
  <c r="O301" i="55"/>
  <c r="O298" i="55"/>
  <c r="P219" i="55"/>
  <c r="P120" i="55"/>
  <c r="P124" i="55"/>
  <c r="P170" i="55"/>
  <c r="P172" i="55" s="1"/>
  <c r="V237" i="55"/>
  <c r="R237" i="55"/>
  <c r="P237" i="55"/>
  <c r="T237" i="55"/>
  <c r="U237" i="55"/>
  <c r="S237" i="55"/>
  <c r="Q237" i="55"/>
  <c r="J62" i="55"/>
  <c r="W237" i="55"/>
  <c r="O237" i="55"/>
  <c r="M240" i="23"/>
  <c r="M237" i="23"/>
  <c r="M241" i="23"/>
  <c r="P201" i="55" l="1"/>
  <c r="O191" i="55"/>
  <c r="O97" i="55"/>
  <c r="O138" i="55" s="1"/>
  <c r="O143" i="55" s="1"/>
  <c r="M268" i="55"/>
  <c r="J268" i="55" s="1"/>
  <c r="M271" i="55"/>
  <c r="J271" i="55" s="1"/>
  <c r="I237" i="23"/>
  <c r="O297" i="55"/>
  <c r="O300" i="55" a="1"/>
  <c r="O300" i="55" s="1"/>
  <c r="O115" i="55"/>
  <c r="M115" i="55" s="1"/>
  <c r="J115" i="55" s="1"/>
  <c r="T272" i="55"/>
  <c r="V272" i="55"/>
  <c r="W272" i="55"/>
  <c r="Q272" i="55"/>
  <c r="S272" i="55"/>
  <c r="R272" i="55"/>
  <c r="U272" i="55"/>
  <c r="P272" i="55"/>
  <c r="M237" i="55"/>
  <c r="O272" i="55"/>
  <c r="M191" i="55" l="1"/>
  <c r="M195" i="55" s="1"/>
  <c r="O98" i="55"/>
  <c r="O110" i="55"/>
  <c r="O116" i="55" s="1"/>
  <c r="M116" i="55" s="1"/>
  <c r="J116" i="55" s="1"/>
  <c r="O141" i="55"/>
  <c r="M141" i="55" s="1"/>
  <c r="J141" i="55" s="1"/>
  <c r="O147" i="55"/>
  <c r="M138" i="55"/>
  <c r="J138" i="55" s="1"/>
  <c r="O158" i="55"/>
  <c r="M158" i="55" s="1"/>
  <c r="J158" i="55" s="1"/>
  <c r="O99" i="55"/>
  <c r="O195" i="55"/>
  <c r="O126" i="55"/>
  <c r="O156" i="55" s="1"/>
  <c r="Q126" i="55"/>
  <c r="Q156" i="55" s="1"/>
  <c r="Q165" i="55" s="1"/>
  <c r="P126" i="55"/>
  <c r="P156" i="55" s="1"/>
  <c r="P165" i="55" s="1"/>
  <c r="M272" i="55"/>
  <c r="J272" i="55" s="1"/>
  <c r="O212" i="55" l="1"/>
  <c r="O267" i="55" s="1"/>
  <c r="O120" i="55"/>
  <c r="O149" i="55"/>
  <c r="M149" i="55" s="1"/>
  <c r="J149" i="55" s="1"/>
  <c r="O170" i="55"/>
  <c r="M170" i="55" s="1"/>
  <c r="O124" i="55"/>
  <c r="M124" i="55" s="1"/>
  <c r="J124" i="55" s="1"/>
  <c r="O189" i="55"/>
  <c r="O214" i="55"/>
  <c r="S269" i="55" s="1"/>
  <c r="O145" i="55"/>
  <c r="M145" i="55" s="1"/>
  <c r="J145" i="55" s="1"/>
  <c r="M110" i="55"/>
  <c r="J110" i="55" s="1"/>
  <c r="O157" i="55"/>
  <c r="M157" i="55" s="1"/>
  <c r="J157" i="55" s="1"/>
  <c r="O215" i="55"/>
  <c r="Q270" i="55" s="1"/>
  <c r="P174" i="55"/>
  <c r="P190" i="55" s="1"/>
  <c r="P194" i="55" s="1"/>
  <c r="Q174" i="55"/>
  <c r="Q190" i="55" s="1"/>
  <c r="P162" i="55"/>
  <c r="M126" i="55"/>
  <c r="J126" i="55" s="1"/>
  <c r="Q162" i="55"/>
  <c r="T269" i="55"/>
  <c r="W269" i="55"/>
  <c r="U269" i="55"/>
  <c r="V269" i="55"/>
  <c r="U245" i="55"/>
  <c r="W245" i="55"/>
  <c r="V245" i="55"/>
  <c r="T245" i="55"/>
  <c r="U270" i="55"/>
  <c r="W270" i="55"/>
  <c r="T270" i="55"/>
  <c r="V270" i="55"/>
  <c r="T267" i="55"/>
  <c r="U267" i="55"/>
  <c r="W267" i="55"/>
  <c r="V267" i="55"/>
  <c r="U246" i="55"/>
  <c r="V246" i="55"/>
  <c r="W246" i="55"/>
  <c r="T246" i="55"/>
  <c r="P13" i="55"/>
  <c r="U307" i="55"/>
  <c r="V307" i="55"/>
  <c r="W307" i="55"/>
  <c r="O307" i="55"/>
  <c r="Q307" i="55"/>
  <c r="S307" i="55"/>
  <c r="R307" i="55"/>
  <c r="T307" i="55"/>
  <c r="P307" i="55"/>
  <c r="M156" i="55"/>
  <c r="J156" i="55" s="1"/>
  <c r="O203" i="55"/>
  <c r="M203" i="55" s="1"/>
  <c r="J203" i="55" s="1"/>
  <c r="V308" i="55"/>
  <c r="Q308" i="55"/>
  <c r="P308" i="55"/>
  <c r="T308" i="55"/>
  <c r="U308" i="55"/>
  <c r="R308" i="55"/>
  <c r="S308" i="55"/>
  <c r="Q13" i="55"/>
  <c r="W308" i="55"/>
  <c r="O308" i="55"/>
  <c r="O245" i="55" l="1"/>
  <c r="O246" i="55"/>
  <c r="P245" i="55"/>
  <c r="M120" i="55"/>
  <c r="J120" i="55" s="1"/>
  <c r="P246" i="55"/>
  <c r="Q194" i="55"/>
  <c r="M189" i="55"/>
  <c r="M193" i="55" s="1"/>
  <c r="O172" i="55"/>
  <c r="P267" i="55"/>
  <c r="O201" i="55"/>
  <c r="M201" i="55" s="1"/>
  <c r="J201" i="55" s="1"/>
  <c r="Q267" i="55"/>
  <c r="R267" i="55"/>
  <c r="S267" i="55"/>
  <c r="M212" i="55"/>
  <c r="J212" i="55" s="1"/>
  <c r="I236" i="23" s="1"/>
  <c r="P269" i="55"/>
  <c r="O269" i="55"/>
  <c r="S270" i="55"/>
  <c r="P270" i="55"/>
  <c r="O219" i="55"/>
  <c r="R270" i="55"/>
  <c r="O14" i="55"/>
  <c r="M14" i="55" s="1"/>
  <c r="J14" i="55" s="1"/>
  <c r="O193" i="55"/>
  <c r="M215" i="55"/>
  <c r="J215" i="55" s="1"/>
  <c r="I239" i="23" s="1"/>
  <c r="M214" i="55"/>
  <c r="J214" i="55" s="1"/>
  <c r="R269" i="55"/>
  <c r="Q269" i="55"/>
  <c r="O165" i="55"/>
  <c r="M165" i="55" s="1"/>
  <c r="J165" i="55" s="1"/>
  <c r="O162" i="55"/>
  <c r="O244" i="55" s="1"/>
  <c r="Q245" i="55"/>
  <c r="O270" i="55"/>
  <c r="O174" i="55"/>
  <c r="O190" i="55" s="1"/>
  <c r="S246" i="55"/>
  <c r="R246" i="55"/>
  <c r="Q246" i="55"/>
  <c r="S245" i="55"/>
  <c r="R245" i="55"/>
  <c r="W276" i="55"/>
  <c r="V276" i="55"/>
  <c r="T244" i="55"/>
  <c r="T252" i="55" s="1"/>
  <c r="V244" i="55"/>
  <c r="V252" i="55" s="1"/>
  <c r="U276" i="55"/>
  <c r="W244" i="55"/>
  <c r="W252" i="55" s="1"/>
  <c r="T276" i="55"/>
  <c r="U244" i="55"/>
  <c r="U252" i="55" s="1"/>
  <c r="M307" i="55"/>
  <c r="J307" i="55" s="1"/>
  <c r="M308" i="55"/>
  <c r="J308" i="55" s="1"/>
  <c r="V255" i="55"/>
  <c r="T317" i="55"/>
  <c r="W255" i="55"/>
  <c r="U255" i="55"/>
  <c r="W317" i="55"/>
  <c r="T255" i="55"/>
  <c r="U317" i="55"/>
  <c r="J170" i="55"/>
  <c r="J172" i="55" s="1"/>
  <c r="V317" i="55"/>
  <c r="V254" i="55"/>
  <c r="M172" i="55"/>
  <c r="W254" i="55"/>
  <c r="U254" i="55"/>
  <c r="T254" i="55"/>
  <c r="U316" i="55"/>
  <c r="T316" i="55"/>
  <c r="W316" i="55"/>
  <c r="V316" i="55"/>
  <c r="M68" i="23"/>
  <c r="M160" i="23"/>
  <c r="M239" i="23"/>
  <c r="M159" i="23"/>
  <c r="M236" i="23"/>
  <c r="M238" i="23"/>
  <c r="M190" i="55" l="1"/>
  <c r="M194" i="55" s="1"/>
  <c r="M267" i="55"/>
  <c r="J267" i="55" s="1"/>
  <c r="S276" i="55"/>
  <c r="P276" i="55"/>
  <c r="M219" i="55"/>
  <c r="O276" i="55"/>
  <c r="I68" i="23"/>
  <c r="R276" i="55"/>
  <c r="M269" i="55"/>
  <c r="J269" i="55" s="1"/>
  <c r="J219" i="55"/>
  <c r="Q276" i="55"/>
  <c r="I238" i="23"/>
  <c r="S244" i="55"/>
  <c r="S252" i="55" s="1"/>
  <c r="M162" i="55"/>
  <c r="J162" i="55" s="1"/>
  <c r="P244" i="55"/>
  <c r="P252" i="55" s="1"/>
  <c r="M72" i="23"/>
  <c r="M74" i="23" s="1"/>
  <c r="M75" i="23" s="1"/>
  <c r="R244" i="55"/>
  <c r="R252" i="55" s="1"/>
  <c r="Q244" i="55"/>
  <c r="Q252" i="55" s="1"/>
  <c r="M243" i="23"/>
  <c r="M270" i="55"/>
  <c r="J270" i="55" s="1"/>
  <c r="U306" i="55"/>
  <c r="U314" i="55" s="1"/>
  <c r="V306" i="55"/>
  <c r="V314" i="55" s="1"/>
  <c r="P306" i="55"/>
  <c r="P314" i="55" s="1"/>
  <c r="T306" i="55"/>
  <c r="T314" i="55" s="1"/>
  <c r="Q306" i="55"/>
  <c r="Q314" i="55" s="1"/>
  <c r="W306" i="55"/>
  <c r="W314" i="55" s="1"/>
  <c r="O306" i="55"/>
  <c r="O314" i="55" s="1"/>
  <c r="O13" i="55"/>
  <c r="S306" i="55"/>
  <c r="S314" i="55" s="1"/>
  <c r="R306" i="55"/>
  <c r="R314" i="55" s="1"/>
  <c r="O194" i="55"/>
  <c r="M174" i="55"/>
  <c r="J174" i="55" s="1"/>
  <c r="O252" i="55"/>
  <c r="M245" i="55"/>
  <c r="I89" i="23" s="1"/>
  <c r="M246" i="55"/>
  <c r="J246" i="55" s="1"/>
  <c r="I159" i="23"/>
  <c r="V256" i="55"/>
  <c r="V258" i="55" s="1"/>
  <c r="W256" i="55"/>
  <c r="W258" i="55" s="1"/>
  <c r="I160" i="23"/>
  <c r="V318" i="55"/>
  <c r="U318" i="55"/>
  <c r="T256" i="55"/>
  <c r="T258" i="55" s="1"/>
  <c r="W318" i="55"/>
  <c r="T318" i="55"/>
  <c r="U256" i="55"/>
  <c r="U258" i="55" s="1"/>
  <c r="M90" i="23"/>
  <c r="M89" i="23"/>
  <c r="Q74" i="23" l="1"/>
  <c r="Q75" i="23" s="1"/>
  <c r="P74" i="23"/>
  <c r="P75" i="23" s="1"/>
  <c r="N74" i="23"/>
  <c r="N75" i="23" s="1"/>
  <c r="R74" i="23"/>
  <c r="R75" i="23" s="1"/>
  <c r="O74" i="23"/>
  <c r="O75" i="23" s="1"/>
  <c r="M276" i="55"/>
  <c r="J276" i="55" s="1"/>
  <c r="M244" i="55"/>
  <c r="M252" i="55" s="1"/>
  <c r="J252" i="55" s="1"/>
  <c r="V320" i="55"/>
  <c r="V322" i="55" s="1"/>
  <c r="U320" i="55"/>
  <c r="U322" i="55" s="1"/>
  <c r="W320" i="55"/>
  <c r="W322" i="55" s="1"/>
  <c r="M306" i="55"/>
  <c r="I158" i="23" s="1"/>
  <c r="M175" i="55"/>
  <c r="J175" i="55" s="1"/>
  <c r="T320" i="55"/>
  <c r="T322" i="55" s="1"/>
  <c r="J245" i="55"/>
  <c r="I90" i="23"/>
  <c r="T260" i="55"/>
  <c r="T291" i="55"/>
  <c r="T294" i="55" s="1"/>
  <c r="T265" i="55"/>
  <c r="T278" i="55" s="1"/>
  <c r="T292" i="55" s="1"/>
  <c r="W260" i="55"/>
  <c r="W265" i="55"/>
  <c r="W278" i="55" s="1"/>
  <c r="W292" i="55" s="1"/>
  <c r="W291" i="55"/>
  <c r="W294" i="55" s="1"/>
  <c r="V260" i="55"/>
  <c r="V265" i="55"/>
  <c r="V278" i="55" s="1"/>
  <c r="V292" i="55" s="1"/>
  <c r="V291" i="55"/>
  <c r="V294" i="55" s="1"/>
  <c r="U260" i="55"/>
  <c r="U265" i="55"/>
  <c r="U278" i="55" s="1"/>
  <c r="U292" i="55" s="1"/>
  <c r="U291" i="55"/>
  <c r="U294" i="55" s="1"/>
  <c r="M88" i="23"/>
  <c r="M158" i="23"/>
  <c r="J244" i="55" l="1"/>
  <c r="I88" i="23"/>
  <c r="M314" i="55"/>
  <c r="J314" i="55" s="1"/>
  <c r="J306" i="55"/>
  <c r="M176" i="55"/>
  <c r="J176" i="55" s="1"/>
  <c r="M180" i="55" l="1"/>
  <c r="O255" i="55" s="1"/>
  <c r="M184" i="55"/>
  <c r="R316" i="55" s="1"/>
  <c r="R254" i="55" l="1"/>
  <c r="P180" i="55"/>
  <c r="P205" i="55" s="1"/>
  <c r="P207" i="55" s="1"/>
  <c r="P225" i="55" s="1"/>
  <c r="S316" i="55"/>
  <c r="R317" i="55"/>
  <c r="R318" i="55" s="1"/>
  <c r="R320" i="55" s="1"/>
  <c r="R322" i="55" s="1"/>
  <c r="Q317" i="55"/>
  <c r="P254" i="55"/>
  <c r="R255" i="55"/>
  <c r="Q254" i="55"/>
  <c r="S254" i="55"/>
  <c r="J180" i="55"/>
  <c r="Q255" i="55"/>
  <c r="S255" i="55"/>
  <c r="Q180" i="55"/>
  <c r="Q12" i="55" s="1"/>
  <c r="P255" i="55"/>
  <c r="W180" i="55"/>
  <c r="W205" i="55" s="1"/>
  <c r="W207" i="55" s="1"/>
  <c r="O254" i="55"/>
  <c r="O256" i="55" s="1"/>
  <c r="O258" i="55" s="1"/>
  <c r="O180" i="55"/>
  <c r="O205" i="55" s="1"/>
  <c r="P316" i="55"/>
  <c r="O316" i="55"/>
  <c r="J184" i="55"/>
  <c r="O184" i="55"/>
  <c r="W184" i="55"/>
  <c r="W13" i="55" s="1"/>
  <c r="M13" i="55" s="1"/>
  <c r="J13" i="55" s="1"/>
  <c r="Q184" i="55"/>
  <c r="O317" i="55"/>
  <c r="Q316" i="55"/>
  <c r="P317" i="55"/>
  <c r="S317" i="55"/>
  <c r="P184" i="55"/>
  <c r="M224" i="23"/>
  <c r="P12" i="55" l="1"/>
  <c r="S318" i="55"/>
  <c r="S320" i="55" s="1"/>
  <c r="S322" i="55" s="1"/>
  <c r="R256" i="55"/>
  <c r="R258" i="55" s="1"/>
  <c r="R265" i="55" s="1"/>
  <c r="R278" i="55" s="1"/>
  <c r="R292" i="55" s="1"/>
  <c r="M254" i="55"/>
  <c r="I95" i="23" s="1"/>
  <c r="Q256" i="55"/>
  <c r="Q258" i="55" s="1"/>
  <c r="Q291" i="55" s="1"/>
  <c r="Q294" i="55" s="1"/>
  <c r="W12" i="55"/>
  <c r="O12" i="55"/>
  <c r="P256" i="55"/>
  <c r="P258" i="55" s="1"/>
  <c r="P291" i="55" s="1"/>
  <c r="S256" i="55"/>
  <c r="S258" i="55" s="1"/>
  <c r="S260" i="55" s="1"/>
  <c r="M255" i="55"/>
  <c r="J255" i="55" s="1"/>
  <c r="M316" i="55"/>
  <c r="J316" i="55" s="1"/>
  <c r="O318" i="55"/>
  <c r="O320" i="55" s="1"/>
  <c r="O322" i="55" s="1"/>
  <c r="P318" i="55"/>
  <c r="P320" i="55" s="1"/>
  <c r="P322" i="55" s="1"/>
  <c r="Q205" i="55"/>
  <c r="Q207" i="55" s="1"/>
  <c r="Q225" i="55" s="1"/>
  <c r="M317" i="55"/>
  <c r="I166" i="23" s="1"/>
  <c r="Q318" i="55"/>
  <c r="Q320" i="55" s="1"/>
  <c r="Q322" i="55" s="1"/>
  <c r="I224" i="23"/>
  <c r="O260" i="55"/>
  <c r="O291" i="55"/>
  <c r="O294" i="55" s="1"/>
  <c r="O265" i="55"/>
  <c r="O207" i="55"/>
  <c r="M95" i="23"/>
  <c r="M96" i="23"/>
  <c r="M165" i="23"/>
  <c r="M166" i="23"/>
  <c r="M230" i="23"/>
  <c r="P294" i="55" l="1"/>
  <c r="R291" i="55"/>
  <c r="R294" i="55" s="1"/>
  <c r="R260" i="55"/>
  <c r="J317" i="55"/>
  <c r="Q265" i="55"/>
  <c r="Q278" i="55" s="1"/>
  <c r="Q292" i="55" s="1"/>
  <c r="Q260" i="55"/>
  <c r="M12" i="55"/>
  <c r="J12" i="55" s="1"/>
  <c r="P265" i="55"/>
  <c r="P278" i="55" s="1"/>
  <c r="P292" i="55" s="1"/>
  <c r="P260" i="55"/>
  <c r="J254" i="55"/>
  <c r="S265" i="55"/>
  <c r="S278" i="55" s="1"/>
  <c r="S292" i="55" s="1"/>
  <c r="S291" i="55"/>
  <c r="S294" i="55" s="1"/>
  <c r="I96" i="23"/>
  <c r="M256" i="55"/>
  <c r="M258" i="55" s="1"/>
  <c r="I165" i="23"/>
  <c r="M322" i="55"/>
  <c r="J322" i="55" s="1"/>
  <c r="M97" i="23"/>
  <c r="N99" i="23" s="1"/>
  <c r="N100" i="23" s="1"/>
  <c r="M318" i="55"/>
  <c r="J318" i="55" s="1"/>
  <c r="M205" i="55"/>
  <c r="J205" i="55" s="1"/>
  <c r="I230" i="23"/>
  <c r="M167" i="23"/>
  <c r="Q169" i="23" s="1"/>
  <c r="Q170" i="23" s="1"/>
  <c r="M207" i="55"/>
  <c r="J207" i="55" s="1"/>
  <c r="O225" i="55"/>
  <c r="O278" i="55"/>
  <c r="O292" i="55" s="1"/>
  <c r="M78" i="23"/>
  <c r="M218" i="23"/>
  <c r="M260" i="55" l="1"/>
  <c r="J260" i="55" s="1"/>
  <c r="M134" i="55"/>
  <c r="M265" i="55"/>
  <c r="J265" i="55" s="1"/>
  <c r="J278" i="55" s="1"/>
  <c r="J256" i="55"/>
  <c r="P99" i="23"/>
  <c r="P100" i="23" s="1"/>
  <c r="Q99" i="23"/>
  <c r="Q100" i="23" s="1"/>
  <c r="M99" i="23"/>
  <c r="M100" i="23" s="1"/>
  <c r="O99" i="23"/>
  <c r="O100" i="23" s="1"/>
  <c r="R99" i="23"/>
  <c r="R100" i="23" s="1"/>
  <c r="M320" i="55"/>
  <c r="J320" i="55" s="1"/>
  <c r="O169" i="23"/>
  <c r="O170" i="23" s="1"/>
  <c r="R169" i="23"/>
  <c r="R170" i="23" s="1"/>
  <c r="P169" i="23"/>
  <c r="P170" i="23" s="1"/>
  <c r="N169" i="23"/>
  <c r="N170" i="23" s="1"/>
  <c r="M169" i="23"/>
  <c r="M170" i="23" s="1"/>
  <c r="M82" i="23"/>
  <c r="J258" i="55"/>
  <c r="I78" i="23"/>
  <c r="M225" i="55"/>
  <c r="I218" i="23"/>
  <c r="M148" i="23"/>
  <c r="M278" i="55" l="1"/>
  <c r="I148" i="23"/>
  <c r="M152" i="23"/>
  <c r="M154" i="23" s="1"/>
  <c r="M155" i="23" s="1"/>
  <c r="N84" i="23"/>
  <c r="N85" i="23" s="1"/>
  <c r="R84" i="23"/>
  <c r="R85" i="23" s="1"/>
  <c r="P84" i="23"/>
  <c r="P85" i="23" s="1"/>
  <c r="M84" i="23"/>
  <c r="M85" i="23" s="1"/>
  <c r="Q84" i="23"/>
  <c r="Q85" i="23" s="1"/>
  <c r="O84" i="23"/>
  <c r="O85" i="23" s="1"/>
  <c r="P154" i="23" l="1"/>
  <c r="P155" i="23" s="1"/>
  <c r="O154" i="23"/>
  <c r="O155" i="23" s="1"/>
  <c r="N154" i="23"/>
  <c r="N155" i="23" s="1"/>
  <c r="R154" i="23"/>
  <c r="R155" i="23" s="1"/>
  <c r="Q154" i="23"/>
  <c r="Q155"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Pieter Nuiten</author>
  </authors>
  <commentList>
    <comment ref="T105" authorId="0" shapeId="0" xr:uid="{7F0D1C44-29C4-4FB1-9463-ADCA21BC927F}">
      <text>
        <r>
          <rPr>
            <sz val="9"/>
            <color indexed="81"/>
            <rFont val="Tahoma"/>
            <family val="2"/>
          </rPr>
          <t>10 W/paneel, 6 panelen/won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<sst xmlns="http://schemas.openxmlformats.org/spreadsheetml/2006/main" count="15344" uniqueCount="2030">
  <si>
    <t>&gt;&gt; Website Uniforme Maatlat</t>
  </si>
  <si>
    <t>Wijzigingen 5.02 t.o.v. 5.01</t>
  </si>
  <si>
    <t>Toegevoegd</t>
  </si>
  <si>
    <t xml:space="preserve">Voor woningen is bij de energieprestatie-indicatoren nu ook aangegeven of de woning voldoet aan de 'standaard' (warmtevraag per vierkante meter). </t>
  </si>
  <si>
    <t>In de bibliotheek is in de tabel 'isolatiepakketten gebouwschil' een isolatiepakket opgenomen met streefwaarden.</t>
  </si>
  <si>
    <t>Op de tabbladen met varianten is de mogelijkheid toegevoegd om de warmtebehoefte voor verwarming handmatig te corrigeren ten opzichte van de warmtebehoefte met NTA8800. Bovenaan het tabblad kan worden aangegeven óf de warmtebehoefte wordt gecorrigeerd. In regel 53 kan de voorgestelde correctie (op basis van de gemiddelde U-waarde van de gebouwschil) worden overschreven door een eigen waarde voor de correctie.</t>
  </si>
  <si>
    <t>Op de tabbladen met varianten staat nu een samenvatting van de gekozen installaties per deellocatie.</t>
  </si>
  <si>
    <t>In de bibliotheek is een tabel 'warmte-/koudenetten met EMG-verklaring' toegevoegd.</t>
  </si>
  <si>
    <t>In de bibliotheek zijn collectieve tapwatertoestellen (VR-combi, HR-combi) toegevoegd.</t>
  </si>
  <si>
    <t>In de bibliotheek is een boosterwarmtepomp toegevoegd.
Principe: stel een COP van 4,0 voor de booster-WP. Dan komt 3/4e deel van de te leveren warmte uit het warmtenet (=preferent toestel), 1/4e deel wordt elektrisch toegevoegd door de booster-WP (niet-preferent toestel). Het warmtenet is te kiezen door de gebruiker in de bibliotheek. Staat wel los van de keuze bij RV op de variant! Dit is niet helemaal conform NTA 8800, want daar wordt het elektrische deel gezien als hulpenergie.</t>
  </si>
  <si>
    <t>Wijzigingen 5.01 t.o.v. 5.0</t>
  </si>
  <si>
    <t>Gewijzigd</t>
  </si>
  <si>
    <t>Correctie op het aandeel hernieuwbare energie (tbv indicator EP3/BENG3). Er werd bij ruimteverwarming, ruimtekoeling en tapwater (onterecht) altijd een aandeel 'omgevingswarmte' mee gerekend, ook in geval er geen warmtepomp geselecteerd was. 
Per installatie (preferent en niet-preferent toestel) kan in de bibliotheek maar één keer kan worden aangegeven of een toestel een warmtepomp is met hernieuwbare bron. Uitgangspunt is dat dat alleen het preferente toestel is.</t>
  </si>
  <si>
    <t>Correctie bij berekening regeneratie als gekozen is voor warmtepomp met aquifer.</t>
  </si>
  <si>
    <t>Correctie bij berekening BENG-eisen woningen/woongebouwen.</t>
  </si>
  <si>
    <t xml:space="preserve">Correctie bij invoer eigen toestellen tapwater in bibliotheek.. </t>
  </si>
  <si>
    <t>Wijzigingen 5.0 t.o.v. 4.3.2</t>
  </si>
  <si>
    <t>Gewijzigd / Toegevoegd / Verwijderd</t>
  </si>
  <si>
    <t>&gt;&gt; Zie apart tabblad 'wijzigingen 5.0'</t>
  </si>
  <si>
    <t>Disclaimer</t>
  </si>
  <si>
    <t>Aan het Rekenmodel Uniforme Maatlat kunnen geen rechten worden ontleend.
Hoewel dit instrument met de grootst mogelijke zorg is samengesteld, kan RVO geen enkele aansprakelijkheid aanvaarden voor schade als gevolg van eventuele onjuistheden en/of uitvoering of gebruik op van het instrument.</t>
  </si>
  <si>
    <t>Compacte handleiding</t>
  </si>
  <si>
    <t>Inleiding</t>
  </si>
  <si>
    <t>De ‘Uniforme Maatlat Gebouwde Omgeving' (UMGO) is een rekenmodel waarmee de CO2 emissie en het (primaire) energiegebruik van gebouwen in een locatie kunnen worden berekend en waarin verschillende energie-opties voor een locatie met elkaar vergeleken kunnen worden. Het model rekent op basis van kengetallen voor woningen, utiliteitsgebouwen, isolatie en installaties, en rekenmethoden conform NTA8800 en EMG (NEN7125).
De achtergronden van het rekenmodel staan beschreven in het Protocol Uniforme Maatlat Gebouwde Omgeving (zie onderstaande link).
Het rekenmodel bestaat uit:
-  een invoerblad; hierin kunnen maximaal 8 woningen en/of utiliteitsgebouwen per maximaal 4 locaties worden ingevoerd;
-  zes rekenbladen waarin voor de opgegeven locaties verschillende energiemaatregelen doorgerekend kunnen worden (varianten);
-  een resultatenblad waar de belangrijkste resultaten van de opgegeven varianten naast elkaar staan;
-  een 'bibliotheek' met gegevens over gebouwen, installaties, energiedragers etcetera, die door alle rekenbladen gebruikt wordt.
De eerste versie van de UMGO is in de zomer van 2010 ontwikkeld waarbij inbreng van experts is verwerkt. In 2011 is een update van de Uniforme Maatlat uitgebracht, versie 3.0. De maatlat en het bijbehorende rekenmodel zijn sindsdien periodiek geactualiseerd en aangepast. Versie 4.0 is verschenen in april 2016 en is onder meer gericht op de toekomstige BENG-eisen. Versie 5.0 is verschenen in september 2020 en is gebaseerd op berekeningen met NTA8800.</t>
  </si>
  <si>
    <t>&gt;&gt; Protocol Uniforme Maatlat Gebouwde Omgeving (UMGO) voor de warmtevoorziening in de woning- en utiliteitsbouw</t>
  </si>
  <si>
    <t>Benodigde invoer tabblad 'woningen|utiliteit'</t>
  </si>
  <si>
    <t>gegevens van maximaal 8 woningen en/of utiliteitsgebouwen per maximaal 4 locaties:
-  naam van elke locatie (optionele vrije invoer);
-  type woning|utiliteitsgebouw (verplichte invoer met keuzelijst (kan in bibliotheek worden aangepast/aangevuld));
-  aanvullende informatie (optionele vrije invoer);
-  aantal woningen|utiliteitsgebouwen per type (≥0);
-  gebruiksoppervlakte (optioneel en overschrijft gebruiks- en verliesoppervlakte van gekozen type uit de bibliotheek).</t>
  </si>
  <si>
    <t>Benodigde invoer tabbladen 'variant x'</t>
  </si>
  <si>
    <t>-  primaire energiefactor elektriciteit (verplichte invoer op basis van een keuzelijst);
-  aantal woningen|utiliteitsgebouwen per type (optioneel en overschrijft de ingevulde aantallen uit 'woningen|utiliteit';
-  energiemaatregelen die effect hebben op de energiebehoefte per type woning|utiliteitsgebouw (verplicht)
   (energiepakket bouwkundig (keuzelijst, te wijzigen|aan te passen in de biblitoheek), type ventilatiesysteem, ventilator,
    geïnstalleerd vermogen en type verlichtingsregeling (vrij/keuzelijst, verplicht bij utiliteitsgebouwen), besparing op
    niet gebouwgebonden elektriciteit);
-  elektriciteitsgebruik voor mobiliteit (optioneel);
-  door zonnecellen geproduceerde hoeveelheid elektriciteit (optioneel);
-  kenmerken van de installatie voor verwarming, warmtapwater en koeling
   (preferent toestel, warmtedistributie, thermische zonne-energie);
-  kenmerken (niet) preferente toestellen voor verwarming, warmtapwater en koeling;
   (optioneel, invoer overschrijft de waarden die uit de bibliotheek gehaald worden op basis van keuze preferent toestel;
    in de bibliotheek kunnen toestellen worden toegevoegd, die vervolgens in de variant gekozen kunnen worden)
-  aandeel duurzame fractie bij aftap warmte elektriciteitscentrale (optioneel, overschrijft waarde uit bibliotheek).</t>
  </si>
  <si>
    <t>Markering invoergegevens</t>
  </si>
  <si>
    <t>Cellen waar gegevens kunnen worden ingevoerd zijn in het model met kleuren gemarkeerd:</t>
  </si>
  <si>
    <t>- nog niet gevulde cellen waar OPTIONEEL informatie kan worden ingevoerd zijn LICHTGEEL gemarkeerd;</t>
  </si>
  <si>
    <t>- ingevulde cellen, gerelateerd aan gegevens per gebouwtype, zijn DONKERGROEN gemarkeerd, met witte tekst;</t>
  </si>
  <si>
    <t>- ingevulde cellen, gerelateerd aan gegevens per energiepost, zijn DONKERBLAUW gemarkeerd, met witte tekst;</t>
  </si>
  <si>
    <t>- nog niet ingevulde cellen waar VERPLICHT informatie moet worden ingevoerd zijn ROOD gemarkeerd.</t>
  </si>
  <si>
    <t>Navigatie</t>
  </si>
  <si>
    <r>
      <rPr>
        <sz val="10"/>
        <color rgb="FF275937"/>
        <rFont val="Calibri"/>
        <family val="2"/>
      </rPr>
      <t>tussen de verschillende tabbladen</t>
    </r>
    <r>
      <rPr>
        <sz val="10"/>
        <color indexed="8"/>
        <rFont val="Calibri"/>
        <family val="2"/>
      </rPr>
      <t xml:space="preserve">
Tussen de bladen kan worden genavigeerd met de tabs onderin, of met de knoppenbalk bovenin.
</t>
    </r>
    <r>
      <rPr>
        <sz val="10"/>
        <color rgb="FF275937"/>
        <rFont val="Calibri"/>
        <family val="2"/>
      </rPr>
      <t>binnen elk tabblad</t>
    </r>
    <r>
      <rPr>
        <sz val="10"/>
        <color indexed="8"/>
        <rFont val="Calibri"/>
        <family val="2"/>
      </rPr>
      <t xml:space="preserve">
- Door de TAB te gebruiken komt de gebruiker automatisch in alle invoercellen op een blad.
- In de eerste kolom(men) is een filter gemaakt waarmee (delen) van de tabellen kunnen worden gefilterd.</t>
    </r>
  </si>
  <si>
    <t>Rekenbladen (variant 1, …., variant 6)</t>
  </si>
  <si>
    <t>Per rekenblad/variant worden de CO2-emissie en het (primaire) energiegebruik van de ingevoerde woningen en utiliteitsgebouwen berekend, op basis van gebouwkenmerken (grootte, vorm, isolatieniveau), type installatie, niet gebouwgebonden elektriciteitsgebruik en lokale (hernieuwbare)elektriciteitsproductie.
Per locatie en per variant gaat om het energiegebruik voor:
-  ruimteverwarming;
-  koeling;
-  warmtapwater;
-  ventilatoren;
-  verlichting;
-  niet gebouwgebonden elektriciteitsgebruik (computer, tv, huishoudelijk, et cetera);
-  mobiliteit (elektrische auto's);
en het effect van lokaal geproduceerde elektriciteit (warmtekracht, zonnecellen).
Naast CO2 emissie en (primair) energiegebruik wordt per gebouwtype een indicatie gegeven van de energieprestatie-indicatoren cf. NTA8800 en worden deze getoetst aan de BENG-eisen:
-  warmte-/koudebehoefte (met ventilatiesysteem C1);
-  het primair energiegebruik;
-  de bijdragen van hernieuwbare bronnen.</t>
  </si>
  <si>
    <t>Resultaten</t>
  </si>
  <si>
    <t>Het resultatenblad verzamelt de resultaten van de verschillende rekenbladen. De belangrijkste resultaten worden ook in een grafiek weergegeven.
Op het resultatenblad kan worden aangegeven welke variant als referentie moet worden gebruikt. Voor een aantal resultaten worden de resultaten ten opzichte van die variant aangegeven.</t>
  </si>
  <si>
    <t>Bibliotheek</t>
  </si>
  <si>
    <t>De bibliotheek bevat een groot aantal forfaitaire waarden die in de berekeningen worden gebruikt. Deze zijn overgenomen uit of gebaseerd NTA8800, EMG (NEN7125), CBS gegevens, de energielabeldatabase, Voorbeeldwoningen 2020, eerdere versies van de UMGO, e.a. Waar nodig is de bron per tabel in de bibliotheek aangegeven.</t>
  </si>
  <si>
    <t>In de bibliotheek kan een aantal gebouwen (woningen, utiliteitsgebouwen), installaties (ruimteverwarming/warmtapwater, koeling) en energiedragers worden toegevoegd. In de betreffende tabellen zijn deze cellen geel gemarkeerd.Ook hier kan de gebruiker direct of met de TAB naar de betreffende cel gaan.
Nieuwe gebouwen en installaties worden in de maatlat zichtbaar in keuzemenu’s bij de invoer van woningen, utiliteitsgebouwen en installaties.</t>
  </si>
  <si>
    <t>Inzicht in de berekening</t>
  </si>
  <si>
    <t>De maatlat geeft de mogelijkheid om voor één locatie verschillende variantberekeningen te maken. Elke variantberekening geeft boven aan in het tabblad de berekende primaire energiegebruiken, CO2-emissies en m3 verbuikt gas.
De belangrijkste resultaten van elke variant worden in het tabblad 'resultaten' bij elkaar gezet.</t>
  </si>
  <si>
    <t>Filteren tabellen</t>
  </si>
  <si>
    <t>De UMGO biedt op de tabbladen 'variant x', 'resultaten' en 'bibliotheek' de mogelijkheid gegevens te filteren. In de eerste (en bij 'variant x' ook de tweede kolom) is bovenaan het tabblad een knop waarmee filtermogelijkheden worden getoond. Daarmee is het mogelijk om zichtbaarheid van tabellen te kiezen.</t>
  </si>
  <si>
    <t>.</t>
  </si>
  <si>
    <t>invoer woningen|utiliteitsgebouwen</t>
  </si>
  <si>
    <t>project</t>
  </si>
  <si>
    <t>filter</t>
  </si>
  <si>
    <t>naam berekening</t>
  </si>
  <si>
    <t>korte toelichting</t>
  </si>
  <si>
    <t>samenvatting locaties</t>
  </si>
  <si>
    <t>som locaties</t>
  </si>
  <si>
    <t>totaal</t>
  </si>
  <si>
    <t>woningen</t>
  </si>
  <si>
    <t>utiliteit</t>
  </si>
  <si>
    <t>01.invoer</t>
  </si>
  <si>
    <t>gesommeerde aantallen en gebruiksoppervlaktes</t>
  </si>
  <si>
    <t>totaal aantal woningen|utiliteitsgebouwen</t>
  </si>
  <si>
    <t>won|geb</t>
  </si>
  <si>
    <t>totaal gebruiksoppervlakte woningen|utiliteitsgebouwen</t>
  </si>
  <si>
    <t>m2 won|geb</t>
  </si>
  <si>
    <t>locatie 1</t>
  </si>
  <si>
    <t>gegevens woningen|gebouwen</t>
  </si>
  <si>
    <t>naam locatie</t>
  </si>
  <si>
    <t>-</t>
  </si>
  <si>
    <t>type woning|utiliteitsgebouw</t>
  </si>
  <si>
    <t>woning vrij L</t>
  </si>
  <si>
    <t>gebruiksfunctie gekozen type</t>
  </si>
  <si>
    <t xml:space="preserve">   optioneel: toelichting of eigen naam woning|utiliteitsgebouw</t>
  </si>
  <si>
    <t>aantal woningen|utiliteitsgebouwen per type</t>
  </si>
  <si>
    <t>aantal woningen</t>
  </si>
  <si>
    <t>won</t>
  </si>
  <si>
    <t>aantal utiliteitsgebouwen</t>
  </si>
  <si>
    <t>geb</t>
  </si>
  <si>
    <t>gebruiksoppervlakte</t>
  </si>
  <si>
    <t>m2/won|geb</t>
  </si>
  <si>
    <t xml:space="preserve">   optioneel: eigen waarde</t>
  </si>
  <si>
    <t>verliesoppervlakte</t>
  </si>
  <si>
    <t>locatie 2</t>
  </si>
  <si>
    <t>locatie 3</t>
  </si>
  <si>
    <t>locatie 4</t>
  </si>
  <si>
    <t>EINDE</t>
  </si>
  <si>
    <t>00.kop</t>
  </si>
  <si>
    <t xml:space="preserve"> </t>
  </si>
  <si>
    <t>installaties</t>
  </si>
  <si>
    <t>preferent  |  niet preferent</t>
  </si>
  <si>
    <t>naam variant</t>
  </si>
  <si>
    <t>verwarming</t>
  </si>
  <si>
    <t>toelichting</t>
  </si>
  <si>
    <t>koeling</t>
  </si>
  <si>
    <t>filter 1</t>
  </si>
  <si>
    <t>filter 2</t>
  </si>
  <si>
    <t>PEF/KCO2 elektriciteit</t>
  </si>
  <si>
    <t>NTA8800</t>
  </si>
  <si>
    <t>warmtapwater</t>
  </si>
  <si>
    <t>Correctie warmtebehoefte verwarming (RV)</t>
  </si>
  <si>
    <t>locaties</t>
  </si>
  <si>
    <t>00. samenvatting</t>
  </si>
  <si>
    <t>00. kop</t>
  </si>
  <si>
    <t>samenvatting resultaten per jaar</t>
  </si>
  <si>
    <t>tapwater</t>
  </si>
  <si>
    <t>verlichting</t>
  </si>
  <si>
    <t>ventilatoren</t>
  </si>
  <si>
    <t>kookgas</t>
  </si>
  <si>
    <t>overig elektra</t>
  </si>
  <si>
    <t>mobiliteit</t>
  </si>
  <si>
    <t>zonnepanelen</t>
  </si>
  <si>
    <t>04. resultaat</t>
  </si>
  <si>
    <t>primair energiegebruik</t>
  </si>
  <si>
    <t>MWh_prim</t>
  </si>
  <si>
    <t>CO2 emissie</t>
  </si>
  <si>
    <t>ton</t>
  </si>
  <si>
    <t>aardgas in locatie</t>
  </si>
  <si>
    <t>x1000 m3</t>
  </si>
  <si>
    <t>01. woningen &amp; utiliteitsgebouwen</t>
  </si>
  <si>
    <r>
      <t>woningen|utiliteitsgebouwen</t>
    </r>
    <r>
      <rPr>
        <sz val="16"/>
        <color rgb="FF275937"/>
        <rFont val="Calibri"/>
        <family val="2"/>
        <scheme val="minor"/>
      </rPr>
      <t xml:space="preserve"> terugkoppeling invoer</t>
    </r>
  </si>
  <si>
    <t>gebouwtype</t>
  </si>
  <si>
    <t>extra info over (deel)locatie en woningen</t>
  </si>
  <si>
    <t>gebruiksfunctie</t>
  </si>
  <si>
    <t>gestapeld (1) / niet gestapeld (0) (alleen woningen)</t>
  </si>
  <si>
    <t>aantallen</t>
  </si>
  <si>
    <t>01. invoer</t>
  </si>
  <si>
    <t>aantal woningen|utiliteitsgebouwen</t>
  </si>
  <si>
    <t>won|geb/type</t>
  </si>
  <si>
    <t>aantal woningen (niet gestapeld)</t>
  </si>
  <si>
    <t>aantal woningen in woongebouw (gestapeld)</t>
  </si>
  <si>
    <t>totaal aantal woningen|utiliteitsgebouwen in de deellocatie</t>
  </si>
  <si>
    <t>afmetingen</t>
  </si>
  <si>
    <t>per type woning|utiliteitsgebouw</t>
  </si>
  <si>
    <t>totaal per type</t>
  </si>
  <si>
    <t>m2</t>
  </si>
  <si>
    <t>totaal per locatie</t>
  </si>
  <si>
    <t>verhouding verlies-/gebruiksoppervlakte per woning|utiliteitsgebouw</t>
  </si>
  <si>
    <t>m2/m2</t>
  </si>
  <si>
    <t>verhouding raam-/gebruiksoppervlakte per woning|utiliteitsgebouw</t>
  </si>
  <si>
    <t>02. energiemaatregelen</t>
  </si>
  <si>
    <t>energiemaatregelen met effect op energiebehoefte</t>
  </si>
  <si>
    <t>invoer energiepakket per woning | gebouw</t>
  </si>
  <si>
    <t>isolatiepakket gebouwschil</t>
  </si>
  <si>
    <t>type ventilatiesysteem</t>
  </si>
  <si>
    <t>type ventilator</t>
  </si>
  <si>
    <t>zeer energiezuinig</t>
  </si>
  <si>
    <t>warmtevraag warmtapwater tov forfaitair NTA 8800 [50%-200%]</t>
  </si>
  <si>
    <t>%</t>
  </si>
  <si>
    <t>geïnstalleerd vermogen verlichting (alleen utiliteitsbouw)</t>
  </si>
  <si>
    <t>W/m2</t>
  </si>
  <si>
    <t>type verlichtingsregeling (alleen utiliteitsbouw)</t>
  </si>
  <si>
    <t>automatisch aan, sensoren automatisch dimmen</t>
  </si>
  <si>
    <t>energiedrager koken (alleen woningbouw)</t>
  </si>
  <si>
    <t>elektriciteit</t>
  </si>
  <si>
    <t>besparing niet gebouwgebonden elektriciteit tov referentie  [0%-100%]</t>
  </si>
  <si>
    <t>03. energiebehoefte</t>
  </si>
  <si>
    <t>foutcontrole invoer energiepakket</t>
  </si>
  <si>
    <t>invoer correct/volledig?</t>
  </si>
  <si>
    <t>kenmerken isolatiepakket gebouwschil</t>
  </si>
  <si>
    <r>
      <t>gemiddelde warmtedoorgangscoëfficiënt (U</t>
    </r>
    <r>
      <rPr>
        <vertAlign val="subscript"/>
        <sz val="10"/>
        <color rgb="FF000000"/>
        <rFont val="Calibri Light"/>
        <family val="2"/>
      </rPr>
      <t>gemiddeld</t>
    </r>
    <r>
      <rPr>
        <sz val="10"/>
        <color indexed="8"/>
        <rFont val="Calibri Light"/>
        <family val="2"/>
      </rPr>
      <t>)</t>
    </r>
  </si>
  <si>
    <t>W/m2K</t>
  </si>
  <si>
    <t>correctiefactor warmtebehoefte verwarming</t>
  </si>
  <si>
    <t xml:space="preserve">   optioneel: eigen waarde [0,2-2,0]</t>
  </si>
  <si>
    <t xml:space="preserve">   richtwaarde corrrectiefactor op basis van U,gemiddeld</t>
  </si>
  <si>
    <t>energiebehoefte per woning | utiliteitsgebouw</t>
  </si>
  <si>
    <t>gebouwgebonden (NTA8800) en niet-gebouwgebonden energiebehoefte</t>
  </si>
  <si>
    <t>kWh/m2</t>
  </si>
  <si>
    <t>elektriciteitsvraag voor mobiliteit (elektrische auto)</t>
  </si>
  <si>
    <t>kWh/won|geb</t>
  </si>
  <si>
    <t>Lokale opwek hernieuwbare elektriciteit</t>
  </si>
  <si>
    <t>zonnepanelen bijvoorbeeld</t>
  </si>
  <si>
    <t>energiebehoefte per energiepost</t>
  </si>
  <si>
    <t>gesommeerd per deellocatie</t>
  </si>
  <si>
    <t>energiebehoefte alle woningen|gebouwen gesommeerd per energiepost</t>
  </si>
  <si>
    <t>MWh</t>
  </si>
  <si>
    <t>04. installatie</t>
  </si>
  <si>
    <r>
      <t xml:space="preserve">installatie </t>
    </r>
    <r>
      <rPr>
        <sz val="16"/>
        <color theme="3"/>
        <rFont val="Calibri"/>
        <family val="2"/>
        <scheme val="minor"/>
      </rPr>
      <t>systeem</t>
    </r>
  </si>
  <si>
    <t>keuze preferent toestel</t>
  </si>
  <si>
    <t>naam preferent toestel</t>
  </si>
  <si>
    <t>coll. HR-ketel HT</t>
  </si>
  <si>
    <t>geen</t>
  </si>
  <si>
    <t>HR107 combi</t>
  </si>
  <si>
    <t>HR107</t>
  </si>
  <si>
    <t>distributie intern</t>
  </si>
  <si>
    <t>kengetal distributierendement intern</t>
  </si>
  <si>
    <t xml:space="preserve">   optioneel: eigen waarde [0,1-1,0]</t>
  </si>
  <si>
    <t>distributieverlies binnen gebouw</t>
  </si>
  <si>
    <t>thermische zonne-energie</t>
  </si>
  <si>
    <t>nee</t>
  </si>
  <si>
    <t>bijdrage thermische zonne-energie</t>
  </si>
  <si>
    <t>distributie extern</t>
  </si>
  <si>
    <t>warmteverlies distributie extern per woning|utiliteitsgebouw</t>
  </si>
  <si>
    <t>MWh/won|geb</t>
  </si>
  <si>
    <r>
      <t xml:space="preserve">   optioneel: eigen waarde [</t>
    </r>
    <r>
      <rPr>
        <sz val="10"/>
        <color theme="9" tint="-0.24994659260841701"/>
        <rFont val="Calibri"/>
        <family val="2"/>
      </rPr>
      <t>≥</t>
    </r>
    <r>
      <rPr>
        <sz val="9"/>
        <color theme="9" tint="-0.24994659260841701"/>
        <rFont val="Calibri Light"/>
        <family val="2"/>
      </rPr>
      <t>0]</t>
    </r>
  </si>
  <si>
    <t>distributieverlies buiten gebouw</t>
  </si>
  <si>
    <t>totaal aan distributienet te leveren warmte/koude</t>
  </si>
  <si>
    <t>03. tussenresultaat</t>
  </si>
  <si>
    <t>totaal te leveren warmte/koude aan distributienet</t>
  </si>
  <si>
    <t>indicatie aantal toestellen</t>
  </si>
  <si>
    <t>tst.</t>
  </si>
  <si>
    <t>indicatie vermogen voor ruimteverwarming en koeling</t>
  </si>
  <si>
    <t>kW</t>
  </si>
  <si>
    <t>05. preferent toestel</t>
  </si>
  <si>
    <r>
      <t xml:space="preserve">installatie </t>
    </r>
    <r>
      <rPr>
        <sz val="16"/>
        <color theme="3"/>
        <rFont val="Calibri"/>
        <family val="2"/>
        <scheme val="minor"/>
      </rPr>
      <t>preferent toestel</t>
    </r>
  </si>
  <si>
    <t>kenmerken preferent toestel</t>
  </si>
  <si>
    <t>energiedrager</t>
  </si>
  <si>
    <t>index hernieuwbare energiefactor</t>
  </si>
  <si>
    <r>
      <t xml:space="preserve">finaal energiegebruik </t>
    </r>
    <r>
      <rPr>
        <sz val="10"/>
        <color theme="3"/>
        <rFont val="Calibri Light"/>
        <family val="2"/>
      </rPr>
      <t>exclusief hulpenergie</t>
    </r>
  </si>
  <si>
    <t>dekkingsgraad</t>
  </si>
  <si>
    <t xml:space="preserve">   optioneel: eigen waarde [0%-100%]</t>
  </si>
  <si>
    <t>door preferent toestel te leveren warmte/koude</t>
  </si>
  <si>
    <t>opwekkingsrendement / COP</t>
  </si>
  <si>
    <t xml:space="preserve">   optioneel: eigen waarde [0,100-15,000]</t>
  </si>
  <si>
    <t>elektriciteitsderving WKK Δε;chp;el / ε;chp;th</t>
  </si>
  <si>
    <t>COP aquiferpomp</t>
  </si>
  <si>
    <t>warmte/koude uit aquifer</t>
  </si>
  <si>
    <t>finaal energiegebruik preferent toestel</t>
  </si>
  <si>
    <t>MWh_finaal</t>
  </si>
  <si>
    <t>02. invoer (gedetailleerd)</t>
  </si>
  <si>
    <t>primaire energiefactor</t>
  </si>
  <si>
    <t>MWh_prim/MWh_finaal</t>
  </si>
  <si>
    <t xml:space="preserve">   optioneel: eigen waarde [0,00-2,00]</t>
  </si>
  <si>
    <t>CO2 emissiecoëfficiënt</t>
  </si>
  <si>
    <t>ton CO2/MWh_finaal</t>
  </si>
  <si>
    <t xml:space="preserve">   optioneel: eigen waarde [0,000-1,000]</t>
  </si>
  <si>
    <t>ton CO2</t>
  </si>
  <si>
    <t>kenmerken die later gebruikt worden</t>
  </si>
  <si>
    <t>regeneratie</t>
  </si>
  <si>
    <t>pompenergie per MWh geleverde warmte/koude</t>
  </si>
  <si>
    <t>MWh_elek/MWh</t>
  </si>
  <si>
    <t>elektrisch rendement warmtekracht</t>
  </si>
  <si>
    <t xml:space="preserve">   optioneel: eigen waarde [0,00-0,50]</t>
  </si>
  <si>
    <t>06. niet-preferent toestel</t>
  </si>
  <si>
    <r>
      <t xml:space="preserve">installatie </t>
    </r>
    <r>
      <rPr>
        <sz val="16"/>
        <color theme="3"/>
        <rFont val="Calibri"/>
        <family val="2"/>
        <scheme val="minor"/>
      </rPr>
      <t>niet-preferent toestel</t>
    </r>
  </si>
  <si>
    <t>subtotaal</t>
  </si>
  <si>
    <t>naam niet-preferent toestel</t>
  </si>
  <si>
    <t>door niet-preferent toestel te leveren warmte/koude</t>
  </si>
  <si>
    <t>opwekkingsrendement</t>
  </si>
  <si>
    <t>finaal energiegebruik niet preferent toestel</t>
  </si>
  <si>
    <t>07. aftapwarmte</t>
  </si>
  <si>
    <t>08. energie niet voor verwarmen/koelen</t>
  </si>
  <si>
    <t>energiegebruik niet voor verwarmen/koelen</t>
  </si>
  <si>
    <t>elektriciteitsgebruik regeneratie, pompenergie, hulpenergie, verlichting, ventilatoren, apparatuur, mobiliteit</t>
  </si>
  <si>
    <t>kental elektriciteit regeneratie</t>
  </si>
  <si>
    <t>elektriciteitsgebruik regeneratie</t>
  </si>
  <si>
    <t>elektriciteitsgebruik 'overig'</t>
  </si>
  <si>
    <t>elektriciteitsgebruik pompenergie warmte/koudedistributie</t>
  </si>
  <si>
    <t>primair energiegebruik overig elektriciteitsgebruik</t>
  </si>
  <si>
    <t>CO2 emissie overig elektriciteitsgebruik</t>
  </si>
  <si>
    <t>09. elektriciteitsproductie lokaal</t>
  </si>
  <si>
    <t>elektriciteitsproductie lokaal</t>
  </si>
  <si>
    <t>Σ woningen</t>
  </si>
  <si>
    <t>Σ utiliteit</t>
  </si>
  <si>
    <t>lokale elektriciteitsproductie binnen project</t>
  </si>
  <si>
    <t>warmtekracht</t>
  </si>
  <si>
    <t>TOTAAL</t>
  </si>
  <si>
    <t>verdeling lokale elektriciteitsproductie naar eigen gebruik en export</t>
  </si>
  <si>
    <t>elektriciteitsgebruik gebouwen</t>
  </si>
  <si>
    <t>lokaal geproduceerd - lokaal gebruikt</t>
  </si>
  <si>
    <t>lokaal geproduceerd - geëxporteerd</t>
  </si>
  <si>
    <t>vermeden primair energiegebruik lokale elektriciteitsproductie</t>
  </si>
  <si>
    <t>energiefactor elektriciteit eigen gebruik</t>
  </si>
  <si>
    <t>energiefactor geëxporteerde elektriciteit</t>
  </si>
  <si>
    <t>vermeden primair energiegebruik</t>
  </si>
  <si>
    <t>vermeden CO2 emissie lokale elektriciteitsproductie</t>
  </si>
  <si>
    <t>CO2 emissiecoëfficiënt elektriciteit eigen gebruik</t>
  </si>
  <si>
    <t>CO2 emissiecoëfficiënt geëxporteerde elektriciteit</t>
  </si>
  <si>
    <t>vermeden CO2 emissie</t>
  </si>
  <si>
    <t>10. finaal energiegebruik</t>
  </si>
  <si>
    <t>finaal energiegebruik</t>
  </si>
  <si>
    <t>finale energievraag - indicatie per energiedrager gemiddeld per woning|utiliteitsgebouw</t>
  </si>
  <si>
    <t>gas</t>
  </si>
  <si>
    <t>warmte</t>
  </si>
  <si>
    <t>finale energievraag - indicatie per energiedrager gemiddeld per m2 gebruiksoppervlakte</t>
  </si>
  <si>
    <t>m3/m2</t>
  </si>
  <si>
    <t>GJ/m2</t>
  </si>
  <si>
    <t>11. primair energiegebruik dragers</t>
  </si>
  <si>
    <r>
      <t xml:space="preserve">primair energiegebruik </t>
    </r>
    <r>
      <rPr>
        <sz val="16"/>
        <color theme="3"/>
        <rFont val="Calibri"/>
        <family val="2"/>
        <scheme val="minor"/>
      </rPr>
      <t>per energiedrager</t>
    </r>
  </si>
  <si>
    <t>totaal primair energiegebruik per energiepost en per energiedrager</t>
  </si>
  <si>
    <t>preferent toestel</t>
  </si>
  <si>
    <t>energiegebruik</t>
  </si>
  <si>
    <t>niet preferent toestel</t>
  </si>
  <si>
    <t>kookgas en elektra overig</t>
  </si>
  <si>
    <t>&amp; lokaal geprod. elektriciteit</t>
  </si>
  <si>
    <t>TOTAAL primair energiegebruik</t>
  </si>
  <si>
    <t>alle energiedragers</t>
  </si>
  <si>
    <t>12. hernieuwbare energie</t>
  </si>
  <si>
    <r>
      <t xml:space="preserve">hernieuwbaar 'primair' energiegebruik </t>
    </r>
    <r>
      <rPr>
        <sz val="16"/>
        <color theme="3"/>
        <rFont val="Calibri"/>
        <family val="2"/>
        <scheme val="minor"/>
      </rPr>
      <t>per energiepost</t>
    </r>
  </si>
  <si>
    <t>hernieuwbare energie primair</t>
  </si>
  <si>
    <r>
      <t>warmtepomp (E</t>
    </r>
    <r>
      <rPr>
        <sz val="10"/>
        <color rgb="FF000000"/>
        <rFont val="Calibri"/>
        <family val="2"/>
      </rPr>
      <t>Pren;hp</t>
    </r>
    <r>
      <rPr>
        <sz val="10"/>
        <color indexed="8"/>
        <rFont val="Calibri"/>
        <family val="2"/>
      </rPr>
      <t>)</t>
    </r>
  </si>
  <si>
    <r>
      <t>vrije koeling (E</t>
    </r>
    <r>
      <rPr>
        <sz val="10"/>
        <color rgb="FF000000"/>
        <rFont val="Calibri"/>
        <family val="2"/>
      </rPr>
      <t>Pren;gen;out</t>
    </r>
    <r>
      <rPr>
        <sz val="10"/>
        <color indexed="8"/>
        <rFont val="Calibri"/>
        <family val="2"/>
      </rPr>
      <t>)</t>
    </r>
  </si>
  <si>
    <t>biomassagestookte toestellen (EPren;gen;out)</t>
  </si>
  <si>
    <t>externe warmte-/koudelevering (EPren;gen;out)</t>
  </si>
  <si>
    <t>absorptiekoeling op ext. warmtelevering (EPren;gen;out)</t>
  </si>
  <si>
    <t>zonneboiler (EPren;sol;prac)</t>
  </si>
  <si>
    <t>hernieuwbaar opgewekte elektriciteit (EPren;el)</t>
  </si>
  <si>
    <t>13. PEF</t>
  </si>
  <si>
    <t>PEF</t>
  </si>
  <si>
    <t>primaire energiefactor PEF voor installaties buiten het gebouw</t>
  </si>
  <si>
    <t>geografisch niveau installatie</t>
  </si>
  <si>
    <t>14. warmte-/koudebehoefte</t>
  </si>
  <si>
    <t>warmte-/koudebehoefte per m2</t>
  </si>
  <si>
    <t>warmtebehoefte ruimteverwarming</t>
  </si>
  <si>
    <t>cf. NTA8800</t>
  </si>
  <si>
    <t>koudebehoefte koeling</t>
  </si>
  <si>
    <t>15. (hulptabel)</t>
  </si>
  <si>
    <t>05. (hulpregel)</t>
  </si>
  <si>
    <t>(hulptabel)</t>
  </si>
  <si>
    <t>toerekening (hernieuwbaar) primaire energie per energiepost naar energie per woning/utiliteitsgebouw</t>
  </si>
  <si>
    <t>relatieve bijdrage energievraag ruimteverwarming</t>
  </si>
  <si>
    <t>relatieve bijdrage energievraag koeling</t>
  </si>
  <si>
    <t>relatieve bijdrage energievraag warmtapwater</t>
  </si>
  <si>
    <t>16. primair energiegebruik per m2</t>
  </si>
  <si>
    <t>primair energiegebruik door energievraag</t>
  </si>
  <si>
    <t>kWh_prim/m2</t>
  </si>
  <si>
    <t>TOTAAL VERBRUIK</t>
  </si>
  <si>
    <t>vermeden primair energiegebruik door lokale elektriciteitsproductie</t>
  </si>
  <si>
    <t>warmtekracht (vermeden primair)</t>
  </si>
  <si>
    <t>zonnepanelen (vermeden primair)</t>
  </si>
  <si>
    <t>TOTAAL VERMEDEN VERBRUIK</t>
  </si>
  <si>
    <t>TOTAAL primair energiegebruik bij gecorrigeerde warmtevraag verwarming</t>
  </si>
  <si>
    <t>17. hernieuwbare energie</t>
  </si>
  <si>
    <t>hernieuwbaar 'primair' energiegebruik</t>
  </si>
  <si>
    <t>karakteristiek energiegebruik</t>
  </si>
  <si>
    <t>karakteristiek energiegebruik (EPTot)</t>
  </si>
  <si>
    <t>hernieuwbaar bij verwarming, koeling, warmtapwater</t>
  </si>
  <si>
    <t>warmtepomp (EPren;hp)</t>
  </si>
  <si>
    <t>vrije koeling (EPren;gen;out)</t>
  </si>
  <si>
    <t>hernieuwbaar =lokaal opgewekte elektriciteit</t>
  </si>
  <si>
    <t>TOTAAL hernieuwbare energie (EPrenTot)</t>
  </si>
  <si>
    <t>aandeel hernieuwbare energie</t>
  </si>
  <si>
    <t>aandeel hernieuwbare energie (RERPrenTOT)</t>
  </si>
  <si>
    <t>18. energieprestatie</t>
  </si>
  <si>
    <t>(hulpregel)</t>
  </si>
  <si>
    <t>(hulpregel nummer gebruiksfunctie)</t>
  </si>
  <si>
    <t>BENG-eisen nieuwe woningen|utiliteitsgebouwen 2021</t>
  </si>
  <si>
    <t>BENG 1 (energiebehoefte indicator)</t>
  </si>
  <si>
    <t>BENG 2 (primaire fossiele energie indicator)</t>
  </si>
  <si>
    <t>BENG 3 (aandeel hernieuwbare energie)</t>
  </si>
  <si>
    <t>energieprestatie per woning|utiliteitsgebouw - afgezet tegen BENG-eisen 2021</t>
  </si>
  <si>
    <t>EP 1 (energiebehoefte indicator; groen voldoet aan eis BENG 1)</t>
  </si>
  <si>
    <t>EP 2 (primaire fossiele energie indicator; groen voldoet aan eis BENG 2)</t>
  </si>
  <si>
    <t>EP 3 (aandeel hernieuwbare energie; groen voldoet aan eis BENG 3)</t>
  </si>
  <si>
    <t>energielabel</t>
  </si>
  <si>
    <t>standaardwaarden woningen en woongebouwen t/m 1945</t>
  </si>
  <si>
    <t>standaardwaarde t/m 1945</t>
  </si>
  <si>
    <t>berekende netto warmtevraag</t>
  </si>
  <si>
    <t>standaardwaarden woningen en woongebouwen ná 1945</t>
  </si>
  <si>
    <t>standaardwaarde ná 1945</t>
  </si>
  <si>
    <t>19. CO2-emissie</t>
  </si>
  <si>
    <t>CO2 emissie per m2 en totaal</t>
  </si>
  <si>
    <t>CO2 emissie door energievraag</t>
  </si>
  <si>
    <t>kg CO2/m2</t>
  </si>
  <si>
    <t>CO2 emissie TOTAAL door verbruik</t>
  </si>
  <si>
    <t>vermeden CO2 emissie door lokale elektriciteitsproductie</t>
  </si>
  <si>
    <t>warmtekracht (vermeden CO2 emissie)</t>
  </si>
  <si>
    <t>zonnepanelen (vermeden CO2 emissie)</t>
  </si>
  <si>
    <t>CO2 emissie TOTAAL door vermeden verbruik</t>
  </si>
  <si>
    <t>TOTAAL CO2 emissie</t>
  </si>
  <si>
    <t>CO2 emissie TOTAAL</t>
  </si>
  <si>
    <t>TOTAAL CO2 emissie bij gecorrigeerde warmtevraag verwarming</t>
  </si>
  <si>
    <t>20. EINDE</t>
  </si>
  <si>
    <t>resultaat varianten</t>
  </si>
  <si>
    <t>resultaten vergelijken met:</t>
  </si>
  <si>
    <t>variant 1</t>
  </si>
  <si>
    <t>selecteer de cel met de gewenste waarde</t>
  </si>
  <si>
    <t>variant 2</t>
  </si>
  <si>
    <t>variant 3</t>
  </si>
  <si>
    <t>variant 4</t>
  </si>
  <si>
    <t>variant 5</t>
  </si>
  <si>
    <t>variant 6</t>
  </si>
  <si>
    <t>algemeen</t>
  </si>
  <si>
    <t>naam variant en type verrekening elektriciteit</t>
  </si>
  <si>
    <t>opwekking elektriciteit</t>
  </si>
  <si>
    <t>invoer correct ingevoerd?</t>
  </si>
  <si>
    <t>invoer locatie</t>
  </si>
  <si>
    <t>aantal woningen|utiliteitsgebouwen per locatie</t>
  </si>
  <si>
    <t>gebruiksoppervlakte woningen|utiliteitsgebouwen per locatie</t>
  </si>
  <si>
    <t>invoer bouwkundig</t>
  </si>
  <si>
    <t>NB matrixformule in tabel &gt;&gt;</t>
  </si>
  <si>
    <t>meest voorkomend pakket bouwkundig</t>
  </si>
  <si>
    <t>invoer mobiliteit</t>
  </si>
  <si>
    <t>MWh/jaar</t>
  </si>
  <si>
    <t>invoer PV</t>
  </si>
  <si>
    <t>invoer opbrengst PV</t>
  </si>
  <si>
    <t>invoer installaties</t>
  </si>
  <si>
    <t>gekozen installaties ruimteverwarming</t>
  </si>
  <si>
    <t>gekozen installaties koeling</t>
  </si>
  <si>
    <t>gekozen installaties warmtapwater</t>
  </si>
  <si>
    <t>gasverbruik</t>
  </si>
  <si>
    <t>jaarlijks gasverbruik locatie</t>
  </si>
  <si>
    <t>x1000 m3 gas/jaar</t>
  </si>
  <si>
    <t>TOTAAL locatie</t>
  </si>
  <si>
    <t>jaarlijks primair energiegebruik locatie</t>
  </si>
  <si>
    <t>MWh_prim/jaar</t>
  </si>
  <si>
    <t>primair energiegebruik per locatie</t>
  </si>
  <si>
    <t>jaarlijks primair energiegebruik locatie 1</t>
  </si>
  <si>
    <t>jaarlijks primair energiegebruik locatie 2</t>
  </si>
  <si>
    <t>jaarlijks primair energiegebruik locatie 3</t>
  </si>
  <si>
    <t>jaarlijks primair energiegebruik locatie 4</t>
  </si>
  <si>
    <t>jaarlijkse CO2 emissie locatie</t>
  </si>
  <si>
    <t>ton/jaar</t>
  </si>
  <si>
    <t>CO2 emissie per locatie</t>
  </si>
  <si>
    <t>jaarlijkse CO2 emissie locatie 1</t>
  </si>
  <si>
    <t>ton CO2/jaar</t>
  </si>
  <si>
    <t>jaarlijkse CO2 emissie locatie 2</t>
  </si>
  <si>
    <t>jaarlijkse CO2 emissie locatie 3</t>
  </si>
  <si>
    <t>jaarlijkse CO2 emissie locatie 4</t>
  </si>
  <si>
    <t>primaire energiefactor verwarming (alleen bij centrale warmte)</t>
  </si>
  <si>
    <t>primaire energiefactor koeling (alleen bij centrale koude)</t>
  </si>
  <si>
    <t>primaire energiefactor tapwater (alleen bij centrale warmte)</t>
  </si>
  <si>
    <t>hernieuwbaar</t>
  </si>
  <si>
    <t>bijdrage hernieuwbare energie</t>
  </si>
  <si>
    <t>grafiek CO2 emissie</t>
  </si>
  <si>
    <t>→</t>
  </si>
  <si>
    <t>grafiek primair energiegebruik</t>
  </si>
  <si>
    <t>grafiek fossiel energiegebruik</t>
  </si>
  <si>
    <t>bibliotheek</t>
  </si>
  <si>
    <t>woningen|utiliteitsgebouwen</t>
  </si>
  <si>
    <t>parameter</t>
  </si>
  <si>
    <t>eenheid</t>
  </si>
  <si>
    <t>hoofdkenmerken woning|utiliteitsgebouwen</t>
  </si>
  <si>
    <t>eigen won_geb</t>
  </si>
  <si>
    <t>naam woning|gebouw [vrije invoer - max 13 karakters ivm leesbaarheid]</t>
  </si>
  <si>
    <t>vrije tekst</t>
  </si>
  <si>
    <t>hoekwoning M</t>
  </si>
  <si>
    <t>logieswoning</t>
  </si>
  <si>
    <t>tussenwon S</t>
  </si>
  <si>
    <t>tussenwon M</t>
  </si>
  <si>
    <t>won XS wg XL</t>
  </si>
  <si>
    <t>woongebouw M</t>
  </si>
  <si>
    <t>bijeenkomst S</t>
  </si>
  <si>
    <t>bijeenkomst M</t>
  </si>
  <si>
    <t>bijeenkomst L</t>
  </si>
  <si>
    <t>bijeenk. XL</t>
  </si>
  <si>
    <t>creche XXS</t>
  </si>
  <si>
    <t>creche XS</t>
  </si>
  <si>
    <t>creche S</t>
  </si>
  <si>
    <t>gezond bed L</t>
  </si>
  <si>
    <t>gezond bed XL</t>
  </si>
  <si>
    <t>gezondheid S</t>
  </si>
  <si>
    <t>kantoor XXS</t>
  </si>
  <si>
    <t>kantoor XS</t>
  </si>
  <si>
    <t>kantoor S</t>
  </si>
  <si>
    <t>kantoor M</t>
  </si>
  <si>
    <t>kantoor XL 1</t>
  </si>
  <si>
    <t>kantoor XL 2</t>
  </si>
  <si>
    <t>logies M</t>
  </si>
  <si>
    <t>school XS</t>
  </si>
  <si>
    <t>school S</t>
  </si>
  <si>
    <t>school M</t>
  </si>
  <si>
    <t>school L</t>
  </si>
  <si>
    <t>school XL</t>
  </si>
  <si>
    <t>sport M</t>
  </si>
  <si>
    <t>sport L</t>
  </si>
  <si>
    <t>winkel XXS</t>
  </si>
  <si>
    <t>winkel XS</t>
  </si>
  <si>
    <t>winkel S</t>
  </si>
  <si>
    <t>winkel XL</t>
  </si>
  <si>
    <t>keuzelijst</t>
  </si>
  <si>
    <t>woning</t>
  </si>
  <si>
    <t>woongebouw</t>
  </si>
  <si>
    <t>kantoor</t>
  </si>
  <si>
    <t>logies</t>
  </si>
  <si>
    <t>onderwijs</t>
  </si>
  <si>
    <t>sport</t>
  </si>
  <si>
    <t>winkel</t>
  </si>
  <si>
    <t>woning: gestapeld (1) / niet gestapeld (0)</t>
  </si>
  <si>
    <t>keuzelijst 0/1</t>
  </si>
  <si>
    <t>m2/won_geb</t>
  </si>
  <si>
    <t>verliesoppervlakken bouwdelen</t>
  </si>
  <si>
    <t>bg vloer</t>
  </si>
  <si>
    <t>dichte gevel</t>
  </si>
  <si>
    <t>plat dak</t>
  </si>
  <si>
    <t>hellend dak</t>
  </si>
  <si>
    <t>raam</t>
  </si>
  <si>
    <t>deur</t>
  </si>
  <si>
    <t>verliesoppervlak t.o.v. gebruiksoppervlakte Als/Ag</t>
  </si>
  <si>
    <t>raamoppervlak t.o.v. gebruiksoppervlakte Als/Ag</t>
  </si>
  <si>
    <t>bron RVO</t>
  </si>
  <si>
    <t>BENG referentie utiliteit</t>
  </si>
  <si>
    <t>isolatiepakketten gebouwschil</t>
  </si>
  <si>
    <t>voorbeeld gevel</t>
  </si>
  <si>
    <t>naam</t>
  </si>
  <si>
    <t>isolatie bouwdelen</t>
  </si>
  <si>
    <t>eigen pakket</t>
  </si>
  <si>
    <t>A (m2)</t>
  </si>
  <si>
    <r>
      <t>R</t>
    </r>
    <r>
      <rPr>
        <vertAlign val="subscript"/>
        <sz val="10"/>
        <rFont val="Calibri"/>
        <family val="2"/>
        <scheme val="minor"/>
      </rPr>
      <t>c</t>
    </r>
    <r>
      <rPr>
        <sz val="10"/>
        <rFont val="Calibri"/>
        <family val="2"/>
        <scheme val="minor"/>
      </rPr>
      <t xml:space="preserve"> (m2K/W)</t>
    </r>
  </si>
  <si>
    <r>
      <t>R</t>
    </r>
    <r>
      <rPr>
        <vertAlign val="subscript"/>
        <sz val="10"/>
        <rFont val="Calibri"/>
        <family val="2"/>
        <scheme val="minor"/>
      </rPr>
      <t>i+e</t>
    </r>
    <r>
      <rPr>
        <sz val="10"/>
        <rFont val="Calibri"/>
        <family val="2"/>
        <scheme val="minor"/>
      </rPr>
      <t xml:space="preserve"> (m2K/W)</t>
    </r>
  </si>
  <si>
    <r>
      <t>R</t>
    </r>
    <r>
      <rPr>
        <vertAlign val="subscript"/>
        <sz val="10"/>
        <rFont val="Calibri"/>
        <family val="2"/>
        <scheme val="minor"/>
      </rPr>
      <t>totaal</t>
    </r>
    <r>
      <rPr>
        <sz val="10"/>
        <rFont val="Calibri"/>
        <family val="2"/>
        <scheme val="minor"/>
      </rPr>
      <t xml:space="preserve"> (m2K/W)</t>
    </r>
  </si>
  <si>
    <t>U (W/m2K)</t>
  </si>
  <si>
    <t>A*U (W/K)</t>
  </si>
  <si>
    <t>naam pakket</t>
  </si>
  <si>
    <t>streefwaarden</t>
  </si>
  <si>
    <t>2006-2012</t>
  </si>
  <si>
    <t>1992-2005</t>
  </si>
  <si>
    <t>1975-1991</t>
  </si>
  <si>
    <t>1965-1974</t>
  </si>
  <si>
    <t>t/m 1964</t>
  </si>
  <si>
    <t>m2K/W</t>
  </si>
  <si>
    <t>W/K</t>
  </si>
  <si>
    <t>Rc bg vloer</t>
  </si>
  <si>
    <t>per bouwdeel</t>
  </si>
  <si>
    <t>Rc dichte gevel</t>
  </si>
  <si>
    <t>constructie 1</t>
  </si>
  <si>
    <t>Rc plat dak</t>
  </si>
  <si>
    <t>constructie 2</t>
  </si>
  <si>
    <t>Rc hellend dak</t>
  </si>
  <si>
    <t>constructie 3</t>
  </si>
  <si>
    <t>rekenwaarde U bg vloer</t>
  </si>
  <si>
    <t>rekenwaarde U bg vloer, incl weegfactor</t>
  </si>
  <si>
    <t>alle bouwdelen</t>
  </si>
  <si>
    <t>rekenwaarde U dichte gevel</t>
  </si>
  <si>
    <r>
      <t>som A*U ( = ∑</t>
    </r>
    <r>
      <rPr>
        <vertAlign val="subscript"/>
        <sz val="10"/>
        <rFont val="Calibri"/>
        <family val="2"/>
      </rPr>
      <t>(1-x)</t>
    </r>
    <r>
      <rPr>
        <sz val="10"/>
        <rFont val="Calibri"/>
        <family val="2"/>
      </rPr>
      <t>( A</t>
    </r>
    <r>
      <rPr>
        <vertAlign val="subscript"/>
        <sz val="10"/>
        <rFont val="Calibri"/>
        <family val="2"/>
      </rPr>
      <t>x</t>
    </r>
    <r>
      <rPr>
        <sz val="10"/>
        <rFont val="Calibri"/>
        <family val="2"/>
      </rPr>
      <t>/(R</t>
    </r>
    <r>
      <rPr>
        <vertAlign val="subscript"/>
        <sz val="10"/>
        <rFont val="Calibri"/>
        <family val="2"/>
      </rPr>
      <t>c,x</t>
    </r>
    <r>
      <rPr>
        <sz val="10"/>
        <rFont val="Calibri"/>
        <family val="2"/>
      </rPr>
      <t>+R</t>
    </r>
    <r>
      <rPr>
        <vertAlign val="subscript"/>
        <sz val="10"/>
        <rFont val="Calibri"/>
        <family val="2"/>
      </rPr>
      <t>i+e</t>
    </r>
    <r>
      <rPr>
        <sz val="10"/>
        <rFont val="Calibri"/>
        <family val="2"/>
      </rPr>
      <t>) )  )</t>
    </r>
  </si>
  <si>
    <t>rekenwaarde U plat dak</t>
  </si>
  <si>
    <r>
      <t>som A ( = ∑</t>
    </r>
    <r>
      <rPr>
        <vertAlign val="subscript"/>
        <sz val="10"/>
        <rFont val="Calibri"/>
        <family val="2"/>
      </rPr>
      <t>(1-x)</t>
    </r>
    <r>
      <rPr>
        <sz val="10"/>
        <rFont val="Calibri"/>
        <family val="2"/>
      </rPr>
      <t>( A</t>
    </r>
    <r>
      <rPr>
        <vertAlign val="subscript"/>
        <sz val="10"/>
        <rFont val="Calibri"/>
        <family val="2"/>
      </rPr>
      <t>x</t>
    </r>
    <r>
      <rPr>
        <sz val="10"/>
        <rFont val="Calibri"/>
        <family val="2"/>
      </rPr>
      <t xml:space="preserve"> )  )</t>
    </r>
  </si>
  <si>
    <t>rekenwaarde U hellend dak</t>
  </si>
  <si>
    <t>gemiddelde U-waarde ( = som A*U / som A)</t>
  </si>
  <si>
    <t>U-waarde raam</t>
  </si>
  <si>
    <r>
      <t>gemiddelde R</t>
    </r>
    <r>
      <rPr>
        <vertAlign val="subscript"/>
        <sz val="10"/>
        <rFont val="Calibri"/>
        <family val="2"/>
        <scheme val="minor"/>
      </rPr>
      <t>totaal</t>
    </r>
    <r>
      <rPr>
        <sz val="10"/>
        <rFont val="Calibri"/>
        <family val="2"/>
        <scheme val="minor"/>
      </rPr>
      <t xml:space="preserve"> ( = 1 / gemiddelde U-waarde)</t>
    </r>
  </si>
  <si>
    <t>U-waarde deur</t>
  </si>
  <si>
    <r>
      <t>gemiddelde R</t>
    </r>
    <r>
      <rPr>
        <vertAlign val="subscript"/>
        <sz val="10"/>
        <rFont val="Calibri"/>
        <family val="2"/>
        <scheme val="minor"/>
      </rPr>
      <t>c</t>
    </r>
    <r>
      <rPr>
        <sz val="10"/>
        <rFont val="Calibri"/>
        <family val="2"/>
        <scheme val="minor"/>
      </rPr>
      <t xml:space="preserve"> ( = gemiddelde R</t>
    </r>
    <r>
      <rPr>
        <vertAlign val="subscript"/>
        <sz val="10"/>
        <rFont val="Calibri"/>
        <family val="2"/>
        <scheme val="minor"/>
      </rPr>
      <t>totaal</t>
    </r>
    <r>
      <rPr>
        <sz val="10"/>
        <rFont val="Calibri"/>
        <family val="2"/>
        <scheme val="minor"/>
      </rPr>
      <t xml:space="preserve"> - R</t>
    </r>
    <r>
      <rPr>
        <vertAlign val="subscript"/>
        <sz val="10"/>
        <rFont val="Calibri"/>
        <family val="2"/>
        <scheme val="minor"/>
      </rPr>
      <t>i+e</t>
    </r>
    <r>
      <rPr>
        <sz val="10"/>
        <rFont val="Calibri"/>
        <family val="2"/>
        <scheme val="minor"/>
      </rPr>
      <t>)</t>
    </r>
  </si>
  <si>
    <t>ventilatiesystemen</t>
  </si>
  <si>
    <t>ventilatiesysteem B/C</t>
  </si>
  <si>
    <t>systeemcode</t>
  </si>
  <si>
    <t>A</t>
  </si>
  <si>
    <t>B</t>
  </si>
  <si>
    <t>mech (C1)</t>
  </si>
  <si>
    <t>C1</t>
  </si>
  <si>
    <t>C</t>
  </si>
  <si>
    <t>D1</t>
  </si>
  <si>
    <t>D</t>
  </si>
  <si>
    <t>ventilatorenergie</t>
  </si>
  <si>
    <t>wisselstroom</t>
  </si>
  <si>
    <t>gelijkstroom (vóór 2007)</t>
  </si>
  <si>
    <t>gelijkstroom (vanaf 2007)</t>
  </si>
  <si>
    <t>ventilatiesysteem D</t>
  </si>
  <si>
    <t>op basis van het onderscheid voor het type ventilator en de installatiejaarklasse in tabel 11.23 van NTA 8800 en berekeningen met NTA8800 (energielabeldatabase t/m 2019 herberekend en voorbeeldwoningen 2020) - 'zeer energiezuinig' gebruikt 50% van de energie van 'gelijkstroom (vanaf 2007)'</t>
  </si>
  <si>
    <t>installaties ruimteverwarming</t>
  </si>
  <si>
    <t>installatiesystemen ruimteverwarming</t>
  </si>
  <si>
    <t>type systeem</t>
  </si>
  <si>
    <t>eigen installatie</t>
  </si>
  <si>
    <t>naam [vrije invoer - compacte naam verbetert leesbaarheid]</t>
  </si>
  <si>
    <t>VR</t>
  </si>
  <si>
    <t>ind WP, coll grondw, elek bijstook</t>
  </si>
  <si>
    <t>ind WP, ind bodem, elek bijstook</t>
  </si>
  <si>
    <t>ind WP, coll grondw, gas bijstook</t>
  </si>
  <si>
    <t>ind WP, ind bodem, gas bijstook</t>
  </si>
  <si>
    <t>ind wp buitenlucht, elek bijstook</t>
  </si>
  <si>
    <t>ind WP toekomst</t>
  </si>
  <si>
    <t>coll WP, coll grond, gas bijstook</t>
  </si>
  <si>
    <t>coll WP, coll grond, elek bijstook</t>
  </si>
  <si>
    <t>Infrarood</t>
  </si>
  <si>
    <t>geothermie HT</t>
  </si>
  <si>
    <t>gasWKK 200-500 kW HT</t>
  </si>
  <si>
    <t>gasWKK 500-1000 kW HT</t>
  </si>
  <si>
    <t>bio olie/PPO dieselmotor</t>
  </si>
  <si>
    <t>biomassa vergisting</t>
  </si>
  <si>
    <t>biom. verbr. &lt; 10 MWe</t>
  </si>
  <si>
    <t>biom. verbr. 10-50 MWe</t>
  </si>
  <si>
    <t>houtpellet ketel</t>
  </si>
  <si>
    <t>aftap E-centrale (120°C)</t>
  </si>
  <si>
    <t>aftap AVI (120°C)</t>
  </si>
  <si>
    <t>restwarmte (CO2 vrij)</t>
  </si>
  <si>
    <t>ind. CR-ketel HT</t>
  </si>
  <si>
    <t>ind. VR-ketel HT</t>
  </si>
  <si>
    <t>externe warmtelevering forfaitair</t>
  </si>
  <si>
    <t>STEG + BIO</t>
  </si>
  <si>
    <t>AVI + BIO</t>
  </si>
  <si>
    <t>Warmtenet prim</t>
  </si>
  <si>
    <t>Warmtenet sec</t>
  </si>
  <si>
    <t>toelichting [optioneel, vrije invoer via 'invoerbericht' in 'gegevensvalidatie']</t>
  </si>
  <si>
    <t>voorbeeld met kwaliteitsverklaring</t>
  </si>
  <si>
    <t>geografisch niveau installatie [keuzelijst]</t>
  </si>
  <si>
    <t>gebouw</t>
  </si>
  <si>
    <t>centraal</t>
  </si>
  <si>
    <t>toestel is warmtepomp met hernieuwbare bron? [0/1]</t>
  </si>
  <si>
    <t>toestel met aquifer/regeneratie? [0/1]</t>
  </si>
  <si>
    <t>afgifterendement/interne warmtedistributieverliezen ruimteverwarming</t>
  </si>
  <si>
    <t>afgifterendement ruimteverwarming [keuzelijst]</t>
  </si>
  <si>
    <t>distributieverlies warmte ruimteverwarming</t>
  </si>
  <si>
    <t>per laagbouwwoning [≥0,0]</t>
  </si>
  <si>
    <t>MWh / won.jaar</t>
  </si>
  <si>
    <t>per gestapelde woning [≥0,0]</t>
  </si>
  <si>
    <t>per utiliteitsgebouw [≥0,0]</t>
  </si>
  <si>
    <t>MWh / geb.jaar</t>
  </si>
  <si>
    <t>gegevens preferent toestel</t>
  </si>
  <si>
    <t>energiedrager [keuzelijst]</t>
  </si>
  <si>
    <t>aardgas</t>
  </si>
  <si>
    <t>bio-olie</t>
  </si>
  <si>
    <t>biomassa (bmB)</t>
  </si>
  <si>
    <t>aftap STEG</t>
  </si>
  <si>
    <t>aftap AVI</t>
  </si>
  <si>
    <t>restwarmte CO2-vrij</t>
  </si>
  <si>
    <t>externe warmte forfaitair</t>
  </si>
  <si>
    <t>aftap STEG+BIO</t>
  </si>
  <si>
    <t>aftap AVI+BIO</t>
  </si>
  <si>
    <t>warmtenet (primair)</t>
  </si>
  <si>
    <t>WARMTE | Amersfoort, Parkweelde | Collectief WKO</t>
  </si>
  <si>
    <t>eenheid finaal energiegebruik gebouw</t>
  </si>
  <si>
    <t>dekkingsgraad preferent toestel [&gt;0%-100%]</t>
  </si>
  <si>
    <t>opwekkingsrendement / COP (bovenwaarde) [0,1-15)</t>
  </si>
  <si>
    <t/>
  </si>
  <si>
    <t>pompenergie aquifer (COP) [0-50]</t>
  </si>
  <si>
    <t>elektrisch omzettingsgetal warmtekracht [0,0-0,7]</t>
  </si>
  <si>
    <t>elektriciteitsderving WKK Δε;chp;el / ε;chp;th  [0,0-0,5]</t>
  </si>
  <si>
    <t>MWh elektrisch / MWh</t>
  </si>
  <si>
    <t>gegevens niet-preferent toestel</t>
  </si>
  <si>
    <t>type toestel [vrije invoer]</t>
  </si>
  <si>
    <t>elektrisch element</t>
  </si>
  <si>
    <t>coll HR107</t>
  </si>
  <si>
    <t>nvt</t>
  </si>
  <si>
    <t>thermisch rendement (bovenwaarde) [0,100-15,000]</t>
  </si>
  <si>
    <t>hulpenergie</t>
  </si>
  <si>
    <t>hulpenergie - A [0-100]</t>
  </si>
  <si>
    <t>(NTA8800 par. 9.6.8.1.1.2)</t>
  </si>
  <si>
    <t>kWh/toestel</t>
  </si>
  <si>
    <t>hulpenergie - B [0,0-1,0]</t>
  </si>
  <si>
    <t>kW/toestel</t>
  </si>
  <si>
    <t>hulpenergie - C [0,0-1,0]</t>
  </si>
  <si>
    <r>
      <t>hulpenergie - B,nom [</t>
    </r>
    <r>
      <rPr>
        <sz val="10"/>
        <color indexed="8"/>
        <rFont val="Calibri"/>
        <family val="2"/>
      </rPr>
      <t>≥0</t>
    </r>
    <r>
      <rPr>
        <sz val="9"/>
        <color indexed="8"/>
        <rFont val="Calibri Light"/>
        <family val="2"/>
      </rPr>
      <t>]</t>
    </r>
  </si>
  <si>
    <r>
      <t>standby elektronica (P</t>
    </r>
    <r>
      <rPr>
        <vertAlign val="subscript"/>
        <sz val="10"/>
        <color rgb="FF000000"/>
        <rFont val="Calibri Light"/>
        <family val="2"/>
      </rPr>
      <t>H;aux;gen</t>
    </r>
    <r>
      <rPr>
        <sz val="10"/>
        <color indexed="8"/>
        <rFont val="Calibri Light"/>
        <family val="2"/>
      </rPr>
      <t>) [0-1]</t>
    </r>
  </si>
  <si>
    <t>(NTA8800 par. 9.6.8.2.3)</t>
  </si>
  <si>
    <t>W/toestel</t>
  </si>
  <si>
    <r>
      <t>spec elek gebruik (P</t>
    </r>
    <r>
      <rPr>
        <vertAlign val="subscript"/>
        <sz val="10"/>
        <color rgb="FF000000"/>
        <rFont val="Calibri Light"/>
        <family val="2"/>
      </rPr>
      <t>H;aux;gen;spec</t>
    </r>
    <r>
      <rPr>
        <sz val="10"/>
        <color indexed="8"/>
        <rFont val="Calibri Light"/>
        <family val="2"/>
      </rPr>
      <t>) [0-10]</t>
    </r>
  </si>
  <si>
    <t>W/kW</t>
  </si>
  <si>
    <t>aanname bedrijfstijd t;on [0-8760]</t>
  </si>
  <si>
    <t>h</t>
  </si>
  <si>
    <t>elektriciteitsverbruik collectieve voorziening</t>
  </si>
  <si>
    <t>pompenergie distributie per MWh geleverde warmte [0,0000-0,0100]</t>
  </si>
  <si>
    <t>kental elektriciteitsgebruik regeneratie [0,000-0,100]</t>
  </si>
  <si>
    <t>bron: NTA 8800</t>
  </si>
  <si>
    <t>tabel 9.25</t>
  </si>
  <si>
    <t>tabel 9.27</t>
  </si>
  <si>
    <t>tabel 9.31</t>
  </si>
  <si>
    <t>aanname</t>
  </si>
  <si>
    <t>tabel 9.30</t>
  </si>
  <si>
    <t>par 9.6.7.2</t>
  </si>
  <si>
    <t>voorbeeldinvulling</t>
  </si>
  <si>
    <t>forfaitair vermogen ruimteverwarming</t>
  </si>
  <si>
    <t>parameters tbv bepaling forfaitair vermogen ruimteverwarming</t>
  </si>
  <si>
    <t>factor: energie naar distributienet -&gt; verlies januari transmissie &amp; ventilatie*</t>
  </si>
  <si>
    <t>rekenwaarde lengte januari</t>
  </si>
  <si>
    <t>temperatuur rekenzone verwarming</t>
  </si>
  <si>
    <r>
      <rPr>
        <sz val="10"/>
        <color indexed="8"/>
        <rFont val="Calibri"/>
        <family val="2"/>
      </rPr>
      <t>°</t>
    </r>
    <r>
      <rPr>
        <sz val="10"/>
        <color indexed="8"/>
        <rFont val="Calibri Light"/>
        <family val="2"/>
      </rPr>
      <t>C</t>
    </r>
  </si>
  <si>
    <t>gemiddelde buitentemperatuur januari (NTA8800, tabel 17.2)</t>
  </si>
  <si>
    <t>ontwerp buitentemperatuur buiten voor bepalen benodigd vermogen</t>
  </si>
  <si>
    <t>toeslag voor opwarming - aanname</t>
  </si>
  <si>
    <t>&gt;  NTA 8800 ónder tabel 9.12: formule bepaling ontwerp warmtebehoefte (verwarmingsvermogen nodig om rekenzone op setpointtemperatuur te verwarmen).</t>
  </si>
  <si>
    <t>*) NTA 8800 geeft onder tabel 9.12 een formule voor het forfaitair verwarmingsvermogen o.b.v. het warmteverlies voor transmissie en ventilatie in januari.</t>
  </si>
  <si>
    <t xml:space="preserve">    Het warmteverlies voor transmissie en ventilatie in januari is in UMGO niet beschikbaar. De geleverde energie aan het distributienet wel.</t>
  </si>
  <si>
    <t xml:space="preserve">    Met gegevens uit energielabeldatabase 2020 is een verband gevonden tussen deze parameters voor berekenen van forfaitair verwarmingsvermogen (zie grafiek).</t>
  </si>
  <si>
    <t>installaties warmtapwater</t>
  </si>
  <si>
    <t>installatiesystemen warmtapwater</t>
  </si>
  <si>
    <t>keukengeiser</t>
  </si>
  <si>
    <t>TOEKOMST ind WP, coll grondw, elek bijstook</t>
  </si>
  <si>
    <t>elektroboiler</t>
  </si>
  <si>
    <t>ind. CR-combitap</t>
  </si>
  <si>
    <t>ind. VR-combitap</t>
  </si>
  <si>
    <t>separaat tapwaternet</t>
  </si>
  <si>
    <t>warmtepompboiler</t>
  </si>
  <si>
    <t>VR combi collectief</t>
  </si>
  <si>
    <t>HR107 combi collectief</t>
  </si>
  <si>
    <t>booster warmtepomp COP 3,5</t>
  </si>
  <si>
    <t>eigen booster-WP</t>
  </si>
  <si>
    <t>hr107</t>
  </si>
  <si>
    <t>voorbeeld</t>
  </si>
  <si>
    <t>gebied</t>
  </si>
  <si>
    <t>systeemrendement binnen gebouw</t>
  </si>
  <si>
    <t>systeemrendement warmtapwater binnen het gebouw [0,50-1,00]</t>
  </si>
  <si>
    <t>warmteverlies externe distributie warmte tapwater (bron: tabel 10)</t>
  </si>
  <si>
    <t>per laagbouwwoning [0,0-2,0]</t>
  </si>
  <si>
    <t>per gestapelde woning [0,0-2,0]</t>
  </si>
  <si>
    <r>
      <t>per utiliteitsgebouw [</t>
    </r>
    <r>
      <rPr>
        <sz val="10"/>
        <color indexed="8"/>
        <rFont val="Calibri"/>
        <family val="2"/>
      </rPr>
      <t>≥</t>
    </r>
    <r>
      <rPr>
        <sz val="10"/>
        <color indexed="8"/>
        <rFont val="Calibri Light"/>
        <family val="2"/>
      </rPr>
      <t>0,0]</t>
    </r>
  </si>
  <si>
    <t>warmtenet (secundair)</t>
  </si>
  <si>
    <t>booster warmtepomp</t>
  </si>
  <si>
    <t>ELEKTR</t>
  </si>
  <si>
    <t>bron: NTA8800</t>
  </si>
  <si>
    <t>tabel 13.25, BCRG</t>
  </si>
  <si>
    <t>tabel 13.25</t>
  </si>
  <si>
    <t>EPG NEN 7120, tabel 19.16</t>
  </si>
  <si>
    <t>tabel 16</t>
  </si>
  <si>
    <t>tabel 13.28</t>
  </si>
  <si>
    <t>par 13.8.12.2</t>
  </si>
  <si>
    <t>installaties koeling</t>
  </si>
  <si>
    <t>installatiesystemen koeling</t>
  </si>
  <si>
    <t>compressie koelmachine</t>
  </si>
  <si>
    <t>compr. HT-afgifte of condensor of koeltoren</t>
  </si>
  <si>
    <t>compr. HT-afgifte en condensor of koeltoren</t>
  </si>
  <si>
    <t>compr. LT-koudebron  (regeneratie)</t>
  </si>
  <si>
    <t>compr. HT-afgifte en LT-koudebron  (regeneratie)</t>
  </si>
  <si>
    <t>koude opslag/aquifer  (regeneratie)</t>
  </si>
  <si>
    <t>warmtepomp met buitenlucht als bron</t>
  </si>
  <si>
    <t>absorptiekoeling op gas</t>
  </si>
  <si>
    <t>absorptiekoeling op warmte</t>
  </si>
  <si>
    <t>WKK + absorptiekoeling</t>
  </si>
  <si>
    <t>vrije koeling? [0/1]</t>
  </si>
  <si>
    <t>opwekkingsrendement [0,1-15]</t>
  </si>
  <si>
    <t>elektrisch rendement warmtekracht [0,000-0,700]</t>
  </si>
  <si>
    <t>opwekkingsrendement [0,100-15,000]</t>
  </si>
  <si>
    <t>pompenergie distributie per MWh geleverde koude [0,0000-0,0100]</t>
  </si>
  <si>
    <t>kWh elektrisch / MWh</t>
  </si>
  <si>
    <t>tabel 10.29</t>
  </si>
  <si>
    <t>NEN 7120, tabel 17.6</t>
  </si>
  <si>
    <t>tabel 10.34</t>
  </si>
  <si>
    <t>forfaitair vermogen koeling</t>
  </si>
  <si>
    <t>parameters tbv bepaling forfaitair vermogen koeling</t>
  </si>
  <si>
    <t>factor</t>
  </si>
  <si>
    <t>factor voor vertaling jaargemiddeld energiegebruik naar vermogen</t>
  </si>
  <si>
    <t>1/h</t>
  </si>
  <si>
    <t>bron: NTA8800 formule 10.60 en tabel 10.17 - inschatting op basis van buiten temperatuur van 24°C.</t>
  </si>
  <si>
    <t xml:space="preserve">bij toepassing thermische zonne-energiesystemen: aandeel zonne-energie in te leveren warmte aan distributienet </t>
  </si>
  <si>
    <t>ruimteverwarming</t>
  </si>
  <si>
    <t>primaire hernieuwbare energiefactor</t>
  </si>
  <si>
    <t>namen hernieuwbare energiedragers en hernieuwbare energiefactor</t>
  </si>
  <si>
    <t>hernieuwbare energiebron</t>
  </si>
  <si>
    <t xml:space="preserve">elektriciteit hernieuwbaar </t>
  </si>
  <si>
    <t>omgevingswarmte</t>
  </si>
  <si>
    <t>omgevingskoude</t>
  </si>
  <si>
    <t>biomassa (bmA)</t>
  </si>
  <si>
    <t>biomassa (bmC)</t>
  </si>
  <si>
    <t>externe warmte of koude (forfaitair)</t>
  </si>
  <si>
    <t>externe warmte of koude (kwal)</t>
  </si>
  <si>
    <t>index ri</t>
  </si>
  <si>
    <t>nren</t>
  </si>
  <si>
    <t>renelect</t>
  </si>
  <si>
    <t>renheat</t>
  </si>
  <si>
    <t>rencold</t>
  </si>
  <si>
    <t>bmA</t>
  </si>
  <si>
    <t>bmB</t>
  </si>
  <si>
    <t>bmC</t>
  </si>
  <si>
    <t>dxforf</t>
  </si>
  <si>
    <t>dxkwal</t>
  </si>
  <si>
    <t>getalswaarde primaire hernieuwbare energiefactor (fPren;ri)</t>
  </si>
  <si>
    <t>fPren;dx</t>
  </si>
  <si>
    <t>getalswaarde kwaliteitsverklaring nodig bij toestellen</t>
  </si>
  <si>
    <t>bron  NTA8800 tabel 5.4 in paragraaf 5.6.3</t>
  </si>
  <si>
    <t>x</t>
  </si>
  <si>
    <t>energiedragers (geen elektra)</t>
  </si>
  <si>
    <t>energiedragers (anders dan elektriciteit)</t>
  </si>
  <si>
    <t>namen, primaire energiefactor, CO2 emissiecoëfficiënt, eenheid finaal energiegebruik</t>
  </si>
  <si>
    <t>toegevoegd</t>
  </si>
  <si>
    <t>eigen e'drager</t>
  </si>
  <si>
    <t>keuze warmtenet</t>
  </si>
  <si>
    <t>energiedrager [vrije invoer - compacte naam verbetert leesbaarheid]</t>
  </si>
  <si>
    <t>stookolie</t>
  </si>
  <si>
    <t>externe koude forfaitair</t>
  </si>
  <si>
    <t>bio-|groen gas</t>
  </si>
  <si>
    <t>KOUDE | Amersfoort, Parkweelde | Collectief WKO</t>
  </si>
  <si>
    <t>primaire energiefactor [0,0-2,0]</t>
  </si>
  <si>
    <t>MWh_fossiel/MWh_tot</t>
  </si>
  <si>
    <t>CO2 emissiecoëfficiënt  [0,0-0,5]</t>
  </si>
  <si>
    <t>ton/MWh_finaal</t>
  </si>
  <si>
    <t>eenheid t.b.v finaal energiegebruik woning|utiliteitsgebouw [keuzelijst]</t>
  </si>
  <si>
    <t>kWh</t>
  </si>
  <si>
    <t>m3</t>
  </si>
  <si>
    <t>GJ</t>
  </si>
  <si>
    <t>bronnen: NTA8800 tabellen 5.2 en 5.5 (energiefactoren) en 5.3 en 5.6 (CO2 emissiecoëfficiënt)</t>
  </si>
  <si>
    <t>5.2/5.3</t>
  </si>
  <si>
    <t>RVO-W/E</t>
  </si>
  <si>
    <t>bijbehorende hernieuwbare energiebron met primaire hernieuwbare energiefactor</t>
  </si>
  <si>
    <t>eigen energiedrager</t>
  </si>
  <si>
    <t>Biomassa (bmA)</t>
  </si>
  <si>
    <t>uit NTA - tabel 5.4</t>
  </si>
  <si>
    <t>fPren</t>
  </si>
  <si>
    <t>waarde uit kwaliteitsverklaring</t>
  </si>
  <si>
    <t>rekenwaarde</t>
  </si>
  <si>
    <t xml:space="preserve">toelichting </t>
  </si>
  <si>
    <t>aftap verwerkt in fpdel en fpren</t>
  </si>
  <si>
    <r>
      <t xml:space="preserve">geschiktheid voor toepassing </t>
    </r>
    <r>
      <rPr>
        <sz val="10"/>
        <color theme="3"/>
        <rFont val="Calibri"/>
        <family val="2"/>
      </rPr>
      <t>vooral relevant voor warmte- en koudenetten</t>
    </r>
  </si>
  <si>
    <t>voor ruimteverwarming</t>
  </si>
  <si>
    <t>voor koeling</t>
  </si>
  <si>
    <t>voor warmtapwater</t>
  </si>
  <si>
    <t>energiedragers voor ruimteverwarming</t>
  </si>
  <si>
    <t>energiedragers voor koeling</t>
  </si>
  <si>
    <t>energiedragers voor warmtapwater</t>
  </si>
  <si>
    <t>naam warmte-/koudenet</t>
  </si>
  <si>
    <t>TAPWATER | Amersfoort, Parkweelde | Collectief WKO</t>
  </si>
  <si>
    <t>WARMTE | Amsterdam, Buiksloterham | Collectief WKO</t>
  </si>
  <si>
    <t>KOUDE | Amsterdam, Buiksloterham | Collectief WKO</t>
  </si>
  <si>
    <t>WARMTE | Veenendaal, DEVO | Warmte- koudenet</t>
  </si>
  <si>
    <t>KOUDE | Veenendaal, DEVO | Warmte- koudenet</t>
  </si>
  <si>
    <t>WARMTE | Westland, Westmade Noord | Warmtenet</t>
  </si>
  <si>
    <t>WARMTE | Amsterdam, Sluisbuurt | Hybride WKO</t>
  </si>
  <si>
    <t>KOUDE | Amsterdam, Sluisbuurt | Hybride WKO</t>
  </si>
  <si>
    <t>WARMTE | Lelystad | Warmtenet</t>
  </si>
  <si>
    <t>WARMTE LT | Amsterdam, Bullewijk | Collectief WKO</t>
  </si>
  <si>
    <t>WARMTE HT | Amsterdam, Bullewijk | Collectief WKO</t>
  </si>
  <si>
    <t>KOUDE | Amsterdam, Bullewijk | Collectief WKO</t>
  </si>
  <si>
    <t>WARMTE | Roosendaal, Stadsoevers | Warmtenet</t>
  </si>
  <si>
    <t>KOUDE | Amsterdam, Zuidas | Koudenet</t>
  </si>
  <si>
    <t>KOUDE | Amsterdam, Zuidoost | Koudenet</t>
  </si>
  <si>
    <t>WARMTE | Westland, Polanen | Warmtenet</t>
  </si>
  <si>
    <t>WARMTE | Midden- West-Brabant | Warmtenet</t>
  </si>
  <si>
    <t>WARMTE | Eindhoven, de Strijp | Warmtenet</t>
  </si>
  <si>
    <t>WARMTE | Dordrecht | Primair warmtenet</t>
  </si>
  <si>
    <t>WARMTE | Dordrecht | Secundair warmtenet</t>
  </si>
  <si>
    <t>WARMTE | Alkmaar | Primair warmtenet</t>
  </si>
  <si>
    <t>WARMTE | Rotterdan, Eneco | Primair warmtenet</t>
  </si>
  <si>
    <t>WARMTE | Rotterdam, Eneco | Secundair warmtenet</t>
  </si>
  <si>
    <t>WARMTE | Apeldoorn, Zuidbroek | Warmtenet</t>
  </si>
  <si>
    <t>WARMTE | Eindhoven, Meerhoven | Warmtenet</t>
  </si>
  <si>
    <t>WARMTE | Enschede | Warmtenet</t>
  </si>
  <si>
    <t>KOUDE | Hoofddorp, Hydepark | Koudenet</t>
  </si>
  <si>
    <t>WARMTE | Rotterdam, Zuid en Hoogvliet | Primair warmtenet</t>
  </si>
  <si>
    <t>WARMTE | Nijmegen | Primair warmtenet</t>
  </si>
  <si>
    <t>WARMTE | Nijmegen | Secundair warmtenet</t>
  </si>
  <si>
    <t>WARMTE | Duiven, Westervoort, Arnhem | Primair warmtenet</t>
  </si>
  <si>
    <t>WARMTE | Duiven, Westervoort, Arnhem | Secundair warmtenet</t>
  </si>
  <si>
    <t>WARMTE | Amsterdam, West en Noord | Primair warmtenet</t>
  </si>
  <si>
    <t>WARMTE | Amsterdam, West en Noord | Secundair warmtenet</t>
  </si>
  <si>
    <t>WARMTE | Amsterdam, Zuid-Oost en Almere | Primair warmtenet</t>
  </si>
  <si>
    <t>WARMTE | Amsterdam, Zuid-Oost en Almere | Secundair warmtenet</t>
  </si>
  <si>
    <t>WARMTE | Purmerend, SVP | Primair warmtenet</t>
  </si>
  <si>
    <t>WARMTE | Purmerend, SVP | Secundair warmtenet</t>
  </si>
  <si>
    <t>WARMTE | Utrecht en Nieuwgein | Primair warmtenet</t>
  </si>
  <si>
    <t>WARMTE | Utrecht en Nieuwgein | Secundair warmtenet</t>
  </si>
  <si>
    <t>WARMTE | Den Haag | Primair warmtenet</t>
  </si>
  <si>
    <t>WARMTE | Den Haag | Secundair warmtenet</t>
  </si>
  <si>
    <t>nummer of code kwaliteitsverklaring</t>
  </si>
  <si>
    <t>20210502GK</t>
  </si>
  <si>
    <t>20210474GK</t>
  </si>
  <si>
    <t>20210403GK</t>
  </si>
  <si>
    <t>20210313GK</t>
  </si>
  <si>
    <t>20210282GK</t>
  </si>
  <si>
    <t>20210202GK</t>
  </si>
  <si>
    <t>20210124GK</t>
  </si>
  <si>
    <t>20210002GK</t>
  </si>
  <si>
    <t>20201882GK</t>
  </si>
  <si>
    <t>20201880GK</t>
  </si>
  <si>
    <t>20201670GK</t>
  </si>
  <si>
    <t>20201595GK</t>
  </si>
  <si>
    <t>primaire energiefactor (fp;del)</t>
  </si>
  <si>
    <t>hernieuwbare energiefactor (fp,ren)</t>
  </si>
  <si>
    <t>kg/kWh</t>
  </si>
  <si>
    <t>bron: website Bureau CRG</t>
  </si>
  <si>
    <t>energiedrager elektriciteit</t>
  </si>
  <si>
    <t>energiedrager (export) elektriciteit</t>
  </si>
  <si>
    <t>primaire energiefactor en CO2 emissiecoëfficiënt</t>
  </si>
  <si>
    <t>typering opwekking elektriciteit</t>
  </si>
  <si>
    <t>2030*</t>
  </si>
  <si>
    <t>primaire energiefactor elektriciteit [0,0-2,0]</t>
  </si>
  <si>
    <t>primaire energiefactor export elektriciteit [0,0-2,0]</t>
  </si>
  <si>
    <t>CO2 emissiecoëfficiënt elektriciteit [0,0-0,5]</t>
  </si>
  <si>
    <t>CO2 emissiecoëfficiënt export elektriciteit [0,0-0,5]</t>
  </si>
  <si>
    <t>bron
* zijn projecties</t>
  </si>
  <si>
    <t>NTA8800 tabel 5.3</t>
  </si>
  <si>
    <t>gebruiksfuncties</t>
  </si>
  <si>
    <t>namen gebruiksfuncties</t>
  </si>
  <si>
    <t>correctiefactor RV;nd</t>
  </si>
  <si>
    <t xml:space="preserve">correctiefactor warmtebehoefte </t>
  </si>
  <si>
    <t>correctie = C1 * U,gem ^ C2</t>
  </si>
  <si>
    <t>formule</t>
  </si>
  <si>
    <t>C2</t>
  </si>
  <si>
    <t>netto warmtebehoefte warmtapwater</t>
  </si>
  <si>
    <t>netto warmtebehoefte warmtapwater per gebruiksfunctie</t>
  </si>
  <si>
    <t>spec. warmtebehoefte tapwater utiliteit</t>
  </si>
  <si>
    <t>bron: NTA8800, tabel 13.1</t>
  </si>
  <si>
    <t>specifiek niet gebouwgebonden elektriciteitsgebruik</t>
  </si>
  <si>
    <t>specifiek niet gebouwgebonden elektriciteitsgebruik utiliteitsgebouwen (NTA8800)</t>
  </si>
  <si>
    <t>specifiek elektriciteitsverbruik apparatuur (NTA8800, tabel 7.3)</t>
  </si>
  <si>
    <t>apparatuur - elektrisch niet gebouwgebonden (8760 uur)</t>
  </si>
  <si>
    <t>bron: NTA8800 tabel 7.3 (specifieke interne warmteproductie door apparatuur) - voor woningen wordt uitgegaan  van cijfers CBS (zie tabel 'huishoudelijk elektriciteitsgebruik woningen')</t>
  </si>
  <si>
    <t>koken</t>
  </si>
  <si>
    <r>
      <t xml:space="preserve">energiegebruik koken op gas/elektriciteit </t>
    </r>
    <r>
      <rPr>
        <sz val="10"/>
        <color theme="3"/>
        <rFont val="Calibri"/>
        <family val="2"/>
      </rPr>
      <t>alleen relevant voor woningen</t>
    </r>
  </si>
  <si>
    <t>koken op elektriciteit</t>
  </si>
  <si>
    <t>per woning</t>
  </si>
  <si>
    <t>kWh/won</t>
  </si>
  <si>
    <t>gemiddeld per m2</t>
  </si>
  <si>
    <t>koken op gas</t>
  </si>
  <si>
    <t>per woning in m3</t>
  </si>
  <si>
    <t>m3/won</t>
  </si>
  <si>
    <t>per woning energetisch in kWh</t>
  </si>
  <si>
    <t>bron: Correctie elektriciteitsverbruik koken", ECN-N-014-024, 29 september 2014</t>
  </si>
  <si>
    <t>huishoudelijk elektriciteitsgebruik woningen</t>
  </si>
  <si>
    <t>gemiddeld(e) elektriciteitsgebruik en gebruiksoppervlakte NL woningen</t>
  </si>
  <si>
    <t>Statline CBS 2020</t>
  </si>
  <si>
    <t>m2/won</t>
  </si>
  <si>
    <t>aandeel elektrisch koken</t>
  </si>
  <si>
    <t>elektriciteitsgebruik per m2 gebruiksoppervlakte</t>
  </si>
  <si>
    <t>aftrekpost: gebouwgebonden elektriciteitsgebruik</t>
  </si>
  <si>
    <t>W/E 2020</t>
  </si>
  <si>
    <t>aftrekpost: elektriciteitsgebruik koken gemiddeld in Nederland</t>
  </si>
  <si>
    <t>gemiddeld niet-gebouwgebonden</t>
  </si>
  <si>
    <r>
      <t xml:space="preserve">   optioneel: eigen waarde [</t>
    </r>
    <r>
      <rPr>
        <sz val="10"/>
        <color theme="9" tint="-0.24994659260841701"/>
        <rFont val="Calibri"/>
        <family val="2"/>
      </rPr>
      <t>≥</t>
    </r>
    <r>
      <rPr>
        <sz val="9"/>
        <color theme="9" tint="-0.24994659260841701"/>
        <rFont val="Calibri Light"/>
        <family val="2"/>
      </rPr>
      <t>0,00</t>
    </r>
    <r>
      <rPr>
        <sz val="10"/>
        <color theme="9" tint="-0.24994659260841701"/>
        <rFont val="Calibri Light"/>
        <family val="2"/>
      </rPr>
      <t>]</t>
    </r>
  </si>
  <si>
    <t>bronnen: Statline CBS en W/E adviseurs</t>
  </si>
  <si>
    <t>ondergrens QH;nd en QC;nd</t>
  </si>
  <si>
    <r>
      <t>ondergrens Q</t>
    </r>
    <r>
      <rPr>
        <b/>
        <vertAlign val="subscript"/>
        <sz val="16"/>
        <color theme="3"/>
        <rFont val="Calibri"/>
        <family val="2"/>
        <scheme val="minor"/>
      </rPr>
      <t>H;nd</t>
    </r>
    <r>
      <rPr>
        <b/>
        <sz val="16"/>
        <color theme="3"/>
        <rFont val="Calibri"/>
        <family val="2"/>
        <scheme val="minor"/>
      </rPr>
      <t xml:space="preserve"> en Q</t>
    </r>
    <r>
      <rPr>
        <b/>
        <vertAlign val="subscript"/>
        <sz val="16"/>
        <color theme="3"/>
        <rFont val="Calibri"/>
        <family val="2"/>
        <scheme val="minor"/>
      </rPr>
      <t>C;nd</t>
    </r>
  </si>
  <si>
    <t>ondergrens voor</t>
  </si>
  <si>
    <t>QH;nd</t>
  </si>
  <si>
    <t>QC;nd</t>
  </si>
  <si>
    <t>parameters verlichting</t>
  </si>
  <si>
    <r>
      <t>parameters verlichting Q</t>
    </r>
    <r>
      <rPr>
        <b/>
        <vertAlign val="subscript"/>
        <sz val="16"/>
        <color theme="3"/>
        <rFont val="Calibri"/>
        <family val="2"/>
        <scheme val="minor"/>
      </rPr>
      <t>L</t>
    </r>
  </si>
  <si>
    <t>parameters verlichting utiliteitsgebouwen (NTA8800)</t>
  </si>
  <si>
    <t>constante a</t>
  </si>
  <si>
    <t>constante b (*x)</t>
  </si>
  <si>
    <t>kh</t>
  </si>
  <si>
    <t>specifiek gïnstalleerd vermogen forfaitair</t>
  </si>
  <si>
    <t>op basis van analyse van NTA-berekeningen van gebouwen in de energielabeldatabase 2019/2020 (ruim 65.000 utiliteitsgebouwen) en Voorbeeldwoningen 2020.</t>
  </si>
  <si>
    <t>QL (kWh,finaal/m2) = constante a + constante b * geïnstalleerd vermogen (W/m2)</t>
  </si>
  <si>
    <t>de forfaitaire waarde voor het specifiek geïnstalleerd vermogen staat in tabel 14.3 van NTA8800:2019</t>
  </si>
  <si>
    <t>effect verlichtingsregeling</t>
  </si>
  <si>
    <t>effect verlichtingsregeling utiliteitsgebouwen (NTA8800)</t>
  </si>
  <si>
    <t>verlichtingsregeling</t>
  </si>
  <si>
    <t>geen, handmatig, onbekend</t>
  </si>
  <si>
    <t>handmatig + daglicht-regeling</t>
  </si>
  <si>
    <t>geen daglicht-regeling + regeling auto aan|uit</t>
  </si>
  <si>
    <t>auto aan|uit - daglicht: sensoren auto uit</t>
  </si>
  <si>
    <t>factor (x berekend finaal energiegebruik verlichting)</t>
  </si>
  <si>
    <t>op basis van analyse van NTA-berekeningen van gebouwen in de energielabaldatabase 2019/2020 (ruim 65.000 utiliteitsgebouwen)</t>
  </si>
  <si>
    <t>BENG-eisen 2021</t>
  </si>
  <si>
    <t>grenswaarden A,ls/A,g bij bepalen BENG 1</t>
  </si>
  <si>
    <t>&gt;&gt; grenswaarde 1: A,ls/A,g</t>
  </si>
  <si>
    <t>&gt;&gt; grenswaarde 2: A,ls/A,g</t>
  </si>
  <si>
    <t>BENG 1 als A,ls/A,g ≤ grenswaarde 1</t>
  </si>
  <si>
    <t>BENG 1</t>
  </si>
  <si>
    <t>als grenswaarde 1 &lt; A,ls/A,g ≤ grenswaarde 2:  BENG 1 = C1 + C2 * (A,ls/A,g - C3)</t>
  </si>
  <si>
    <t>C3</t>
  </si>
  <si>
    <t>als A,ls/A,g &gt; grenswaarde 2: BENG 1 = C4 + C5 * (A,ls/A,g - C6)</t>
  </si>
  <si>
    <t>C4</t>
  </si>
  <si>
    <t>C5</t>
  </si>
  <si>
    <t>C6</t>
  </si>
  <si>
    <t>BENG 2 - primair energiegebruik</t>
  </si>
  <si>
    <t>BENG 3 - % hernieuwbaar</t>
  </si>
  <si>
    <t>% hernieuwbaar</t>
  </si>
  <si>
    <t>informatie over BENG</t>
  </si>
  <si>
    <t>standaardwaarden 2021</t>
  </si>
  <si>
    <t>Standaardwaarden netto warmtebehoefte 2021</t>
  </si>
  <si>
    <t>bouwjaar</t>
  </si>
  <si>
    <t>jaar</t>
  </si>
  <si>
    <t>t/m 1945</t>
  </si>
  <si>
    <t>ná 1945</t>
  </si>
  <si>
    <t>basiswaarde</t>
  </si>
  <si>
    <t>netto warmtevraag (C1)</t>
  </si>
  <si>
    <t>toevoeging basiswaarde afhankelijk van vormfactor</t>
  </si>
  <si>
    <t>&gt;&gt; grenswaarde A,ls/A,g (verliesoppervlakte / gebruiksoppervlakte)</t>
  </si>
  <si>
    <t>&gt;&gt; extra netto warmtevaag boven grenswaarde A,ls/A,g (C2)</t>
  </si>
  <si>
    <t>standaardwaarde = C1 + C2 * (A,ls/Ag - 1)</t>
  </si>
  <si>
    <t>informatie over standaardwaarden</t>
  </si>
  <si>
    <t>energielabels</t>
  </si>
  <si>
    <t>naam gebruiksfunctie</t>
  </si>
  <si>
    <t>bovengrens primair energieverbruik per energielabel</t>
  </si>
  <si>
    <t>G</t>
  </si>
  <si>
    <t>F</t>
  </si>
  <si>
    <t>E</t>
  </si>
  <si>
    <t>A+</t>
  </si>
  <si>
    <t>A++</t>
  </si>
  <si>
    <t>A+++</t>
  </si>
  <si>
    <t>A++++</t>
  </si>
  <si>
    <t>A+++++</t>
  </si>
  <si>
    <t>De energielabelgrenzen zijn overgenomen uit de "Regeling energieprestatie gebouwen"</t>
  </si>
  <si>
    <t>verbrandingswaarde aardgas</t>
  </si>
  <si>
    <t>verbrandingswaarde aardgas (bovenwaarde)</t>
  </si>
  <si>
    <t>kWh/m3</t>
  </si>
  <si>
    <t>gebruikte namen</t>
  </si>
  <si>
    <t>eenheden finale energievraag gebouwniveau</t>
  </si>
  <si>
    <t>eenheid finale energievraag gebouwniveau</t>
  </si>
  <si>
    <t>geografische niveaus installaties</t>
  </si>
  <si>
    <t>geografisch niveau</t>
  </si>
  <si>
    <t>plaats installatie</t>
  </si>
  <si>
    <t>installatie binnen de energiemeter</t>
  </si>
  <si>
    <t>collectieve installatie binnen het project</t>
  </si>
  <si>
    <t>collectieve installatie buiten het project</t>
  </si>
  <si>
    <t>bestaand/nieuw</t>
  </si>
  <si>
    <t>bestaande bouw</t>
  </si>
  <si>
    <t>bestaand</t>
  </si>
  <si>
    <t>nieuwbouw</t>
  </si>
  <si>
    <t>nieuw</t>
  </si>
  <si>
    <t>overige namen</t>
  </si>
  <si>
    <t>laagbouw - hoogbouw / dichtheid</t>
  </si>
  <si>
    <t>laag</t>
  </si>
  <si>
    <t>hoog</t>
  </si>
  <si>
    <t>code</t>
  </si>
  <si>
    <t>de term "geen" voor als iets niet voorkomt</t>
  </si>
  <si>
    <t>waar - onwaar</t>
  </si>
  <si>
    <t>energieprestatie / werkelijk</t>
  </si>
  <si>
    <t>cf NTA8800</t>
  </si>
  <si>
    <t>gecorrigeerd</t>
  </si>
  <si>
    <t>toelichting bij 'energieprestatie / werkelijk'</t>
  </si>
  <si>
    <t>rekenregels cf. NTA8800</t>
  </si>
  <si>
    <t>rekenregels cf. NTA8800 incl correctiefactor</t>
  </si>
  <si>
    <t>Belangrijkste wijzigingen versie 5.0 t.o.v. 4.3</t>
  </si>
  <si>
    <t>opvulkleuren cellen zijn gewijzigd</t>
  </si>
  <si>
    <t>de kop van een tabel met gegevens per gebouwtype</t>
  </si>
  <si>
    <t>de kop van een tabel met gegevens per energiestroom (verwarming, koeling, verlichting, …)</t>
  </si>
  <si>
    <r>
      <t xml:space="preserve">cellen met </t>
    </r>
    <r>
      <rPr>
        <b/>
        <sz val="10"/>
        <color theme="0"/>
        <rFont val="Calibri Light"/>
        <family val="2"/>
      </rPr>
      <t>verplichte invoer</t>
    </r>
    <r>
      <rPr>
        <sz val="10"/>
        <color theme="0"/>
        <rFont val="Calibri Light"/>
        <family val="2"/>
      </rPr>
      <t xml:space="preserve"> die nog leeg zijn</t>
    </r>
  </si>
  <si>
    <r>
      <t xml:space="preserve">cellen met </t>
    </r>
    <r>
      <rPr>
        <b/>
        <sz val="10"/>
        <color theme="1"/>
        <rFont val="Calibri Light"/>
        <family val="2"/>
      </rPr>
      <t xml:space="preserve">optionele invoer </t>
    </r>
    <r>
      <rPr>
        <sz val="10"/>
        <color theme="1"/>
        <rFont val="Calibri Light"/>
        <family val="2"/>
      </rPr>
      <t>die nog leeg zijn</t>
    </r>
  </si>
  <si>
    <r>
      <rPr>
        <b/>
        <sz val="12"/>
        <color rgb="FF000000"/>
        <rFont val="Calibri"/>
        <family val="2"/>
        <scheme val="minor"/>
      </rPr>
      <t xml:space="preserve">Invoer locaties met woningen en utiliteitsgebouwen
</t>
    </r>
    <r>
      <rPr>
        <sz val="12"/>
        <color indexed="8"/>
        <rFont val="Calibri"/>
        <family val="2"/>
        <scheme val="minor"/>
      </rPr>
      <t>Er kunnen nog steeds vier locaties worden gedefinieerd, maar per locatie kunnen nu 9 in plaats van 8 gebouwtypen worden ingevoerd.
Een locatie kan nu zowel woningen als utiliteitsgebouwen bevatten.
Elke locatie en elk gebouwtype kan een eigen naam meekrijgen, voor betere herkenbaarheid.</t>
    </r>
  </si>
  <si>
    <t>variant x - invoer</t>
  </si>
  <si>
    <r>
      <rPr>
        <i/>
        <sz val="12"/>
        <color rgb="FF000000"/>
        <rFont val="Calibri"/>
        <family val="2"/>
        <scheme val="minor"/>
      </rPr>
      <t>koken</t>
    </r>
    <r>
      <rPr>
        <sz val="12"/>
        <color indexed="8"/>
        <rFont val="Calibri"/>
        <family val="2"/>
        <scheme val="minor"/>
      </rPr>
      <t xml:space="preserve">
Voor woningen bepaalt de energiedrager voor koken of er voor koken gasverbruik of elektriciteitsverbruik in rekening wordt gebracht.
</t>
    </r>
    <r>
      <rPr>
        <i/>
        <sz val="12"/>
        <color rgb="FF000000"/>
        <rFont val="Calibri"/>
        <family val="2"/>
        <scheme val="minor"/>
      </rPr>
      <t xml:space="preserve">overig, niet gebouwgebonden elektriciteitsgebruik
</t>
    </r>
    <r>
      <rPr>
        <sz val="12"/>
        <color indexed="8"/>
        <rFont val="Calibri"/>
        <family val="2"/>
        <scheme val="minor"/>
      </rPr>
      <t xml:space="preserve">Er kan een % reductie voor het berekende niet gebouwgebonden elektriciteitsgebruik worden ingevuld. Als er een berekening nodig is van alleen het gebouwgebonden energiegebruik kan hier de waarde 100% worden ingevuld.
</t>
    </r>
    <r>
      <rPr>
        <i/>
        <sz val="12"/>
        <color rgb="FF000000"/>
        <rFont val="Calibri"/>
        <family val="2"/>
        <scheme val="minor"/>
      </rPr>
      <t>mobiliteit</t>
    </r>
    <r>
      <rPr>
        <sz val="12"/>
        <color indexed="8"/>
        <rFont val="Calibri"/>
        <family val="2"/>
        <scheme val="minor"/>
      </rPr>
      <t xml:space="preserve">
Invoer van het elektriciteitsgebruik voor mobiliteit is ongewijzigd.
</t>
    </r>
    <r>
      <rPr>
        <i/>
        <sz val="12"/>
        <color rgb="FF000000"/>
        <rFont val="Calibri"/>
        <family val="2"/>
        <scheme val="minor"/>
      </rPr>
      <t>zonnecellen</t>
    </r>
    <r>
      <rPr>
        <sz val="12"/>
        <color indexed="8"/>
        <rFont val="Calibri"/>
        <family val="2"/>
        <scheme val="minor"/>
      </rPr>
      <t xml:space="preserve">
Invoer van de door zonnecellen geproduceerde elektriciteitsgebruik is ongewijzigd.</t>
    </r>
  </si>
  <si>
    <t>variant x - rekenresultaten</t>
  </si>
  <si>
    <r>
      <rPr>
        <i/>
        <sz val="12"/>
        <color rgb="FF000000"/>
        <rFont val="Calibri"/>
        <family val="2"/>
        <scheme val="minor"/>
      </rPr>
      <t xml:space="preserve">NTA 8800
</t>
    </r>
    <r>
      <rPr>
        <sz val="12"/>
        <color rgb="FF000000"/>
        <rFont val="Calibri"/>
        <family val="2"/>
        <scheme val="minor"/>
      </rPr>
      <t xml:space="preserve">Berekeningen volgen NTA 8800 in plaats van EPG. De EPC en de EI van de gebouwtypen worden daarom niet meer berekend.
</t>
    </r>
    <r>
      <rPr>
        <sz val="12"/>
        <color indexed="8"/>
        <rFont val="Calibri"/>
        <family val="2"/>
        <scheme val="minor"/>
      </rPr>
      <t xml:space="preserve">
</t>
    </r>
    <r>
      <rPr>
        <i/>
        <sz val="12"/>
        <color rgb="FF000000"/>
        <rFont val="Calibri"/>
        <family val="2"/>
        <scheme val="minor"/>
      </rPr>
      <t>PEF</t>
    </r>
    <r>
      <rPr>
        <sz val="12"/>
        <color indexed="8"/>
        <rFont val="Calibri"/>
        <family val="2"/>
        <scheme val="minor"/>
      </rPr>
      <t xml:space="preserve">
Van 'centrale' installaties die warmte aan de locatie leveren wordt nu de PEF uitgerekend in plaats van de EOR.
</t>
    </r>
    <r>
      <rPr>
        <i/>
        <sz val="12"/>
        <color rgb="FF000000"/>
        <rFont val="Calibri"/>
        <family val="2"/>
        <scheme val="minor"/>
      </rPr>
      <t>energieprestaties</t>
    </r>
    <r>
      <rPr>
        <sz val="12"/>
        <color indexed="8"/>
        <rFont val="Calibri"/>
        <family val="2"/>
        <scheme val="minor"/>
      </rPr>
      <t xml:space="preserve">
De volgende energieprestaties worden berekend (de overige als de EPC zijn komen te vervallen):
- energiebehoefte indicator (inclusief een toetsing aan BENG 1 voor nieuwbouw);
- primaire fossiele energie indicator (inclusief een toetsing aan BENG 2 voor nieuwbouw);
- aandeel hernieuwbare energie (inclusief een toetsing aan BENG 3 voor nieuwbouw);
- het energielabel.</t>
    </r>
  </si>
  <si>
    <t>In de bibliotheek zijn overbodig geworden tabellen, bijvoorbeeld gerelateerd aan kenmerken die te maken hebben met het berekenen van de EPC, verwijderd.
Tabellen zijn waar nodig geactualiseerd, bijvoorbeeld als het gaat over het gemiddelde elektriciteitsgebruik per huishouden in Nederland.
Nieuwe tabellen zijn toegevoegd onder andere met aanvullende gegevens van woningen|utiliteitsgebouwen, gegevens over isolatiepakketten, relevante getallen mbt tot het berekenen van de energiebehoefte van de verschillende energieposten en gegevens nodig voor het berekenen van de nieuwe energieprestaties en voor het toesten daarvan aan nieuwbouw-eisen (BENG).</t>
  </si>
  <si>
    <t>Indicatie warmtebehoefte afhankelijk van vormfactor en isolatiegraad</t>
  </si>
  <si>
    <t>Indicatie warmtebehoefte afhankelijk van vormfactor en ventilatiesysteem</t>
  </si>
  <si>
    <t>Indicatie koudebehoefte in kWh/m2 afhankelijk van vormfactor en isolatiegraad</t>
  </si>
  <si>
    <t>Indicatie koudebehoefte in kWh/m2 afhankelijk van vormfactor en ventilatiesysteem</t>
  </si>
  <si>
    <t>bouwjaarklasse</t>
  </si>
  <si>
    <t>BENG</t>
  </si>
  <si>
    <t>pakket</t>
  </si>
  <si>
    <t>m2 GBO</t>
  </si>
  <si>
    <r>
      <t xml:space="preserve">m2 raam per m2 GBO </t>
    </r>
    <r>
      <rPr>
        <i/>
        <sz val="10"/>
        <color rgb="FF000000"/>
        <rFont val="Calibri"/>
        <family val="2"/>
      </rPr>
      <t>m2/m2</t>
    </r>
  </si>
  <si>
    <t>vormfactor</t>
  </si>
  <si>
    <r>
      <t>indicatie gemiddelde warmtedoorgangscoëfficiënt per bouwjaarklasse</t>
    </r>
    <r>
      <rPr>
        <sz val="10"/>
        <color theme="3"/>
        <rFont val="Calibri"/>
        <family val="2"/>
      </rPr>
      <t xml:space="preserve"> W/m2K</t>
    </r>
  </si>
  <si>
    <r>
      <t xml:space="preserve">indicatie gemiddelde warmtedoorgangscoëfficiënt van bouwjaarklasse </t>
    </r>
    <r>
      <rPr>
        <sz val="10"/>
        <color theme="3"/>
        <rFont val="Calibri"/>
        <family val="2"/>
      </rPr>
      <t>W/m2K</t>
    </r>
  </si>
  <si>
    <t>isolatiegraad uitgedrukt in de gemiddelde warmtedoorgamgscoëfficiënt in W/m2K</t>
  </si>
  <si>
    <t>ventilatiesysteem</t>
  </si>
  <si>
    <t>2013-2019</t>
  </si>
  <si>
    <t>passief</t>
  </si>
  <si>
    <t>(Averlies/Ag)</t>
  </si>
  <si>
    <r>
      <t xml:space="preserve">indicatie warmtebehoefte </t>
    </r>
    <r>
      <rPr>
        <sz val="10"/>
        <color theme="3"/>
        <rFont val="Calibri"/>
        <family val="2"/>
      </rPr>
      <t>kWh/m2</t>
    </r>
  </si>
  <si>
    <r>
      <t xml:space="preserve">indicatie koudebehoefte </t>
    </r>
    <r>
      <rPr>
        <sz val="10"/>
        <color theme="3"/>
        <rFont val="Calibri"/>
        <family val="2"/>
      </rPr>
      <t>kWh/m2</t>
    </r>
  </si>
  <si>
    <t>Wijzigingen 5.03 t.o.v. 5.02</t>
  </si>
  <si>
    <t>Diverse bugfixes.</t>
  </si>
  <si>
    <t>aquathermie</t>
  </si>
  <si>
    <t>BRON?</t>
  </si>
  <si>
    <t>ind HR107</t>
  </si>
  <si>
    <t>bijbehorende energielabel</t>
  </si>
  <si>
    <t>fofaitair isolatiepakket gebouwschil</t>
  </si>
  <si>
    <t>2006-2014</t>
  </si>
  <si>
    <t>G10 kantoor S</t>
  </si>
  <si>
    <t>G14 winkel M</t>
  </si>
  <si>
    <t>G16 sport S</t>
  </si>
  <si>
    <t>G17 sport M</t>
  </si>
  <si>
    <t>G18 sport L</t>
  </si>
  <si>
    <t>G12 kantoor XL</t>
  </si>
  <si>
    <t>G15 winkel XL</t>
  </si>
  <si>
    <t>G13 winkel XS</t>
  </si>
  <si>
    <t>G19 school M</t>
  </si>
  <si>
    <t>G20 school L</t>
  </si>
  <si>
    <t>G21 school XL</t>
  </si>
  <si>
    <t>G22 bijeen XS</t>
  </si>
  <si>
    <t>G23 bijeen M</t>
  </si>
  <si>
    <t>G24 bijeen L</t>
  </si>
  <si>
    <t>G25 KDV S</t>
  </si>
  <si>
    <t>G26 KDV M</t>
  </si>
  <si>
    <t>G27 zorg S</t>
  </si>
  <si>
    <t>G28 zorg L</t>
  </si>
  <si>
    <t>G29 zorg XL</t>
  </si>
  <si>
    <t>G31 zorg bed L</t>
  </si>
  <si>
    <t>G33 cel L</t>
  </si>
  <si>
    <t>G34 cel XL</t>
  </si>
  <si>
    <t>G35 cel XXL</t>
  </si>
  <si>
    <t>G36 logies M</t>
  </si>
  <si>
    <t>G37 logies L</t>
  </si>
  <si>
    <t>G38 logies XL</t>
  </si>
  <si>
    <t>G39 logies XS</t>
  </si>
  <si>
    <t>G11 kantoor L</t>
  </si>
  <si>
    <t>G30 zorg bed S</t>
  </si>
  <si>
    <t>G32 zorg bed XXL</t>
  </si>
  <si>
    <t xml:space="preserve">   optioneel: eigen waarde [keuzelijst]</t>
  </si>
  <si>
    <t>2015-2023</t>
  </si>
  <si>
    <t>2040*</t>
  </si>
  <si>
    <t xml:space="preserve">correctiefactor warmtebehoefte ruimteverwarming </t>
  </si>
  <si>
    <t>hybride (warmtepomp+ketel)</t>
  </si>
  <si>
    <t>www.installatiemonitor.nl</t>
  </si>
  <si>
    <t>Wijzigingen 5.04 t.o.v. 5.03</t>
  </si>
  <si>
    <t>Toegegevoegd</t>
  </si>
  <si>
    <t>Renovatiestandaard voor utiliteitsgebouwen</t>
  </si>
  <si>
    <t>Voorbeeldwoningen Bestaande Bouw 2022</t>
  </si>
  <si>
    <t>standaard won</t>
  </si>
  <si>
    <t>streefw. won</t>
  </si>
  <si>
    <t>vrij 06-14</t>
  </si>
  <si>
    <t>vrij 15-18</t>
  </si>
  <si>
    <t>2/1 kap 06-14</t>
  </si>
  <si>
    <t>2/1 kap 15-18</t>
  </si>
  <si>
    <t>maison 06-14</t>
  </si>
  <si>
    <t>maison 15-18</t>
  </si>
  <si>
    <t>galerij 06-14</t>
  </si>
  <si>
    <t>galerij 15-18</t>
  </si>
  <si>
    <t>portiek 06-14</t>
  </si>
  <si>
    <t>portiek 15-18</t>
  </si>
  <si>
    <t>overig 06-14</t>
  </si>
  <si>
    <t>overig 15-18</t>
  </si>
  <si>
    <t>vrij 65-74</t>
  </si>
  <si>
    <t>vrij 75-91</t>
  </si>
  <si>
    <t>vrij 92-05</t>
  </si>
  <si>
    <t>2/1 kap 65-74</t>
  </si>
  <si>
    <t>2/1 kap 75-91</t>
  </si>
  <si>
    <t>2/1 kap 92-05</t>
  </si>
  <si>
    <t>maison 65-74</t>
  </si>
  <si>
    <t>maison 75-91</t>
  </si>
  <si>
    <t>maison 92-05</t>
  </si>
  <si>
    <t>galerij 65-74</t>
  </si>
  <si>
    <t>galerij 75-91</t>
  </si>
  <si>
    <t>galerij 92-05</t>
  </si>
  <si>
    <t>portiek 46-64</t>
  </si>
  <si>
    <t>portiek 65-74</t>
  </si>
  <si>
    <t>portiek 75-91</t>
  </si>
  <si>
    <t>portiek 92-05</t>
  </si>
  <si>
    <t>overig 65-74</t>
  </si>
  <si>
    <t>overig 75-91</t>
  </si>
  <si>
    <t>overig 92-05</t>
  </si>
  <si>
    <t>tussen 15-18</t>
  </si>
  <si>
    <t>tussen 06-14</t>
  </si>
  <si>
    <t>tussen 92-05</t>
  </si>
  <si>
    <t>tussen 75-91</t>
  </si>
  <si>
    <t>tussen 65-74</t>
  </si>
  <si>
    <t>tussen 46-64</t>
  </si>
  <si>
    <t>hoek 46-64</t>
  </si>
  <si>
    <t>hoek 65-74</t>
  </si>
  <si>
    <t>hoek 75-91</t>
  </si>
  <si>
    <t>hoek 92-05</t>
  </si>
  <si>
    <t>hoek 06-14</t>
  </si>
  <si>
    <t>hoek 15-18</t>
  </si>
  <si>
    <t>hoek &lt;46</t>
  </si>
  <si>
    <t>tussen &lt;46</t>
  </si>
  <si>
    <t>portiek &lt;46</t>
  </si>
  <si>
    <t>vrij &lt;65</t>
  </si>
  <si>
    <t>2/1 kap &lt;65</t>
  </si>
  <si>
    <t>maison &lt;65</t>
  </si>
  <si>
    <t>galerij &lt;65</t>
  </si>
  <si>
    <t>overig &lt;65</t>
  </si>
  <si>
    <t>Hybride installatie (gasketel + warmtepomp)</t>
  </si>
  <si>
    <t>Voorbeeldgebouwen utiliteit</t>
  </si>
  <si>
    <t>energielabel voor renovatiestandaard utiliteit</t>
  </si>
  <si>
    <t>informatie over renovatiestandaard</t>
  </si>
  <si>
    <t>renovatiestandaard utiliteit</t>
  </si>
  <si>
    <t>Update kentallen elektriciteitsnet cf KEV '22</t>
  </si>
  <si>
    <t>Voorbeeld</t>
  </si>
  <si>
    <t>0,50</t>
  </si>
  <si>
    <t>0,42</t>
  </si>
  <si>
    <t>0,57</t>
  </si>
  <si>
    <t>0,09</t>
  </si>
  <si>
    <t>0,1</t>
  </si>
  <si>
    <t>parameters</t>
  </si>
  <si>
    <t>warmtecapaciteit</t>
  </si>
  <si>
    <t>bijeenkomst</t>
  </si>
  <si>
    <t>cel</t>
  </si>
  <si>
    <t>kinderopvang</t>
  </si>
  <si>
    <t>zorg met bed</t>
  </si>
  <si>
    <t>zorg overig</t>
  </si>
  <si>
    <t>A1</t>
  </si>
  <si>
    <t>A2a</t>
  </si>
  <si>
    <t>C3b</t>
  </si>
  <si>
    <t>C3c</t>
  </si>
  <si>
    <t>D2</t>
  </si>
  <si>
    <t>D5</t>
  </si>
  <si>
    <t>zoektekst</t>
  </si>
  <si>
    <t>bijeenkomstA1450E;we;H+C;nd;ventsys=C1</t>
  </si>
  <si>
    <t>bijeenkomstA2a450E;we;H+C;nd;ventsys=C1</t>
  </si>
  <si>
    <t>bijeenkomstC1450E;we;H+C;nd;ventsys=C1</t>
  </si>
  <si>
    <t>bijeenkomstC3b450E;we;H+C;nd;ventsys=C1</t>
  </si>
  <si>
    <t>bijeenkomstC3c450E;we;H+C;nd;ventsys=C1</t>
  </si>
  <si>
    <t>bijeenkomstD1450E;we;H+C;nd;ventsys=C1</t>
  </si>
  <si>
    <t>bijeenkomstD2450E;we;H+C;nd;ventsys=C1</t>
  </si>
  <si>
    <t>bijeenkomstD5450E;we;H+C;nd;ventsys=C1</t>
  </si>
  <si>
    <t>celA1450E;we;H+C;nd;ventsys=C1</t>
  </si>
  <si>
    <t>celA2a450E;we;H+C;nd;ventsys=C1</t>
  </si>
  <si>
    <t>celC1450E;we;H+C;nd;ventsys=C1</t>
  </si>
  <si>
    <t>celC3b450E;we;H+C;nd;ventsys=C1</t>
  </si>
  <si>
    <t>celC3c450E;we;H+C;nd;ventsys=C1</t>
  </si>
  <si>
    <t>celD1450E;we;H+C;nd;ventsys=C1</t>
  </si>
  <si>
    <t>celD2450E;we;H+C;nd;ventsys=C1</t>
  </si>
  <si>
    <t>celD5450E;we;H+C;nd;ventsys=C1</t>
  </si>
  <si>
    <t>kantoorA1450E;we;H+C;nd;ventsys=C1</t>
  </si>
  <si>
    <t>kantoorA2a450E;we;H+C;nd;ventsys=C1</t>
  </si>
  <si>
    <t>kantoorC1450E;we;H+C;nd;ventsys=C1</t>
  </si>
  <si>
    <t>kantoorC3b450E;we;H+C;nd;ventsys=C1</t>
  </si>
  <si>
    <t>kantoorC3c450E;we;H+C;nd;ventsys=C1</t>
  </si>
  <si>
    <t>kantoorD1450E;we;H+C;nd;ventsys=C1</t>
  </si>
  <si>
    <t>kantoorD2450E;we;H+C;nd;ventsys=C1</t>
  </si>
  <si>
    <t>kantoorD5450E;we;H+C;nd;ventsys=C1</t>
  </si>
  <si>
    <t>kinderopvangA1450E;we;H+C;nd;ventsys=C1</t>
  </si>
  <si>
    <t>kinderopvangA2a450E;we;H+C;nd;ventsys=C1</t>
  </si>
  <si>
    <t>kinderopvangC1450E;we;H+C;nd;ventsys=C1</t>
  </si>
  <si>
    <t>kinderopvangC3b450E;we;H+C;nd;ventsys=C1</t>
  </si>
  <si>
    <t>kinderopvangC3c450E;we;H+C;nd;ventsys=C1</t>
  </si>
  <si>
    <t>kinderopvangD1450E;we;H+C;nd;ventsys=C1</t>
  </si>
  <si>
    <t>kinderopvangD2450E;we;H+C;nd;ventsys=C1</t>
  </si>
  <si>
    <t>kinderopvangD5450E;we;H+C;nd;ventsys=C1</t>
  </si>
  <si>
    <t>logiesA1450E;we;H+C;nd;ventsys=C1</t>
  </si>
  <si>
    <t>logiesA2a450E;we;H+C;nd;ventsys=C1</t>
  </si>
  <si>
    <t>logiesC1450E;we;H+C;nd;ventsys=C1</t>
  </si>
  <si>
    <t>logiesC3b450E;we;H+C;nd;ventsys=C1</t>
  </si>
  <si>
    <t>logiesC3c450E;we;H+C;nd;ventsys=C1</t>
  </si>
  <si>
    <t>logiesD1450E;we;H+C;nd;ventsys=C1</t>
  </si>
  <si>
    <t>logiesD2450E;we;H+C;nd;ventsys=C1</t>
  </si>
  <si>
    <t>logiesD5450E;we;H+C;nd;ventsys=C1</t>
  </si>
  <si>
    <t>onderwijsA1450E;we;H+C;nd;ventsys=C1</t>
  </si>
  <si>
    <t>onderwijsA2a450E;we;H+C;nd;ventsys=C1</t>
  </si>
  <si>
    <t>onderwijsC1450E;we;H+C;nd;ventsys=C1</t>
  </si>
  <si>
    <t>onderwijsC3b450E;we;H+C;nd;ventsys=C1</t>
  </si>
  <si>
    <t>onderwijsC3c450E;we;H+C;nd;ventsys=C1</t>
  </si>
  <si>
    <t>onderwijsD1450E;we;H+C;nd;ventsys=C1</t>
  </si>
  <si>
    <t>onderwijsD2450E;we;H+C;nd;ventsys=C1</t>
  </si>
  <si>
    <t>onderwijsD5450E;we;H+C;nd;ventsys=C1</t>
  </si>
  <si>
    <t>sportA1450E;we;H+C;nd;ventsys=C1</t>
  </si>
  <si>
    <t>sportA2a450E;we;H+C;nd;ventsys=C1</t>
  </si>
  <si>
    <t>sportC1450E;we;H+C;nd;ventsys=C1</t>
  </si>
  <si>
    <t>sportC3b450E;we;H+C;nd;ventsys=C1</t>
  </si>
  <si>
    <t>sportC3c450E;we;H+C;nd;ventsys=C1</t>
  </si>
  <si>
    <t>sportD1450E;we;H+C;nd;ventsys=C1</t>
  </si>
  <si>
    <t>sportD2450E;we;H+C;nd;ventsys=C1</t>
  </si>
  <si>
    <t>sportD5450E;we;H+C;nd;ventsys=C1</t>
  </si>
  <si>
    <t>winkelA1450E;we;H+C;nd;ventsys=C1</t>
  </si>
  <si>
    <t>winkelA2a450E;we;H+C;nd;ventsys=C1</t>
  </si>
  <si>
    <t>winkelC1450E;we;H+C;nd;ventsys=C1</t>
  </si>
  <si>
    <t>winkelC3b450E;we;H+C;nd;ventsys=C1</t>
  </si>
  <si>
    <t>winkelC3c450E;we;H+C;nd;ventsys=C1</t>
  </si>
  <si>
    <t>winkelD1450E;we;H+C;nd;ventsys=C1</t>
  </si>
  <si>
    <t>winkelD2450E;we;H+C;nd;ventsys=C1</t>
  </si>
  <si>
    <t>winkelD5450E;we;H+C;nd;ventsys=C1</t>
  </si>
  <si>
    <t>woningA1450E;we;H+C;nd;ventsys=C1</t>
  </si>
  <si>
    <t>woningA2a450E;we;H+C;nd;ventsys=C1</t>
  </si>
  <si>
    <t>woningC1450E;we;H+C;nd;ventsys=C1</t>
  </si>
  <si>
    <t>woningC3b450E;we;H+C;nd;ventsys=C1</t>
  </si>
  <si>
    <t>woningC3c450E;we;H+C;nd;ventsys=C1</t>
  </si>
  <si>
    <t>woningD1450E;we;H+C;nd;ventsys=C1</t>
  </si>
  <si>
    <t>woningD2450E;we;H+C;nd;ventsys=C1</t>
  </si>
  <si>
    <t>woningD5450E;we;H+C;nd;ventsys=C1</t>
  </si>
  <si>
    <t>zorg met bedA1450E;we;H+C;nd;ventsys=C1</t>
  </si>
  <si>
    <t>zorg met bedA2a450E;we;H+C;nd;ventsys=C1</t>
  </si>
  <si>
    <t>zorg met bedC1450E;we;H+C;nd;ventsys=C1</t>
  </si>
  <si>
    <t>zorg met bedC3b450E;we;H+C;nd;ventsys=C1</t>
  </si>
  <si>
    <t>zorg met bedC3c450E;we;H+C;nd;ventsys=C1</t>
  </si>
  <si>
    <t>zorg met bedD1450E;we;H+C;nd;ventsys=C1</t>
  </si>
  <si>
    <t>zorg met bedD2450E;we;H+C;nd;ventsys=C1</t>
  </si>
  <si>
    <t>zorg met bedD5450E;we;H+C;nd;ventsys=C1</t>
  </si>
  <si>
    <t>zorg overigA1450E;we;H+C;nd;ventsys=C1</t>
  </si>
  <si>
    <t>zorg overigA2a450E;we;H+C;nd;ventsys=C1</t>
  </si>
  <si>
    <t>zorg overigC1450E;we;H+C;nd;ventsys=C1</t>
  </si>
  <si>
    <t>zorg overigC3b450E;we;H+C;nd;ventsys=C1</t>
  </si>
  <si>
    <t>zorg overigC3c450E;we;H+C;nd;ventsys=C1</t>
  </si>
  <si>
    <t>zorg overigD1450E;we;H+C;nd;ventsys=C1</t>
  </si>
  <si>
    <t>zorg overigD2450E;we;H+C;nd;ventsys=C1</t>
  </si>
  <si>
    <t>zorg overigD5450E;we;H+C;nd;ventsys=C1</t>
  </si>
  <si>
    <t>bijeenkomstA1450Q;H;nd</t>
  </si>
  <si>
    <t>bijeenkomstA2a450Q;H;nd</t>
  </si>
  <si>
    <t>bijeenkomstC1450Q;H;nd</t>
  </si>
  <si>
    <t>bijeenkomstC3b450Q;H;nd</t>
  </si>
  <si>
    <t>bijeenkomstC3c450Q;H;nd</t>
  </si>
  <si>
    <t>bijeenkomstD1450Q;H;nd</t>
  </si>
  <si>
    <t>bijeenkomstD2450Q;H;nd</t>
  </si>
  <si>
    <t>bijeenkomstD5450Q;H;nd</t>
  </si>
  <si>
    <t>celA1450Q;H;nd</t>
  </si>
  <si>
    <t>celA2a450Q;H;nd</t>
  </si>
  <si>
    <t>celC1450Q;H;nd</t>
  </si>
  <si>
    <t>celC3b450Q;H;nd</t>
  </si>
  <si>
    <t>celC3c450Q;H;nd</t>
  </si>
  <si>
    <t>celD1450Q;H;nd</t>
  </si>
  <si>
    <t>celD2450Q;H;nd</t>
  </si>
  <si>
    <t>celD5450Q;H;nd</t>
  </si>
  <si>
    <t>kantoorA1450Q;H;nd</t>
  </si>
  <si>
    <t>kantoorA2a450Q;H;nd</t>
  </si>
  <si>
    <t>kantoorC1450Q;H;nd</t>
  </si>
  <si>
    <t>kantoorC3b450Q;H;nd</t>
  </si>
  <si>
    <t>kantoorC3c450Q;H;nd</t>
  </si>
  <si>
    <t>kantoorD1450Q;H;nd</t>
  </si>
  <si>
    <t>kantoorD2450Q;H;nd</t>
  </si>
  <si>
    <t>kantoorD5450Q;H;nd</t>
  </si>
  <si>
    <t>kinderopvangA1450Q;H;nd</t>
  </si>
  <si>
    <t>kinderopvangA2a450Q;H;nd</t>
  </si>
  <si>
    <t>kinderopvangC1450Q;H;nd</t>
  </si>
  <si>
    <t>kinderopvangC3b450Q;H;nd</t>
  </si>
  <si>
    <t>kinderopvangC3c450Q;H;nd</t>
  </si>
  <si>
    <t>kinderopvangD1450Q;H;nd</t>
  </si>
  <si>
    <t>kinderopvangD2450Q;H;nd</t>
  </si>
  <si>
    <t>kinderopvangD5450Q;H;nd</t>
  </si>
  <si>
    <t>logiesA1450Q;H;nd</t>
  </si>
  <si>
    <t>logiesA2a450Q;H;nd</t>
  </si>
  <si>
    <t>logiesC1450Q;H;nd</t>
  </si>
  <si>
    <t>logiesC3b450Q;H;nd</t>
  </si>
  <si>
    <t>logiesC3c450Q;H;nd</t>
  </si>
  <si>
    <t>logiesD1450Q;H;nd</t>
  </si>
  <si>
    <t>logiesD2450Q;H;nd</t>
  </si>
  <si>
    <t>logiesD5450Q;H;nd</t>
  </si>
  <si>
    <t>onderwijsA1450Q;H;nd</t>
  </si>
  <si>
    <t>onderwijsA2a450Q;H;nd</t>
  </si>
  <si>
    <t>onderwijsC1450Q;H;nd</t>
  </si>
  <si>
    <t>onderwijsC3b450Q;H;nd</t>
  </si>
  <si>
    <t>onderwijsC3c450Q;H;nd</t>
  </si>
  <si>
    <t>onderwijsD1450Q;H;nd</t>
  </si>
  <si>
    <t>onderwijsD2450Q;H;nd</t>
  </si>
  <si>
    <t>onderwijsD5450Q;H;nd</t>
  </si>
  <si>
    <t>sportA1450Q;H;nd</t>
  </si>
  <si>
    <t>sportA2a450Q;H;nd</t>
  </si>
  <si>
    <t>sportC1450Q;H;nd</t>
  </si>
  <si>
    <t>sportC3b450Q;H;nd</t>
  </si>
  <si>
    <t>sportC3c450Q;H;nd</t>
  </si>
  <si>
    <t>sportD1450Q;H;nd</t>
  </si>
  <si>
    <t>sportD2450Q;H;nd</t>
  </si>
  <si>
    <t>sportD5450Q;H;nd</t>
  </si>
  <si>
    <t>winkelA1450Q;H;nd</t>
  </si>
  <si>
    <t>winkelA2a450Q;H;nd</t>
  </si>
  <si>
    <t>winkelC1450Q;H;nd</t>
  </si>
  <si>
    <t>winkelC3b450Q;H;nd</t>
  </si>
  <si>
    <t>winkelC3c450Q;H;nd</t>
  </si>
  <si>
    <t>winkelD1450Q;H;nd</t>
  </si>
  <si>
    <t>winkelD2450Q;H;nd</t>
  </si>
  <si>
    <t>winkelD5450Q;H;nd</t>
  </si>
  <si>
    <t>woningA1450Q;H;nd</t>
  </si>
  <si>
    <t>woningA2a450Q;H;nd</t>
  </si>
  <si>
    <t>woningC1450Q;H;nd</t>
  </si>
  <si>
    <t>woningC3b450Q;H;nd</t>
  </si>
  <si>
    <t>woningC3c450Q;H;nd</t>
  </si>
  <si>
    <t>woningD1450Q;H;nd</t>
  </si>
  <si>
    <t>woningD2450Q;H;nd</t>
  </si>
  <si>
    <t>woningD5450Q;H;nd</t>
  </si>
  <si>
    <t>zorg met bedA1450Q;H;nd</t>
  </si>
  <si>
    <t>zorg met bedA2a450Q;H;nd</t>
  </si>
  <si>
    <t>zorg met bedC1450Q;H;nd</t>
  </si>
  <si>
    <t>zorg met bedC3b450Q;H;nd</t>
  </si>
  <si>
    <t>zorg met bedC3c450Q;H;nd</t>
  </si>
  <si>
    <t>zorg met bedD1450Q;H;nd</t>
  </si>
  <si>
    <t>zorg met bedD2450Q;H;nd</t>
  </si>
  <si>
    <t>zorg met bedD5450Q;H;nd</t>
  </si>
  <si>
    <t>zorg overigA1450Q;H;nd</t>
  </si>
  <si>
    <t>zorg overigA2a450Q;H;nd</t>
  </si>
  <si>
    <t>zorg overigC1450Q;H;nd</t>
  </si>
  <si>
    <t>zorg overigC3b450Q;H;nd</t>
  </si>
  <si>
    <t>zorg overigC3c450Q;H;nd</t>
  </si>
  <si>
    <t>zorg overigD1450Q;H;nd</t>
  </si>
  <si>
    <t>zorg overigD2450Q;H;nd</t>
  </si>
  <si>
    <t>zorg overigD5450Q;H;nd</t>
  </si>
  <si>
    <t>bijeenkomstA1450Q;H;nd zonder QH en C;ls;rbl</t>
  </si>
  <si>
    <t>bijeenkomstA2a450Q;H;nd zonder QH en C;ls;rbl</t>
  </si>
  <si>
    <t>bijeenkomstC1450Q;H;nd zonder QH en C;ls;rbl</t>
  </si>
  <si>
    <t>bijeenkomstC3b450Q;H;nd zonder QH en C;ls;rbl</t>
  </si>
  <si>
    <t>bijeenkomstC3c450Q;H;nd zonder QH en C;ls;rbl</t>
  </si>
  <si>
    <t>bijeenkomstD1450Q;H;nd zonder QH en C;ls;rbl</t>
  </si>
  <si>
    <t>bijeenkomstD2450Q;H;nd zonder QH en C;ls;rbl</t>
  </si>
  <si>
    <t>bijeenkomstD5450Q;H;nd zonder QH en C;ls;rbl</t>
  </si>
  <si>
    <t>celA1450Q;H;nd zonder QH en C;ls;rbl</t>
  </si>
  <si>
    <t>celA2a450Q;H;nd zonder QH en C;ls;rbl</t>
  </si>
  <si>
    <t>celC1450Q;H;nd zonder QH en C;ls;rbl</t>
  </si>
  <si>
    <t>celC3b450Q;H;nd zonder QH en C;ls;rbl</t>
  </si>
  <si>
    <t>celC3c450Q;H;nd zonder QH en C;ls;rbl</t>
  </si>
  <si>
    <t>celD1450Q;H;nd zonder QH en C;ls;rbl</t>
  </si>
  <si>
    <t>celD2450Q;H;nd zonder QH en C;ls;rbl</t>
  </si>
  <si>
    <t>celD5450Q;H;nd zonder QH en C;ls;rbl</t>
  </si>
  <si>
    <t>kantoorA1450Q;H;nd zonder QH en C;ls;rbl</t>
  </si>
  <si>
    <t>kantoorA2a450Q;H;nd zonder QH en C;ls;rbl</t>
  </si>
  <si>
    <t>kantoorC1450Q;H;nd zonder QH en C;ls;rbl</t>
  </si>
  <si>
    <t>kantoorC3b450Q;H;nd zonder QH en C;ls;rbl</t>
  </si>
  <si>
    <t>kantoorC3c450Q;H;nd zonder QH en C;ls;rbl</t>
  </si>
  <si>
    <t>kantoorD1450Q;H;nd zonder QH en C;ls;rbl</t>
  </si>
  <si>
    <t>kantoorD2450Q;H;nd zonder QH en C;ls;rbl</t>
  </si>
  <si>
    <t>kantoorD5450Q;H;nd zonder QH en C;ls;rbl</t>
  </si>
  <si>
    <t>kinderopvangA1450Q;H;nd zonder QH en C;ls;rbl</t>
  </si>
  <si>
    <t>kinderopvangA2a450Q;H;nd zonder QH en C;ls;rbl</t>
  </si>
  <si>
    <t>kinderopvangC1450Q;H;nd zonder QH en C;ls;rbl</t>
  </si>
  <si>
    <t>kinderopvangC3b450Q;H;nd zonder QH en C;ls;rbl</t>
  </si>
  <si>
    <t>kinderopvangC3c450Q;H;nd zonder QH en C;ls;rbl</t>
  </si>
  <si>
    <t>kinderopvangD1450Q;H;nd zonder QH en C;ls;rbl</t>
  </si>
  <si>
    <t>kinderopvangD2450Q;H;nd zonder QH en C;ls;rbl</t>
  </si>
  <si>
    <t>kinderopvangD5450Q;H;nd zonder QH en C;ls;rbl</t>
  </si>
  <si>
    <t>logiesA1450Q;H;nd zonder QH en C;ls;rbl</t>
  </si>
  <si>
    <t>logiesA2a450Q;H;nd zonder QH en C;ls;rbl</t>
  </si>
  <si>
    <t>logiesC1450Q;H;nd zonder QH en C;ls;rbl</t>
  </si>
  <si>
    <t>logiesC3b450Q;H;nd zonder QH en C;ls;rbl</t>
  </si>
  <si>
    <t>logiesC3c450Q;H;nd zonder QH en C;ls;rbl</t>
  </si>
  <si>
    <t>logiesD1450Q;H;nd zonder QH en C;ls;rbl</t>
  </si>
  <si>
    <t>logiesD2450Q;H;nd zonder QH en C;ls;rbl</t>
  </si>
  <si>
    <t>logiesD5450Q;H;nd zonder QH en C;ls;rbl</t>
  </si>
  <si>
    <t>onderwijsA1450Q;H;nd zonder QH en C;ls;rbl</t>
  </si>
  <si>
    <t>onderwijsA2a450Q;H;nd zonder QH en C;ls;rbl</t>
  </si>
  <si>
    <t>onderwijsC1450Q;H;nd zonder QH en C;ls;rbl</t>
  </si>
  <si>
    <t>onderwijsC3b450Q;H;nd zonder QH en C;ls;rbl</t>
  </si>
  <si>
    <t>onderwijsC3c450Q;H;nd zonder QH en C;ls;rbl</t>
  </si>
  <si>
    <t>onderwijsD1450Q;H;nd zonder QH en C;ls;rbl</t>
  </si>
  <si>
    <t>onderwijsD2450Q;H;nd zonder QH en C;ls;rbl</t>
  </si>
  <si>
    <t>onderwijsD5450Q;H;nd zonder QH en C;ls;rbl</t>
  </si>
  <si>
    <t>sportA1450Q;H;nd zonder QH en C;ls;rbl</t>
  </si>
  <si>
    <t>sportA2a450Q;H;nd zonder QH en C;ls;rbl</t>
  </si>
  <si>
    <t>sportC1450Q;H;nd zonder QH en C;ls;rbl</t>
  </si>
  <si>
    <t>sportC3b450Q;H;nd zonder QH en C;ls;rbl</t>
  </si>
  <si>
    <t>sportC3c450Q;H;nd zonder QH en C;ls;rbl</t>
  </si>
  <si>
    <t>sportD1450Q;H;nd zonder QH en C;ls;rbl</t>
  </si>
  <si>
    <t>sportD2450Q;H;nd zonder QH en C;ls;rbl</t>
  </si>
  <si>
    <t>sportD5450Q;H;nd zonder QH en C;ls;rbl</t>
  </si>
  <si>
    <t>winkelA1450Q;H;nd zonder QH en C;ls;rbl</t>
  </si>
  <si>
    <t>winkelA2a450Q;H;nd zonder QH en C;ls;rbl</t>
  </si>
  <si>
    <t>winkelC1450Q;H;nd zonder QH en C;ls;rbl</t>
  </si>
  <si>
    <t>winkelC3b450Q;H;nd zonder QH en C;ls;rbl</t>
  </si>
  <si>
    <t>winkelC3c450Q;H;nd zonder QH en C;ls;rbl</t>
  </si>
  <si>
    <t>winkelD1450Q;H;nd zonder QH en C;ls;rbl</t>
  </si>
  <si>
    <t>winkelD2450Q;H;nd zonder QH en C;ls;rbl</t>
  </si>
  <si>
    <t>winkelD5450Q;H;nd zonder QH en C;ls;rbl</t>
  </si>
  <si>
    <t>woningA1450Q;H;nd zonder QH en C;ls;rbl</t>
  </si>
  <si>
    <t>woningA2a450Q;H;nd zonder QH en C;ls;rbl</t>
  </si>
  <si>
    <t>woningC1450Q;H;nd zonder QH en C;ls;rbl</t>
  </si>
  <si>
    <t>woningC3b450Q;H;nd zonder QH en C;ls;rbl</t>
  </si>
  <si>
    <t>woningC3c450Q;H;nd zonder QH en C;ls;rbl</t>
  </si>
  <si>
    <t>woningD1450Q;H;nd zonder QH en C;ls;rbl</t>
  </si>
  <si>
    <t>woningD2450Q;H;nd zonder QH en C;ls;rbl</t>
  </si>
  <si>
    <t>woningD5450Q;H;nd zonder QH en C;ls;rbl</t>
  </si>
  <si>
    <t>zorg met bedA1450Q;H;nd zonder QH en C;ls;rbl</t>
  </si>
  <si>
    <t>zorg met bedA2a450Q;H;nd zonder QH en C;ls;rbl</t>
  </si>
  <si>
    <t>zorg met bedC1450Q;H;nd zonder QH en C;ls;rbl</t>
  </si>
  <si>
    <t>zorg met bedC3b450Q;H;nd zonder QH en C;ls;rbl</t>
  </si>
  <si>
    <t>zorg met bedC3c450Q;H;nd zonder QH en C;ls;rbl</t>
  </si>
  <si>
    <t>zorg met bedD1450Q;H;nd zonder QH en C;ls;rbl</t>
  </si>
  <si>
    <t>zorg met bedD2450Q;H;nd zonder QH en C;ls;rbl</t>
  </si>
  <si>
    <t>zorg met bedD5450Q;H;nd zonder QH en C;ls;rbl</t>
  </si>
  <si>
    <t>zorg overigA1450Q;H;nd zonder QH en C;ls;rbl</t>
  </si>
  <si>
    <t>zorg overigA2a450Q;H;nd zonder QH en C;ls;rbl</t>
  </si>
  <si>
    <t>zorg overigC1450Q;H;nd zonder QH en C;ls;rbl</t>
  </si>
  <si>
    <t>zorg overigC3b450Q;H;nd zonder QH en C;ls;rbl</t>
  </si>
  <si>
    <t>zorg overigC3c450Q;H;nd zonder QH en C;ls;rbl</t>
  </si>
  <si>
    <t>zorg overigD1450Q;H;nd zonder QH en C;ls;rbl</t>
  </si>
  <si>
    <t>zorg overigD2450Q;H;nd zonder QH en C;ls;rbl</t>
  </si>
  <si>
    <t>zorg overigD5450Q;H;nd zonder QH en C;ls;rbl</t>
  </si>
  <si>
    <t>bijeenkomstA1450Q;C;nd</t>
  </si>
  <si>
    <t>bijeenkomstA2a450Q;C;nd</t>
  </si>
  <si>
    <t>bijeenkomstC1450Q;C;nd</t>
  </si>
  <si>
    <t>bijeenkomstC3b450Q;C;nd</t>
  </si>
  <si>
    <t>bijeenkomstC3c450Q;C;nd</t>
  </si>
  <si>
    <t>bijeenkomstD1450Q;C;nd</t>
  </si>
  <si>
    <t>bijeenkomstD2450Q;C;nd</t>
  </si>
  <si>
    <t>bijeenkomstD5450Q;C;nd</t>
  </si>
  <si>
    <t>celA1450Q;C;nd</t>
  </si>
  <si>
    <t>celA2a450Q;C;nd</t>
  </si>
  <si>
    <t>celC1450Q;C;nd</t>
  </si>
  <si>
    <t>celC3b450Q;C;nd</t>
  </si>
  <si>
    <t>celC3c450Q;C;nd</t>
  </si>
  <si>
    <t>celD1450Q;C;nd</t>
  </si>
  <si>
    <t>celD2450Q;C;nd</t>
  </si>
  <si>
    <t>celD5450Q;C;nd</t>
  </si>
  <si>
    <t>kantoorA1450Q;C;nd</t>
  </si>
  <si>
    <t>kantoorA2a450Q;C;nd</t>
  </si>
  <si>
    <t>kantoorC1450Q;C;nd</t>
  </si>
  <si>
    <t>kantoorC3b450Q;C;nd</t>
  </si>
  <si>
    <t>kantoorC3c450Q;C;nd</t>
  </si>
  <si>
    <t>kantoorD1450Q;C;nd</t>
  </si>
  <si>
    <t>kantoorD2450Q;C;nd</t>
  </si>
  <si>
    <t>kantoorD5450Q;C;nd</t>
  </si>
  <si>
    <t>kinderopvangA1450Q;C;nd</t>
  </si>
  <si>
    <t>kinderopvangA2a450Q;C;nd</t>
  </si>
  <si>
    <t>kinderopvangC1450Q;C;nd</t>
  </si>
  <si>
    <t>kinderopvangC3b450Q;C;nd</t>
  </si>
  <si>
    <t>kinderopvangC3c450Q;C;nd</t>
  </si>
  <si>
    <t>kinderopvangD1450Q;C;nd</t>
  </si>
  <si>
    <t>kinderopvangD2450Q;C;nd</t>
  </si>
  <si>
    <t>kinderopvangD5450Q;C;nd</t>
  </si>
  <si>
    <t>logiesA1450Q;C;nd</t>
  </si>
  <si>
    <t>logiesA2a450Q;C;nd</t>
  </si>
  <si>
    <t>logiesC1450Q;C;nd</t>
  </si>
  <si>
    <t>logiesC3b450Q;C;nd</t>
  </si>
  <si>
    <t>logiesC3c450Q;C;nd</t>
  </si>
  <si>
    <t>logiesD1450Q;C;nd</t>
  </si>
  <si>
    <t>logiesD2450Q;C;nd</t>
  </si>
  <si>
    <t>logiesD5450Q;C;nd</t>
  </si>
  <si>
    <t>onderwijsA1450Q;C;nd</t>
  </si>
  <si>
    <t>onderwijsA2a450Q;C;nd</t>
  </si>
  <si>
    <t>onderwijsC1450Q;C;nd</t>
  </si>
  <si>
    <t>onderwijsC3b450Q;C;nd</t>
  </si>
  <si>
    <t>onderwijsC3c450Q;C;nd</t>
  </si>
  <si>
    <t>onderwijsD1450Q;C;nd</t>
  </si>
  <si>
    <t>onderwijsD2450Q;C;nd</t>
  </si>
  <si>
    <t>onderwijsD5450Q;C;nd</t>
  </si>
  <si>
    <t>sportA1450Q;C;nd</t>
  </si>
  <si>
    <t>sportA2a450Q;C;nd</t>
  </si>
  <si>
    <t>sportC1450Q;C;nd</t>
  </si>
  <si>
    <t>sportC3b450Q;C;nd</t>
  </si>
  <si>
    <t>sportC3c450Q;C;nd</t>
  </si>
  <si>
    <t>sportD1450Q;C;nd</t>
  </si>
  <si>
    <t>sportD2450Q;C;nd</t>
  </si>
  <si>
    <t>sportD5450Q;C;nd</t>
  </si>
  <si>
    <t>winkelA1450Q;C;nd</t>
  </si>
  <si>
    <t>winkelA2a450Q;C;nd</t>
  </si>
  <si>
    <t>winkelC1450Q;C;nd</t>
  </si>
  <si>
    <t>winkelC3b450Q;C;nd</t>
  </si>
  <si>
    <t>winkelC3c450Q;C;nd</t>
  </si>
  <si>
    <t>winkelD1450Q;C;nd</t>
  </si>
  <si>
    <t>winkelD2450Q;C;nd</t>
  </si>
  <si>
    <t>winkelD5450Q;C;nd</t>
  </si>
  <si>
    <t>woningA1450Q;C;nd</t>
  </si>
  <si>
    <t>woningA2a450Q;C;nd</t>
  </si>
  <si>
    <t>woningC1450Q;C;nd</t>
  </si>
  <si>
    <t>woningC3b450Q;C;nd</t>
  </si>
  <si>
    <t>woningC3c450Q;C;nd</t>
  </si>
  <si>
    <t>woningD1450Q;C;nd</t>
  </si>
  <si>
    <t>woningD2450Q;C;nd</t>
  </si>
  <si>
    <t>woningD5450Q;C;nd</t>
  </si>
  <si>
    <t>zorg met bedA1450Q;C;nd</t>
  </si>
  <si>
    <t>zorg met bedA2a450Q;C;nd</t>
  </si>
  <si>
    <t>zorg met bedC1450Q;C;nd</t>
  </si>
  <si>
    <t>zorg met bedC3b450Q;C;nd</t>
  </si>
  <si>
    <t>zorg met bedC3c450Q;C;nd</t>
  </si>
  <si>
    <t>zorg met bedD1450Q;C;nd</t>
  </si>
  <si>
    <t>zorg met bedD2450Q;C;nd</t>
  </si>
  <si>
    <t>zorg met bedD5450Q;C;nd</t>
  </si>
  <si>
    <t>zorg overigA1450Q;C;nd</t>
  </si>
  <si>
    <t>zorg overigA2a450Q;C;nd</t>
  </si>
  <si>
    <t>zorg overigC1450Q;C;nd</t>
  </si>
  <si>
    <t>zorg overigC3b450Q;C;nd</t>
  </si>
  <si>
    <t>zorg overigC3c450Q;C;nd</t>
  </si>
  <si>
    <t>zorg overigD1450Q;C;nd</t>
  </si>
  <si>
    <t>zorg overigD2450Q;C;nd</t>
  </si>
  <si>
    <t>zorg overigD5450Q;C;nd</t>
  </si>
  <si>
    <t>bijeenkomstA1180E;we;H+C;nd;ventsys=C1</t>
  </si>
  <si>
    <t>bijeenkomstA2a180E;we;H+C;nd;ventsys=C1</t>
  </si>
  <si>
    <t>bijeenkomstC1180E;we;H+C;nd;ventsys=C1</t>
  </si>
  <si>
    <t>bijeenkomstC3b180E;we;H+C;nd;ventsys=C1</t>
  </si>
  <si>
    <t>bijeenkomstC3c180E;we;H+C;nd;ventsys=C1</t>
  </si>
  <si>
    <t>bijeenkomstD1180E;we;H+C;nd;ventsys=C1</t>
  </si>
  <si>
    <t>bijeenkomstD2180E;we;H+C;nd;ventsys=C1</t>
  </si>
  <si>
    <t>bijeenkomstD5180E;we;H+C;nd;ventsys=C1</t>
  </si>
  <si>
    <t>celA1180E;we;H+C;nd;ventsys=C1</t>
  </si>
  <si>
    <t>celA2a180E;we;H+C;nd;ventsys=C1</t>
  </si>
  <si>
    <t>celC1180E;we;H+C;nd;ventsys=C1</t>
  </si>
  <si>
    <t>celC3b180E;we;H+C;nd;ventsys=C1</t>
  </si>
  <si>
    <t>celC3c180E;we;H+C;nd;ventsys=C1</t>
  </si>
  <si>
    <t>celD1180E;we;H+C;nd;ventsys=C1</t>
  </si>
  <si>
    <t>celD2180E;we;H+C;nd;ventsys=C1</t>
  </si>
  <si>
    <t>celD5180E;we;H+C;nd;ventsys=C1</t>
  </si>
  <si>
    <t>kantoorA1180E;we;H+C;nd;ventsys=C1</t>
  </si>
  <si>
    <t>kantoorA2a180E;we;H+C;nd;ventsys=C1</t>
  </si>
  <si>
    <t>kantoorC1180E;we;H+C;nd;ventsys=C1</t>
  </si>
  <si>
    <t>kantoorC3b180E;we;H+C;nd;ventsys=C1</t>
  </si>
  <si>
    <t>kantoorC3c180E;we;H+C;nd;ventsys=C1</t>
  </si>
  <si>
    <t>kantoorD1180E;we;H+C;nd;ventsys=C1</t>
  </si>
  <si>
    <t>kantoorD2180E;we;H+C;nd;ventsys=C1</t>
  </si>
  <si>
    <t>kantoorD5180E;we;H+C;nd;ventsys=C1</t>
  </si>
  <si>
    <t>kinderopvangA1180E;we;H+C;nd;ventsys=C1</t>
  </si>
  <si>
    <t>kinderopvangA2a180E;we;H+C;nd;ventsys=C1</t>
  </si>
  <si>
    <t>kinderopvangC1180E;we;H+C;nd;ventsys=C1</t>
  </si>
  <si>
    <t>kinderopvangC3b180E;we;H+C;nd;ventsys=C1</t>
  </si>
  <si>
    <t>kinderopvangC3c180E;we;H+C;nd;ventsys=C1</t>
  </si>
  <si>
    <t>kinderopvangD1180E;we;H+C;nd;ventsys=C1</t>
  </si>
  <si>
    <t>kinderopvangD2180E;we;H+C;nd;ventsys=C1</t>
  </si>
  <si>
    <t>kinderopvangD5180E;we;H+C;nd;ventsys=C1</t>
  </si>
  <si>
    <t>logiesA1180E;we;H+C;nd;ventsys=C1</t>
  </si>
  <si>
    <t>logiesA2a180E;we;H+C;nd;ventsys=C1</t>
  </si>
  <si>
    <t>logiesC1180E;we;H+C;nd;ventsys=C1</t>
  </si>
  <si>
    <t>logiesC3b180E;we;H+C;nd;ventsys=C1</t>
  </si>
  <si>
    <t>logiesC3c180E;we;H+C;nd;ventsys=C1</t>
  </si>
  <si>
    <t>logiesD1180E;we;H+C;nd;ventsys=C1</t>
  </si>
  <si>
    <t>logiesD2180E;we;H+C;nd;ventsys=C1</t>
  </si>
  <si>
    <t>logiesD5180E;we;H+C;nd;ventsys=C1</t>
  </si>
  <si>
    <t>onderwijsA1180E;we;H+C;nd;ventsys=C1</t>
  </si>
  <si>
    <t>onderwijsA2a180E;we;H+C;nd;ventsys=C1</t>
  </si>
  <si>
    <t>onderwijsC1180E;we;H+C;nd;ventsys=C1</t>
  </si>
  <si>
    <t>onderwijsC3b180E;we;H+C;nd;ventsys=C1</t>
  </si>
  <si>
    <t>onderwijsC3c180E;we;H+C;nd;ventsys=C1</t>
  </si>
  <si>
    <t>onderwijsD1180E;we;H+C;nd;ventsys=C1</t>
  </si>
  <si>
    <t>onderwijsD2180E;we;H+C;nd;ventsys=C1</t>
  </si>
  <si>
    <t>onderwijsD5180E;we;H+C;nd;ventsys=C1</t>
  </si>
  <si>
    <t>sportA1180E;we;H+C;nd;ventsys=C1</t>
  </si>
  <si>
    <t>sportA2a180E;we;H+C;nd;ventsys=C1</t>
  </si>
  <si>
    <t>sportC1180E;we;H+C;nd;ventsys=C1</t>
  </si>
  <si>
    <t>sportC3b180E;we;H+C;nd;ventsys=C1</t>
  </si>
  <si>
    <t>sportC3c180E;we;H+C;nd;ventsys=C1</t>
  </si>
  <si>
    <t>sportD1180E;we;H+C;nd;ventsys=C1</t>
  </si>
  <si>
    <t>sportD2180E;we;H+C;nd;ventsys=C1</t>
  </si>
  <si>
    <t>sportD5180E;we;H+C;nd;ventsys=C1</t>
  </si>
  <si>
    <t>winkelA1180E;we;H+C;nd;ventsys=C1</t>
  </si>
  <si>
    <t>winkelA2a180E;we;H+C;nd;ventsys=C1</t>
  </si>
  <si>
    <t>winkelC1180E;we;H+C;nd;ventsys=C1</t>
  </si>
  <si>
    <t>winkelC3b180E;we;H+C;nd;ventsys=C1</t>
  </si>
  <si>
    <t>winkelC3c180E;we;H+C;nd;ventsys=C1</t>
  </si>
  <si>
    <t>winkelD1180E;we;H+C;nd;ventsys=C1</t>
  </si>
  <si>
    <t>winkelD2180E;we;H+C;nd;ventsys=C1</t>
  </si>
  <si>
    <t>winkelD5180E;we;H+C;nd;ventsys=C1</t>
  </si>
  <si>
    <t>woningA1180E;we;H+C;nd;ventsys=C1</t>
  </si>
  <si>
    <t>woningA2a180E;we;H+C;nd;ventsys=C1</t>
  </si>
  <si>
    <t>woningC1180E;we;H+C;nd;ventsys=C1</t>
  </si>
  <si>
    <t>woningC3b180E;we;H+C;nd;ventsys=C1</t>
  </si>
  <si>
    <t>woningC3c180E;we;H+C;nd;ventsys=C1</t>
  </si>
  <si>
    <t>woningD1180E;we;H+C;nd;ventsys=C1</t>
  </si>
  <si>
    <t>woningD2180E;we;H+C;nd;ventsys=C1</t>
  </si>
  <si>
    <t>woningD5180E;we;H+C;nd;ventsys=C1</t>
  </si>
  <si>
    <t>zorg met bedA1180E;we;H+C;nd;ventsys=C1</t>
  </si>
  <si>
    <t>zorg met bedA2a180E;we;H+C;nd;ventsys=C1</t>
  </si>
  <si>
    <t>zorg met bedC1180E;we;H+C;nd;ventsys=C1</t>
  </si>
  <si>
    <t>zorg met bedC3b180E;we;H+C;nd;ventsys=C1</t>
  </si>
  <si>
    <t>zorg met bedC3c180E;we;H+C;nd;ventsys=C1</t>
  </si>
  <si>
    <t>zorg met bedD1180E;we;H+C;nd;ventsys=C1</t>
  </si>
  <si>
    <t>zorg met bedD2180E;we;H+C;nd;ventsys=C1</t>
  </si>
  <si>
    <t>zorg met bedD5180E;we;H+C;nd;ventsys=C1</t>
  </si>
  <si>
    <t>zorg overigA1180E;we;H+C;nd;ventsys=C1</t>
  </si>
  <si>
    <t>zorg overigA2a180E;we;H+C;nd;ventsys=C1</t>
  </si>
  <si>
    <t>zorg overigC1180E;we;H+C;nd;ventsys=C1</t>
  </si>
  <si>
    <t>zorg overigC3b180E;we;H+C;nd;ventsys=C1</t>
  </si>
  <si>
    <t>zorg overigC3c180E;we;H+C;nd;ventsys=C1</t>
  </si>
  <si>
    <t>zorg overigD1180E;we;H+C;nd;ventsys=C1</t>
  </si>
  <si>
    <t>zorg overigD2180E;we;H+C;nd;ventsys=C1</t>
  </si>
  <si>
    <t>zorg overigD5180E;we;H+C;nd;ventsys=C1</t>
  </si>
  <si>
    <t>bijeenkomstA1180Q;H;nd</t>
  </si>
  <si>
    <t>bijeenkomstA2a180Q;H;nd</t>
  </si>
  <si>
    <t>bijeenkomstC1180Q;H;nd</t>
  </si>
  <si>
    <t>bijeenkomstC3b180Q;H;nd</t>
  </si>
  <si>
    <t>bijeenkomstC3c180Q;H;nd</t>
  </si>
  <si>
    <t>bijeenkomstD1180Q;H;nd</t>
  </si>
  <si>
    <t>bijeenkomstD2180Q;H;nd</t>
  </si>
  <si>
    <t>bijeenkomstD5180Q;H;nd</t>
  </si>
  <si>
    <t>celA1180Q;H;nd</t>
  </si>
  <si>
    <t>celA2a180Q;H;nd</t>
  </si>
  <si>
    <t>celC1180Q;H;nd</t>
  </si>
  <si>
    <t>celC3b180Q;H;nd</t>
  </si>
  <si>
    <t>celC3c180Q;H;nd</t>
  </si>
  <si>
    <t>celD1180Q;H;nd</t>
  </si>
  <si>
    <t>celD2180Q;H;nd</t>
  </si>
  <si>
    <t>celD5180Q;H;nd</t>
  </si>
  <si>
    <t>kantoorA1180Q;H;nd</t>
  </si>
  <si>
    <t>kantoorA2a180Q;H;nd</t>
  </si>
  <si>
    <t>kantoorC1180Q;H;nd</t>
  </si>
  <si>
    <t>kantoorC3b180Q;H;nd</t>
  </si>
  <si>
    <t>kantoorC3c180Q;H;nd</t>
  </si>
  <si>
    <t>kantoorD1180Q;H;nd</t>
  </si>
  <si>
    <t>kantoorD2180Q;H;nd</t>
  </si>
  <si>
    <t>kantoorD5180Q;H;nd</t>
  </si>
  <si>
    <t>kinderopvangA1180Q;H;nd</t>
  </si>
  <si>
    <t>kinderopvangA2a180Q;H;nd</t>
  </si>
  <si>
    <t>kinderopvangC1180Q;H;nd</t>
  </si>
  <si>
    <t>kinderopvangC3b180Q;H;nd</t>
  </si>
  <si>
    <t>kinderopvangC3c180Q;H;nd</t>
  </si>
  <si>
    <t>kinderopvangD1180Q;H;nd</t>
  </si>
  <si>
    <t>kinderopvangD2180Q;H;nd</t>
  </si>
  <si>
    <t>kinderopvangD5180Q;H;nd</t>
  </si>
  <si>
    <t>logiesA1180Q;H;nd</t>
  </si>
  <si>
    <t>logiesA2a180Q;H;nd</t>
  </si>
  <si>
    <t>logiesC1180Q;H;nd</t>
  </si>
  <si>
    <t>logiesC3b180Q;H;nd</t>
  </si>
  <si>
    <t>logiesC3c180Q;H;nd</t>
  </si>
  <si>
    <t>logiesD1180Q;H;nd</t>
  </si>
  <si>
    <t>logiesD2180Q;H;nd</t>
  </si>
  <si>
    <t>logiesD5180Q;H;nd</t>
  </si>
  <si>
    <t>onderwijsA1180Q;H;nd</t>
  </si>
  <si>
    <t>onderwijsA2a180Q;H;nd</t>
  </si>
  <si>
    <t>onderwijsC1180Q;H;nd</t>
  </si>
  <si>
    <t>onderwijsC3b180Q;H;nd</t>
  </si>
  <si>
    <t>onderwijsC3c180Q;H;nd</t>
  </si>
  <si>
    <t>onderwijsD1180Q;H;nd</t>
  </si>
  <si>
    <t>onderwijsD2180Q;H;nd</t>
  </si>
  <si>
    <t>onderwijsD5180Q;H;nd</t>
  </si>
  <si>
    <t>sportA1180Q;H;nd</t>
  </si>
  <si>
    <t>sportA2a180Q;H;nd</t>
  </si>
  <si>
    <t>sportC1180Q;H;nd</t>
  </si>
  <si>
    <t>sportC3b180Q;H;nd</t>
  </si>
  <si>
    <t>sportC3c180Q;H;nd</t>
  </si>
  <si>
    <t>sportD1180Q;H;nd</t>
  </si>
  <si>
    <t>sportD2180Q;H;nd</t>
  </si>
  <si>
    <t>sportD5180Q;H;nd</t>
  </si>
  <si>
    <t>winkelA1180Q;H;nd</t>
  </si>
  <si>
    <t>winkelA2a180Q;H;nd</t>
  </si>
  <si>
    <t>winkelC1180Q;H;nd</t>
  </si>
  <si>
    <t>winkelC3b180Q;H;nd</t>
  </si>
  <si>
    <t>winkelC3c180Q;H;nd</t>
  </si>
  <si>
    <t>winkelD1180Q;H;nd</t>
  </si>
  <si>
    <t>winkelD2180Q;H;nd</t>
  </si>
  <si>
    <t>winkelD5180Q;H;nd</t>
  </si>
  <si>
    <t>woningA1180Q;H;nd</t>
  </si>
  <si>
    <t>woningA2a180Q;H;nd</t>
  </si>
  <si>
    <t>woningC1180Q;H;nd</t>
  </si>
  <si>
    <t>woningC3b180Q;H;nd</t>
  </si>
  <si>
    <t>woningC3c180Q;H;nd</t>
  </si>
  <si>
    <t>woningD1180Q;H;nd</t>
  </si>
  <si>
    <t>woningD2180Q;H;nd</t>
  </si>
  <si>
    <t>woningD5180Q;H;nd</t>
  </si>
  <si>
    <t>zorg met bedA1180Q;H;nd</t>
  </si>
  <si>
    <t>zorg met bedA2a180Q;H;nd</t>
  </si>
  <si>
    <t>zorg met bedC1180Q;H;nd</t>
  </si>
  <si>
    <t>zorg met bedC3b180Q;H;nd</t>
  </si>
  <si>
    <t>zorg met bedC3c180Q;H;nd</t>
  </si>
  <si>
    <t>zorg met bedD1180Q;H;nd</t>
  </si>
  <si>
    <t>zorg met bedD2180Q;H;nd</t>
  </si>
  <si>
    <t>zorg met bedD5180Q;H;nd</t>
  </si>
  <si>
    <t>zorg overigA1180Q;H;nd</t>
  </si>
  <si>
    <t>zorg overigA2a180Q;H;nd</t>
  </si>
  <si>
    <t>zorg overigC1180Q;H;nd</t>
  </si>
  <si>
    <t>zorg overigC3b180Q;H;nd</t>
  </si>
  <si>
    <t>zorg overigC3c180Q;H;nd</t>
  </si>
  <si>
    <t>zorg overigD1180Q;H;nd</t>
  </si>
  <si>
    <t>zorg overigD2180Q;H;nd</t>
  </si>
  <si>
    <t>zorg overigD5180Q;H;nd</t>
  </si>
  <si>
    <t>bijeenkomstA1180Q;H;nd zonder QH en C;ls;rbl</t>
  </si>
  <si>
    <t>bijeenkomstA2a180Q;H;nd zonder QH en C;ls;rbl</t>
  </si>
  <si>
    <t>bijeenkomstC1180Q;H;nd zonder QH en C;ls;rbl</t>
  </si>
  <si>
    <t>bijeenkomstC3b180Q;H;nd zonder QH en C;ls;rbl</t>
  </si>
  <si>
    <t>bijeenkomstC3c180Q;H;nd zonder QH en C;ls;rbl</t>
  </si>
  <si>
    <t>bijeenkomstD1180Q;H;nd zonder QH en C;ls;rbl</t>
  </si>
  <si>
    <t>bijeenkomstD2180Q;H;nd zonder QH en C;ls;rbl</t>
  </si>
  <si>
    <t>bijeenkomstD5180Q;H;nd zonder QH en C;ls;rbl</t>
  </si>
  <si>
    <t>celA1180Q;H;nd zonder QH en C;ls;rbl</t>
  </si>
  <si>
    <t>celA2a180Q;H;nd zonder QH en C;ls;rbl</t>
  </si>
  <si>
    <t>celC1180Q;H;nd zonder QH en C;ls;rbl</t>
  </si>
  <si>
    <t>celC3b180Q;H;nd zonder QH en C;ls;rbl</t>
  </si>
  <si>
    <t>celC3c180Q;H;nd zonder QH en C;ls;rbl</t>
  </si>
  <si>
    <t>celD1180Q;H;nd zonder QH en C;ls;rbl</t>
  </si>
  <si>
    <t>celD2180Q;H;nd zonder QH en C;ls;rbl</t>
  </si>
  <si>
    <t>celD5180Q;H;nd zonder QH en C;ls;rbl</t>
  </si>
  <si>
    <t>kantoorA1180Q;H;nd zonder QH en C;ls;rbl</t>
  </si>
  <si>
    <t>kantoorA2a180Q;H;nd zonder QH en C;ls;rbl</t>
  </si>
  <si>
    <t>kantoorC1180Q;H;nd zonder QH en C;ls;rbl</t>
  </si>
  <si>
    <t>kantoorC3b180Q;H;nd zonder QH en C;ls;rbl</t>
  </si>
  <si>
    <t>kantoorC3c180Q;H;nd zonder QH en C;ls;rbl</t>
  </si>
  <si>
    <t>kantoorD1180Q;H;nd zonder QH en C;ls;rbl</t>
  </si>
  <si>
    <t>kantoorD2180Q;H;nd zonder QH en C;ls;rbl</t>
  </si>
  <si>
    <t>kantoorD5180Q;H;nd zonder QH en C;ls;rbl</t>
  </si>
  <si>
    <t>kinderopvangA1180Q;H;nd zonder QH en C;ls;rbl</t>
  </si>
  <si>
    <t>kinderopvangA2a180Q;H;nd zonder QH en C;ls;rbl</t>
  </si>
  <si>
    <t>kinderopvangC1180Q;H;nd zonder QH en C;ls;rbl</t>
  </si>
  <si>
    <t>kinderopvangC3b180Q;H;nd zonder QH en C;ls;rbl</t>
  </si>
  <si>
    <t>kinderopvangC3c180Q;H;nd zonder QH en C;ls;rbl</t>
  </si>
  <si>
    <t>kinderopvangD1180Q;H;nd zonder QH en C;ls;rbl</t>
  </si>
  <si>
    <t>kinderopvangD2180Q;H;nd zonder QH en C;ls;rbl</t>
  </si>
  <si>
    <t>kinderopvangD5180Q;H;nd zonder QH en C;ls;rbl</t>
  </si>
  <si>
    <t>logiesA1180Q;H;nd zonder QH en C;ls;rbl</t>
  </si>
  <si>
    <t>logiesA2a180Q;H;nd zonder QH en C;ls;rbl</t>
  </si>
  <si>
    <t>logiesC1180Q;H;nd zonder QH en C;ls;rbl</t>
  </si>
  <si>
    <t>logiesC3b180Q;H;nd zonder QH en C;ls;rbl</t>
  </si>
  <si>
    <t>logiesC3c180Q;H;nd zonder QH en C;ls;rbl</t>
  </si>
  <si>
    <t>logiesD1180Q;H;nd zonder QH en C;ls;rbl</t>
  </si>
  <si>
    <t>logiesD2180Q;H;nd zonder QH en C;ls;rbl</t>
  </si>
  <si>
    <t>logiesD5180Q;H;nd zonder QH en C;ls;rbl</t>
  </si>
  <si>
    <t>onderwijsA1180Q;H;nd zonder QH en C;ls;rbl</t>
  </si>
  <si>
    <t>onderwijsA2a180Q;H;nd zonder QH en C;ls;rbl</t>
  </si>
  <si>
    <t>onderwijsC1180Q;H;nd zonder QH en C;ls;rbl</t>
  </si>
  <si>
    <t>onderwijsC3b180Q;H;nd zonder QH en C;ls;rbl</t>
  </si>
  <si>
    <t>onderwijsC3c180Q;H;nd zonder QH en C;ls;rbl</t>
  </si>
  <si>
    <t>onderwijsD1180Q;H;nd zonder QH en C;ls;rbl</t>
  </si>
  <si>
    <t>onderwijsD2180Q;H;nd zonder QH en C;ls;rbl</t>
  </si>
  <si>
    <t>onderwijsD5180Q;H;nd zonder QH en C;ls;rbl</t>
  </si>
  <si>
    <t>sportA1180Q;H;nd zonder QH en C;ls;rbl</t>
  </si>
  <si>
    <t>sportA2a180Q;H;nd zonder QH en C;ls;rbl</t>
  </si>
  <si>
    <t>sportC1180Q;H;nd zonder QH en C;ls;rbl</t>
  </si>
  <si>
    <t>sportC3b180Q;H;nd zonder QH en C;ls;rbl</t>
  </si>
  <si>
    <t>sportC3c180Q;H;nd zonder QH en C;ls;rbl</t>
  </si>
  <si>
    <t>sportD1180Q;H;nd zonder QH en C;ls;rbl</t>
  </si>
  <si>
    <t>sportD2180Q;H;nd zonder QH en C;ls;rbl</t>
  </si>
  <si>
    <t>sportD5180Q;H;nd zonder QH en C;ls;rbl</t>
  </si>
  <si>
    <t>winkelA1180Q;H;nd zonder QH en C;ls;rbl</t>
  </si>
  <si>
    <t>winkelA2a180Q;H;nd zonder QH en C;ls;rbl</t>
  </si>
  <si>
    <t>winkelC1180Q;H;nd zonder QH en C;ls;rbl</t>
  </si>
  <si>
    <t>winkelC3b180Q;H;nd zonder QH en C;ls;rbl</t>
  </si>
  <si>
    <t>winkelC3c180Q;H;nd zonder QH en C;ls;rbl</t>
  </si>
  <si>
    <t>winkelD1180Q;H;nd zonder QH en C;ls;rbl</t>
  </si>
  <si>
    <t>winkelD2180Q;H;nd zonder QH en C;ls;rbl</t>
  </si>
  <si>
    <t>winkelD5180Q;H;nd zonder QH en C;ls;rbl</t>
  </si>
  <si>
    <t>woningA1180Q;H;nd zonder QH en C;ls;rbl</t>
  </si>
  <si>
    <t>woningA2a180Q;H;nd zonder QH en C;ls;rbl</t>
  </si>
  <si>
    <t>woningC1180Q;H;nd zonder QH en C;ls;rbl</t>
  </si>
  <si>
    <t>woningC3b180Q;H;nd zonder QH en C;ls;rbl</t>
  </si>
  <si>
    <t>woningC3c180Q;H;nd zonder QH en C;ls;rbl</t>
  </si>
  <si>
    <t>woningD1180Q;H;nd zonder QH en C;ls;rbl</t>
  </si>
  <si>
    <t>woningD2180Q;H;nd zonder QH en C;ls;rbl</t>
  </si>
  <si>
    <t>woningD5180Q;H;nd zonder QH en C;ls;rbl</t>
  </si>
  <si>
    <t>zorg met bedA1180Q;H;nd zonder QH en C;ls;rbl</t>
  </si>
  <si>
    <t>zorg met bedA2a180Q;H;nd zonder QH en C;ls;rbl</t>
  </si>
  <si>
    <t>zorg met bedC1180Q;H;nd zonder QH en C;ls;rbl</t>
  </si>
  <si>
    <t>zorg met bedC3b180Q;H;nd zonder QH en C;ls;rbl</t>
  </si>
  <si>
    <t>zorg met bedC3c180Q;H;nd zonder QH en C;ls;rbl</t>
  </si>
  <si>
    <t>zorg met bedD1180Q;H;nd zonder QH en C;ls;rbl</t>
  </si>
  <si>
    <t>zorg met bedD2180Q;H;nd zonder QH en C;ls;rbl</t>
  </si>
  <si>
    <t>zorg met bedD5180Q;H;nd zonder QH en C;ls;rbl</t>
  </si>
  <si>
    <t>zorg overigA1180Q;H;nd zonder QH en C;ls;rbl</t>
  </si>
  <si>
    <t>zorg overigA2a180Q;H;nd zonder QH en C;ls;rbl</t>
  </si>
  <si>
    <t>zorg overigC1180Q;H;nd zonder QH en C;ls;rbl</t>
  </si>
  <si>
    <t>zorg overigC3b180Q;H;nd zonder QH en C;ls;rbl</t>
  </si>
  <si>
    <t>zorg overigC3c180Q;H;nd zonder QH en C;ls;rbl</t>
  </si>
  <si>
    <t>zorg overigD1180Q;H;nd zonder QH en C;ls;rbl</t>
  </si>
  <si>
    <t>zorg overigD2180Q;H;nd zonder QH en C;ls;rbl</t>
  </si>
  <si>
    <t>zorg overigD5180Q;H;nd zonder QH en C;ls;rbl</t>
  </si>
  <si>
    <t>bijeenkomstA1180Q;C;nd</t>
  </si>
  <si>
    <t>bijeenkomstA2a180Q;C;nd</t>
  </si>
  <si>
    <t>bijeenkomstC1180Q;C;nd</t>
  </si>
  <si>
    <t>bijeenkomstC3b180Q;C;nd</t>
  </si>
  <si>
    <t>bijeenkomstC3c180Q;C;nd</t>
  </si>
  <si>
    <t>bijeenkomstD1180Q;C;nd</t>
  </si>
  <si>
    <t>bijeenkomstD2180Q;C;nd</t>
  </si>
  <si>
    <t>bijeenkomstD5180Q;C;nd</t>
  </si>
  <si>
    <t>celA1180Q;C;nd</t>
  </si>
  <si>
    <t>celA2a180Q;C;nd</t>
  </si>
  <si>
    <t>celC1180Q;C;nd</t>
  </si>
  <si>
    <t>celC3b180Q;C;nd</t>
  </si>
  <si>
    <t>celC3c180Q;C;nd</t>
  </si>
  <si>
    <t>celD1180Q;C;nd</t>
  </si>
  <si>
    <t>celD2180Q;C;nd</t>
  </si>
  <si>
    <t>celD5180Q;C;nd</t>
  </si>
  <si>
    <t>kantoorA1180Q;C;nd</t>
  </si>
  <si>
    <t>kantoorA2a180Q;C;nd</t>
  </si>
  <si>
    <t>kantoorC1180Q;C;nd</t>
  </si>
  <si>
    <t>kantoorC3b180Q;C;nd</t>
  </si>
  <si>
    <t>kantoorC3c180Q;C;nd</t>
  </si>
  <si>
    <t>kantoorD1180Q;C;nd</t>
  </si>
  <si>
    <t>kantoorD2180Q;C;nd</t>
  </si>
  <si>
    <t>kantoorD5180Q;C;nd</t>
  </si>
  <si>
    <t>kinderopvangA1180Q;C;nd</t>
  </si>
  <si>
    <t>kinderopvangA2a180Q;C;nd</t>
  </si>
  <si>
    <t>kinderopvangC1180Q;C;nd</t>
  </si>
  <si>
    <t>kinderopvangC3b180Q;C;nd</t>
  </si>
  <si>
    <t>kinderopvangC3c180Q;C;nd</t>
  </si>
  <si>
    <t>kinderopvangD1180Q;C;nd</t>
  </si>
  <si>
    <t>kinderopvangD2180Q;C;nd</t>
  </si>
  <si>
    <t>kinderopvangD5180Q;C;nd</t>
  </si>
  <si>
    <t>logiesA1180Q;C;nd</t>
  </si>
  <si>
    <t>logiesA2a180Q;C;nd</t>
  </si>
  <si>
    <t>logiesC1180Q;C;nd</t>
  </si>
  <si>
    <t>logiesC3b180Q;C;nd</t>
  </si>
  <si>
    <t>logiesC3c180Q;C;nd</t>
  </si>
  <si>
    <t>logiesD1180Q;C;nd</t>
  </si>
  <si>
    <t>logiesD2180Q;C;nd</t>
  </si>
  <si>
    <t>logiesD5180Q;C;nd</t>
  </si>
  <si>
    <t>onderwijsA1180Q;C;nd</t>
  </si>
  <si>
    <t>onderwijsA2a180Q;C;nd</t>
  </si>
  <si>
    <t>onderwijsC1180Q;C;nd</t>
  </si>
  <si>
    <t>onderwijsC3b180Q;C;nd</t>
  </si>
  <si>
    <t>onderwijsC3c180Q;C;nd</t>
  </si>
  <si>
    <t>onderwijsD1180Q;C;nd</t>
  </si>
  <si>
    <t>onderwijsD2180Q;C;nd</t>
  </si>
  <si>
    <t>onderwijsD5180Q;C;nd</t>
  </si>
  <si>
    <t>sportA1180Q;C;nd</t>
  </si>
  <si>
    <t>sportA2a180Q;C;nd</t>
  </si>
  <si>
    <t>sportC1180Q;C;nd</t>
  </si>
  <si>
    <t>sportC3b180Q;C;nd</t>
  </si>
  <si>
    <t>sportC3c180Q;C;nd</t>
  </si>
  <si>
    <t>sportD1180Q;C;nd</t>
  </si>
  <si>
    <t>sportD2180Q;C;nd</t>
  </si>
  <si>
    <t>sportD5180Q;C;nd</t>
  </si>
  <si>
    <t>winkelA1180Q;C;nd</t>
  </si>
  <si>
    <t>winkelA2a180Q;C;nd</t>
  </si>
  <si>
    <t>winkelC1180Q;C;nd</t>
  </si>
  <si>
    <t>winkelC3b180Q;C;nd</t>
  </si>
  <si>
    <t>winkelC3c180Q;C;nd</t>
  </si>
  <si>
    <t>winkelD1180Q;C;nd</t>
  </si>
  <si>
    <t>winkelD2180Q;C;nd</t>
  </si>
  <si>
    <t>winkelD5180Q;C;nd</t>
  </si>
  <si>
    <t>woningA1180Q;C;nd</t>
  </si>
  <si>
    <t>woningA2a180Q;C;nd</t>
  </si>
  <si>
    <t>woningC1180Q;C;nd</t>
  </si>
  <si>
    <t>woningC3b180Q;C;nd</t>
  </si>
  <si>
    <t>woningC3c180Q;C;nd</t>
  </si>
  <si>
    <t>woningD1180Q;C;nd</t>
  </si>
  <si>
    <t>woningD2180Q;C;nd</t>
  </si>
  <si>
    <t>woningD5180Q;C;nd</t>
  </si>
  <si>
    <t>zorg met bedA1180Q;C;nd</t>
  </si>
  <si>
    <t>zorg met bedA2a180Q;C;nd</t>
  </si>
  <si>
    <t>zorg met bedC1180Q;C;nd</t>
  </si>
  <si>
    <t>zorg met bedC3b180Q;C;nd</t>
  </si>
  <si>
    <t>zorg met bedC3c180Q;C;nd</t>
  </si>
  <si>
    <t>zorg met bedD1180Q;C;nd</t>
  </si>
  <si>
    <t>zorg met bedD2180Q;C;nd</t>
  </si>
  <si>
    <t>zorg met bedD5180Q;C;nd</t>
  </si>
  <si>
    <t>zorg overigA1180Q;C;nd</t>
  </si>
  <si>
    <t>zorg overigA2a180Q;C;nd</t>
  </si>
  <si>
    <t>zorg overigC1180Q;C;nd</t>
  </si>
  <si>
    <t>zorg overigC3b180Q;C;nd</t>
  </si>
  <si>
    <t>zorg overigC3c180Q;C;nd</t>
  </si>
  <si>
    <t>zorg overigD1180Q;C;nd</t>
  </si>
  <si>
    <t>zorg overigD2180Q;C;nd</t>
  </si>
  <si>
    <t>zorg overigD5180Q;C;nd</t>
  </si>
  <si>
    <t>E;we;H+C;nd;ventsys=C1</t>
  </si>
  <si>
    <t>Q;H;nd</t>
  </si>
  <si>
    <t>Q;H;nd zonder QH en C;ls;rbl</t>
  </si>
  <si>
    <t>Q;C;nd</t>
  </si>
  <si>
    <t>a0</t>
  </si>
  <si>
    <t>a1</t>
  </si>
  <si>
    <t>n1</t>
  </si>
  <si>
    <t>a2</t>
  </si>
  <si>
    <t>n2</t>
  </si>
  <si>
    <t>a3</t>
  </si>
  <si>
    <t>n3</t>
  </si>
  <si>
    <t>a4</t>
  </si>
  <si>
    <t>n4</t>
  </si>
  <si>
    <t>R2</t>
  </si>
  <si>
    <t>op basis van analyse van NTA8800-berekeningen van referentie utiliteitsgebouwen gebouwen en Voorbeeldwoningen 2020.</t>
  </si>
  <si>
    <t>fitmodel: [Q;H;nd] = a0 + a1*Ugem*Aratio^n1   [kWh/m2]</t>
  </si>
  <si>
    <t>fitmodel: [Q;H;nd zonder QH en C;ls;rbl] = a0 + a1*Ugem*Aratio^n   [kWh/m2]</t>
  </si>
  <si>
    <t>fitmodel: [Q;C,nd] = a0 + a1*(Aglas)^n1 + a2*(Aratio)^n2 + a3*Ugem^n3 + a4*(Aglasratio)^n4   [kWh/m2]</t>
  </si>
  <si>
    <t>fitmodel BENG 1: [E;we;H+C;nd;ventsys=C1] = a0 + a1*Ugem*Aratio^n   [kWh/m2]</t>
  </si>
  <si>
    <t>Ugem = gemiddelde isolatiewaarde van de gebouwschil  [W/m2K]</t>
  </si>
  <si>
    <t>Aratio = vormfactor van het gebouw (Averlies/Ag)  [m2/m2]</t>
  </si>
  <si>
    <t>Aglas = raamoppervlakte (glas+kozijn) van het gebouw  [m2]</t>
  </si>
  <si>
    <t>Aglasratio = raamoppervlakte tov gebruiksoppervlakte van het gebouw (Araam/Ag)  [m2/m2]</t>
  </si>
  <si>
    <t>fitcurves NTA8800</t>
  </si>
  <si>
    <t>fitcurves NTA8800: parameters Q,EP1, QHnd, Qhzonder_nd, QCnd</t>
  </si>
  <si>
    <t>mech - CO2 (C3c)</t>
  </si>
  <si>
    <t>balans (D2)</t>
  </si>
  <si>
    <t>balans geen wtw (D1)</t>
  </si>
  <si>
    <t>balans CO2 (D5)</t>
  </si>
  <si>
    <t>natuurlijk (A2a)</t>
  </si>
  <si>
    <t>specifieke interne warmtecapaciteit</t>
  </si>
  <si>
    <t>kJ/m2K</t>
  </si>
  <si>
    <t>gebruiksfunctie - tbv fitcurve NTA8800</t>
  </si>
  <si>
    <t>zoekcode fitcurve NTA8800</t>
  </si>
  <si>
    <t>beschikbare fitformules</t>
  </si>
  <si>
    <t>resultaat fitformule</t>
  </si>
  <si>
    <t>spec. int. warmtecapaciteit</t>
  </si>
  <si>
    <t>resultaat</t>
  </si>
  <si>
    <t>&amp;O$49</t>
  </si>
  <si>
    <t>&amp;$G61</t>
  </si>
  <si>
    <t>natuurlijk (A1)</t>
  </si>
  <si>
    <t>combi type</t>
  </si>
  <si>
    <t>bijeenkomst_A1</t>
  </si>
  <si>
    <t>bijeenkomst_A2a</t>
  </si>
  <si>
    <t>bijeenkomst_C1</t>
  </si>
  <si>
    <t>bijeenkomst_C3b</t>
  </si>
  <si>
    <t>bijeenkomst_C3c</t>
  </si>
  <si>
    <t>bijeenkomst_D1</t>
  </si>
  <si>
    <t>bijeenkomst_D2</t>
  </si>
  <si>
    <t>bijeenkomst_D5</t>
  </si>
  <si>
    <t>cel_A1</t>
  </si>
  <si>
    <t>cel_A2a</t>
  </si>
  <si>
    <t>cel_C1</t>
  </si>
  <si>
    <t>cel_C3b</t>
  </si>
  <si>
    <t>cel_C3c</t>
  </si>
  <si>
    <t>cel_D1</t>
  </si>
  <si>
    <t>cel_D2</t>
  </si>
  <si>
    <t>cel_D5</t>
  </si>
  <si>
    <t>kantoor_A1</t>
  </si>
  <si>
    <t>kantoor_A2a</t>
  </si>
  <si>
    <t>kantoor_C1</t>
  </si>
  <si>
    <t>kantoor_C3b</t>
  </si>
  <si>
    <t>kantoor_C3c</t>
  </si>
  <si>
    <t>kantoor_D1</t>
  </si>
  <si>
    <t>kantoor_D2</t>
  </si>
  <si>
    <t>kantoor_D5</t>
  </si>
  <si>
    <t>kinderopvang_A1</t>
  </si>
  <si>
    <t>kinderopvang_A2a</t>
  </si>
  <si>
    <t>kinderopvang_C1</t>
  </si>
  <si>
    <t>kinderopvang_C3b</t>
  </si>
  <si>
    <t>kinderopvang_C3c</t>
  </si>
  <si>
    <t>kinderopvang_D1</t>
  </si>
  <si>
    <t>kinderopvang_D2</t>
  </si>
  <si>
    <t>kinderopvang_D5</t>
  </si>
  <si>
    <t>logies_A1</t>
  </si>
  <si>
    <t>logies_A2a</t>
  </si>
  <si>
    <t>logies_C1</t>
  </si>
  <si>
    <t>logies_C3b</t>
  </si>
  <si>
    <t>logies_C3c</t>
  </si>
  <si>
    <t>logies_D1</t>
  </si>
  <si>
    <t>logies_D2</t>
  </si>
  <si>
    <t>logies_D5</t>
  </si>
  <si>
    <t>onderwijs_A1</t>
  </si>
  <si>
    <t>onderwijs_A2a</t>
  </si>
  <si>
    <t>onderwijs_C1</t>
  </si>
  <si>
    <t>onderwijs_C3b</t>
  </si>
  <si>
    <t>onderwijs_C3c</t>
  </si>
  <si>
    <t>onderwijs_D1</t>
  </si>
  <si>
    <t>onderwijs_D2</t>
  </si>
  <si>
    <t>onderwijs_D5</t>
  </si>
  <si>
    <t>sport_A1</t>
  </si>
  <si>
    <t>sport_A2a</t>
  </si>
  <si>
    <t>sport_C1</t>
  </si>
  <si>
    <t>sport_C3b</t>
  </si>
  <si>
    <t>sport_C3c</t>
  </si>
  <si>
    <t>sport_D1</t>
  </si>
  <si>
    <t>sport_D2</t>
  </si>
  <si>
    <t>sport_D5</t>
  </si>
  <si>
    <t>winkel_A1</t>
  </si>
  <si>
    <t>winkel_A2a</t>
  </si>
  <si>
    <t>winkel_C1</t>
  </si>
  <si>
    <t>winkel_C3b</t>
  </si>
  <si>
    <t>winkel_C3c</t>
  </si>
  <si>
    <t>winkel_D1</t>
  </si>
  <si>
    <t>winkel_D2</t>
  </si>
  <si>
    <t>winkel_D5</t>
  </si>
  <si>
    <t>woning_A1</t>
  </si>
  <si>
    <t>woning_A2a</t>
  </si>
  <si>
    <t>woning_C1</t>
  </si>
  <si>
    <t>woning_C3b</t>
  </si>
  <si>
    <t>woning_C3c</t>
  </si>
  <si>
    <t>woning_D1</t>
  </si>
  <si>
    <t>woning_D2</t>
  </si>
  <si>
    <t>woning_D5</t>
  </si>
  <si>
    <t>zorg met bed_A1</t>
  </si>
  <si>
    <t>zorg met bed_A2a</t>
  </si>
  <si>
    <t>zorg met bed_C1</t>
  </si>
  <si>
    <t>zorg met bed_C3b</t>
  </si>
  <si>
    <t>zorg met bed_C3c</t>
  </si>
  <si>
    <t>zorg met bed_D1</t>
  </si>
  <si>
    <t>zorg met bed_D2</t>
  </si>
  <si>
    <t>zorg met bed_D5</t>
  </si>
  <si>
    <t>zorg overig_A1</t>
  </si>
  <si>
    <t>zorg overig_A2a</t>
  </si>
  <si>
    <t>zorg overig_C1</t>
  </si>
  <si>
    <t>zorg overig_C3b</t>
  </si>
  <si>
    <t>zorg overig_C3c</t>
  </si>
  <si>
    <t>zorg overig_D1</t>
  </si>
  <si>
    <t>zorg overig_D2</t>
  </si>
  <si>
    <t>zorg overig_D5</t>
  </si>
  <si>
    <t>BRON: NTA8800 MWA 2023 v230328 - FIT 2023 11 09.xlsx</t>
  </si>
  <si>
    <t>Wijzigingen 5.1 t.o.v. 5.04</t>
  </si>
  <si>
    <t>datum gewijzigd</t>
  </si>
  <si>
    <r>
      <rPr>
        <b/>
        <sz val="12"/>
        <color rgb="FF000000"/>
        <rFont val="Calibri"/>
        <family val="2"/>
        <scheme val="minor"/>
      </rPr>
      <t xml:space="preserve">Invoer variant met energiebesparende maatregelen en installaties en bijbehorende rekenresultaten
</t>
    </r>
    <r>
      <rPr>
        <sz val="12"/>
        <color indexed="8"/>
        <rFont val="Calibri"/>
        <family val="2"/>
        <scheme val="minor"/>
      </rPr>
      <t xml:space="preserve">Om meer flexibiliteit te hebben in te gebruiken gebouwtypen is de manier waarop de energiebehoefte van de verschillende posten wordt uitgerekend gewijzigd. In UMGO 4.3 was een beperkt aantal woningen en utiliteitsgebouwen voorhanden waarvoor de energiebehoefte voor een beperkt aantal bouwjaarklassen met bijbehorend isolatieniveau was uitgerekend. Daarmee was rekenen eenvoudig, maar was niet veel variatie in gebouwtype en gebouwgebonden energiepakket mogelijk.
</t>
    </r>
    <r>
      <rPr>
        <i/>
        <sz val="12"/>
        <color rgb="FF000000"/>
        <rFont val="Calibri"/>
        <family val="2"/>
        <scheme val="minor"/>
      </rPr>
      <t xml:space="preserve">verwarming/koeling
</t>
    </r>
    <r>
      <rPr>
        <sz val="12"/>
        <color indexed="8"/>
        <rFont val="Calibri"/>
        <family val="2"/>
        <scheme val="minor"/>
      </rPr>
      <t xml:space="preserve">De energiebehoefte wordt nu afgeleid op basis van de parameters: gebruiksfunctie, verhouding verlies-/gebruiksoppervlakte gebouwtype, gemiddelde U-waarde van de gebouwschil en het ventilatiesysteem. Energiebehoeftes zijn afgeleid uit grote aantallen NTA8800-berekeningen van utiliteitsgebouwen uit de energielabeldatabase en de Voorbeeldwoningen 2020. In de bibliotheek zijn de relevante gegevens opgenomen van gebouwtypen, isolatiepakketten, ventilatiesystemen en de relatie met de energiebehoefte. Gegevens van gebouwtypen en isolatiepakketten zijn door gebruikers aan te vullen met eigen gebouwtypen en isolatiepakketten.
-&gt; berekend met Rekentool NTA8800 MWA 2023 v230328 (datum fit: 2023 11 09)
</t>
    </r>
    <r>
      <rPr>
        <i/>
        <sz val="12"/>
        <color rgb="FF000000"/>
        <rFont val="Calibri"/>
        <family val="2"/>
        <scheme val="minor"/>
      </rPr>
      <t>warmtapwater</t>
    </r>
    <r>
      <rPr>
        <sz val="12"/>
        <color indexed="8"/>
        <rFont val="Calibri"/>
        <family val="2"/>
        <scheme val="minor"/>
      </rPr>
      <t xml:space="preserve">
De energiebehoefte voor warmtapwater wordt berekend op basis van gebruiksfunctie en gebruiksoppervlakte conform de rekenregels in NTA 8800. In de invoer is een % extra besparing door DWTW of bewust energiezuinig gedrag.
</t>
    </r>
    <r>
      <rPr>
        <i/>
        <sz val="12"/>
        <color rgb="FF000000"/>
        <rFont val="Calibri"/>
        <family val="2"/>
        <scheme val="minor"/>
      </rPr>
      <t>ventilatoren</t>
    </r>
    <r>
      <rPr>
        <sz val="12"/>
        <color indexed="8"/>
        <rFont val="Calibri"/>
        <family val="2"/>
        <scheme val="minor"/>
      </rPr>
      <t xml:space="preserve">
De energiebehoefte voor ventilatoren wordt afgeleid op basis van gebruiksfunctie en type ventilator.
</t>
    </r>
    <r>
      <rPr>
        <i/>
        <sz val="12"/>
        <color rgb="FF000000"/>
        <rFont val="Calibri"/>
        <family val="2"/>
        <scheme val="minor"/>
      </rPr>
      <t>verlichting</t>
    </r>
    <r>
      <rPr>
        <sz val="12"/>
        <color indexed="8"/>
        <rFont val="Calibri"/>
        <family val="2"/>
        <scheme val="minor"/>
      </rPr>
      <t xml:space="preserve">
Voor utiliteitsgebouwen wordt de elektriciteitsbehoefte voor verlichting afgeleid op basis van gebruiksfunctie, geïnstalleerd vermogen voor verlichting en de verlichtingsregeling.</t>
    </r>
  </si>
  <si>
    <t>waterstof (groen)</t>
  </si>
  <si>
    <t>waterstof (grijs)</t>
  </si>
  <si>
    <t>elektriciteitsgebruik per woning 2023</t>
  </si>
  <si>
    <t>gemiddelde gebruiksoppervlakte NL woningen 2022-2025</t>
  </si>
  <si>
    <t>WARMTE | Zaanstad | Primair Warmtenet</t>
  </si>
  <si>
    <t>WARMTE | Sittard | Secundair warmtenet</t>
  </si>
  <si>
    <t>WARMTE | Heerlen - Rijnwater | Primair</t>
  </si>
  <si>
    <t>20220229GK</t>
  </si>
  <si>
    <t>20210624GK</t>
  </si>
  <si>
    <t>KOUDE | Sittard | Primair warmtenet</t>
  </si>
  <si>
    <t>WARMTE | Drechtsteden | Primair warmtenet</t>
  </si>
  <si>
    <t>20230156GK</t>
  </si>
  <si>
    <t>20250072GK</t>
  </si>
  <si>
    <t>20240129GK</t>
  </si>
  <si>
    <t>20220183GK</t>
  </si>
  <si>
    <t>20210574GK</t>
  </si>
  <si>
    <t>20240242GK</t>
  </si>
  <si>
    <t>20250074GK</t>
  </si>
  <si>
    <t>20240308GK</t>
  </si>
  <si>
    <t>WARMTE | Warmtebedrijf Ede | Secundair Warmtenet</t>
  </si>
  <si>
    <t>WARMTE | Warmtebedrijf Ede | Primair Warmtenet</t>
  </si>
  <si>
    <t>20220307GK</t>
  </si>
  <si>
    <t>20220291GK</t>
  </si>
  <si>
    <t>20240216GK</t>
  </si>
  <si>
    <t>20230105GK</t>
  </si>
  <si>
    <t>20220326GK</t>
  </si>
  <si>
    <t>WARM TAPWATER | Hoofddorp, Hydepark | warmtenet</t>
  </si>
  <si>
    <t>WARMTE | Hoofddorp, Hydepark | warmtenet</t>
  </si>
  <si>
    <t>20230220GK</t>
  </si>
  <si>
    <t>20220295GK</t>
  </si>
  <si>
    <t>20220337GK</t>
  </si>
  <si>
    <t>20240131GK</t>
  </si>
  <si>
    <t>20230167GK</t>
  </si>
  <si>
    <t>Uniforme Maatlat Gebouwde Omgeving 5.1</t>
  </si>
  <si>
    <t>P.6.5.4.8</t>
  </si>
  <si>
    <t>P.6.5.4.6</t>
  </si>
  <si>
    <t>P.6.5.4.7</t>
  </si>
  <si>
    <t xml:space="preserve">Waterstof (groen en grijs) als energiedrager, met bijpassende installaties voor verwarming en tapwater. </t>
  </si>
  <si>
    <t>tabel P.9</t>
  </si>
  <si>
    <t>tabel 10.30</t>
  </si>
  <si>
    <t>installaties 'centraal': warmtelevering heeft kwaliteitsverklaring [0/1]</t>
  </si>
  <si>
    <t>toegepaste W/K-netten met kwaliteitsverklaring</t>
  </si>
  <si>
    <t>W/K-netten met kwaliteitsverklaring</t>
  </si>
  <si>
    <t>warmte-/koudenetten met kwaliteitsverklaring</t>
  </si>
  <si>
    <t>namen en relevante parameters warmte-/koudenetten met kwaliteitsverklaring</t>
  </si>
  <si>
    <t>De fitcurves voor het berekenen van de QH,nd en Qc,nd zijn opnieuw berekend op basis van NTA8800:2024. Hierin is het aantal ventilatiesystemen groter geworden en is ook onderscheid gemaakt naar constructies met een hoge specifieke interne warmtecapaciteit (450 kJ/m2K) en een minder hoge specifieke interne warmtecapaciteit (180 kJ/m2K; tabel 7.10 in NTA8800:2024).</t>
  </si>
  <si>
    <t>W/E, 2025</t>
  </si>
  <si>
    <t>mech - tijdsturing toevoer (C3c)</t>
  </si>
  <si>
    <t>mech - tijdsturing afvoer (C3b)</t>
  </si>
  <si>
    <t>Eindnorm 2050 bestaand u-bouw</t>
  </si>
  <si>
    <t xml:space="preserve">De Uniforme Maatlat is ontwikkeld in opdracht van de Rijksdienst voor Ondernemend Nederland.
De Uniforme Maatlat is één van de methoden die RVO ontwikkelt om de energieprestaties van verschillende technieken (zoals zonneboilers, warmtepompen, warmte-koudeopslag, collectieve systemen, restwarmte, verbranding van houtachtige biomassa, etc.) goed vergelijkbaar te maken.
Het Rekenmodel is gebaseerd op het rapport 'Uniforme Maatlat voor de warmtevoorziening van woning-en utiliteitsbouw', versie 5.0  (Utrecht, 2 september 2020).
Het Rekenmodel bevat de belangrijkste systemen/rendementen uit het rapport.
Meer rendementen zijn terug te vinden in het genoemde rapport en NTA 8800. Deze getallen kunnen in de bibliotheek van het Rekenmodel worden opgenomen en vervolgens in de berekeningen worden gebruikt. 
Let op: De resultaten van de berekende energieprestatie-indicatoren (BENG 1, 2, 3, energielabel, PEF) zijn indicatief.
</t>
  </si>
  <si>
    <t>Update kentallen elektriciteitsnet cf KEV '24</t>
  </si>
  <si>
    <t>Update kentallen huishoudelijk elektriciteitsgebruik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</si>
</sst>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00"/>
    <numFmt numFmtId="166" formatCode="#,##0.000"/>
    <numFmt numFmtId="167" formatCode="#,##0.0000"/>
    <numFmt numFmtId="168" formatCode="#,##0.0"/>
    <numFmt numFmtId="169" formatCode="#,##0.00000"/>
    <numFmt numFmtId="170" formatCode="#,##0.000000000"/>
    <numFmt numFmtId="171" formatCode="0.0000"/>
    <numFmt numFmtId="172" formatCode="d\ mmmm\ yyyy"/>
    <numFmt numFmtId="173" formatCode="0.0000000"/>
    <numFmt numFmtId="174" formatCode="&quot;hoog: &quot;0%"/>
    <numFmt numFmtId="175" formatCode="0.0%"/>
    <numFmt numFmtId="176" formatCode="&quot;versie &quot;dd\ mmm\ yyyy"/>
    <numFmt numFmtId="177" formatCode="&quot;versie &quot;dd\ mmmm\ yyyy"/>
    <numFmt numFmtId="178" formatCode="&quot;Ri + Re &quot;#,##0.00"/>
    <numFmt numFmtId="179" formatCode="&quot;max bijdrage weegfactor &quot;#,##0%"/>
    <numFmt numFmtId="180" formatCode="\+#,##0.0;\-#,##0.0"/>
    <numFmt numFmtId="181" formatCode="\+#,##0%;\-#,##0%"/>
    <numFmt numFmtId="182" formatCode="&quot;PEF: &quot;0.000"/>
    <numFmt numFmtId="183" formatCode="0.000&quot; kgCO2/kWh&quot;"/>
    <numFmt numFmtId="184" formatCode="dd\ mmm\ yyyy"/>
  </numFmts>
  <fonts count="189">
    <font>
      <sz val="10"/>
      <name val="Calibri"/>
      <family val="2"/>
    </font>
    <font>
      <sz val="10"/>
      <color theme="1"/>
      <name val="Inter"/>
      <family val="2"/>
    </font>
    <font>
      <sz val="11"/>
      <color theme="1"/>
      <name val="Calibri"/>
      <family val="2"/>
      <scheme val="minor"/>
    </font>
    <font>
      <sz val="10"/>
      <color indexed="9"/>
      <name val="Verdana"/>
      <family val="2"/>
    </font>
    <font>
      <sz val="8"/>
      <name val="Verdana"/>
      <family val="2"/>
    </font>
    <font>
      <sz val="10"/>
      <name val="Arial"/>
      <family val="2"/>
    </font>
    <font>
      <sz val="9"/>
      <color indexed="81"/>
      <name val="Tahoma"/>
      <family val="2"/>
    </font>
    <font>
      <u/>
      <sz val="8"/>
      <color indexed="12"/>
      <name val="Verdana"/>
      <family val="2"/>
    </font>
    <font>
      <sz val="11"/>
      <color theme="1"/>
      <name val="Calibri"/>
      <family val="2"/>
      <scheme val="minor"/>
    </font>
    <font>
      <sz val="11"/>
      <color theme="0"/>
      <name val="Calibri"/>
      <family val="2"/>
      <scheme val="minor"/>
    </font>
    <font>
      <b/>
      <sz val="11"/>
      <color theme="0"/>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sz val="10"/>
      <color theme="0"/>
      <name val="Calibri"/>
      <family val="2"/>
      <scheme val="minor"/>
    </font>
    <font>
      <b/>
      <sz val="10"/>
      <color theme="0"/>
      <name val="Calibri"/>
      <family val="2"/>
      <scheme val="minor"/>
    </font>
    <font>
      <sz val="10"/>
      <name val="Calibri"/>
      <family val="2"/>
      <scheme val="minor"/>
    </font>
    <font>
      <sz val="8"/>
      <name val="Calibri"/>
      <family val="2"/>
      <scheme val="minor"/>
    </font>
    <font>
      <sz val="8"/>
      <color theme="0"/>
      <name val="Calibri"/>
      <family val="2"/>
      <scheme val="minor"/>
    </font>
    <font>
      <b/>
      <sz val="10"/>
      <name val="Calibri"/>
      <family val="2"/>
      <scheme val="minor"/>
    </font>
    <font>
      <sz val="10"/>
      <color indexed="9"/>
      <name val="Calibri"/>
      <family val="2"/>
      <scheme val="minor"/>
    </font>
    <font>
      <sz val="10"/>
      <color indexed="8"/>
      <name val="Calibri"/>
      <family val="2"/>
      <scheme val="minor"/>
    </font>
    <font>
      <sz val="10"/>
      <color rgb="FF275937"/>
      <name val="Calibri"/>
      <family val="2"/>
      <scheme val="minor"/>
    </font>
    <font>
      <sz val="10"/>
      <color rgb="FF0070C0"/>
      <name val="Calibri"/>
      <family val="2"/>
      <scheme val="minor"/>
    </font>
    <font>
      <b/>
      <sz val="10"/>
      <color rgb="FF275937"/>
      <name val="Calibri"/>
      <family val="2"/>
      <scheme val="minor"/>
    </font>
    <font>
      <sz val="8"/>
      <color rgb="FFFF0000"/>
      <name val="Calibri"/>
      <family val="2"/>
      <scheme val="minor"/>
    </font>
    <font>
      <sz val="10"/>
      <color rgb="FFFF0000"/>
      <name val="Calibri"/>
      <family val="2"/>
      <scheme val="minor"/>
    </font>
    <font>
      <b/>
      <sz val="10"/>
      <color rgb="FFFF0000"/>
      <name val="Calibri"/>
      <family val="2"/>
      <scheme val="minor"/>
    </font>
    <font>
      <i/>
      <sz val="10"/>
      <color indexed="25"/>
      <name val="Calibri"/>
      <family val="2"/>
      <scheme val="minor"/>
    </font>
    <font>
      <i/>
      <sz val="10"/>
      <name val="Calibri"/>
      <family val="2"/>
      <scheme val="minor"/>
    </font>
    <font>
      <sz val="10"/>
      <color indexed="10"/>
      <name val="Calibri"/>
      <family val="2"/>
      <scheme val="minor"/>
    </font>
    <font>
      <sz val="10"/>
      <color theme="0" tint="-0.499984740745262"/>
      <name val="Calibri"/>
      <family val="2"/>
      <scheme val="minor"/>
    </font>
    <font>
      <i/>
      <sz val="10"/>
      <color rgb="FFFF0000"/>
      <name val="Calibri"/>
      <family val="2"/>
      <scheme val="minor"/>
    </font>
    <font>
      <sz val="11"/>
      <name val="Wingdings 2"/>
      <family val="1"/>
      <charset val="2"/>
    </font>
    <font>
      <sz val="10"/>
      <color rgb="FF39870C"/>
      <name val="Calibri"/>
      <family val="2"/>
      <scheme val="minor"/>
    </font>
    <font>
      <sz val="11"/>
      <color theme="0" tint="-0.34998626667073579"/>
      <name val="Wingdings 2"/>
      <family val="1"/>
      <charset val="2"/>
    </font>
    <font>
      <i/>
      <sz val="11"/>
      <color theme="0" tint="-0.34998626667073579"/>
      <name val="Wingdings 2"/>
      <family val="1"/>
      <charset val="2"/>
    </font>
    <font>
      <b/>
      <sz val="12"/>
      <color indexed="9"/>
      <name val="Calibri"/>
      <family val="2"/>
      <scheme val="minor"/>
    </font>
    <font>
      <sz val="18"/>
      <color indexed="24"/>
      <name val="Calibri"/>
      <family val="2"/>
      <scheme val="minor"/>
    </font>
    <font>
      <sz val="12"/>
      <name val="Calibri"/>
      <family val="2"/>
      <scheme val="minor"/>
    </font>
    <font>
      <sz val="12"/>
      <color indexed="9"/>
      <name val="Calibri"/>
      <family val="2"/>
      <scheme val="minor"/>
    </font>
    <font>
      <sz val="12"/>
      <color indexed="8"/>
      <name val="Calibri"/>
      <family val="2"/>
      <scheme val="minor"/>
    </font>
    <font>
      <sz val="12"/>
      <color indexed="25"/>
      <name val="Calibri"/>
      <family val="2"/>
      <scheme val="minor"/>
    </font>
    <font>
      <sz val="200"/>
      <name val="Calibri"/>
      <family val="2"/>
      <scheme val="minor"/>
    </font>
    <font>
      <i/>
      <sz val="12"/>
      <color indexed="24"/>
      <name val="Calibri"/>
      <family val="2"/>
      <scheme val="minor"/>
    </font>
    <font>
      <b/>
      <sz val="18"/>
      <color rgb="FF275937"/>
      <name val="Calibri"/>
      <family val="2"/>
    </font>
    <font>
      <sz val="11"/>
      <name val="Verdana"/>
      <family val="2"/>
    </font>
    <font>
      <b/>
      <sz val="16"/>
      <color rgb="FF275937"/>
      <name val="Calibri"/>
      <family val="2"/>
      <scheme val="minor"/>
    </font>
    <font>
      <b/>
      <sz val="16"/>
      <color theme="3"/>
      <name val="Calibri"/>
      <family val="2"/>
      <scheme val="minor"/>
    </font>
    <font>
      <u/>
      <sz val="8"/>
      <color theme="11"/>
      <name val="Verdana"/>
      <family val="2"/>
    </font>
    <font>
      <sz val="20"/>
      <color rgb="FFFF0000"/>
      <name val="Calibri"/>
      <family val="2"/>
      <scheme val="minor"/>
    </font>
    <font>
      <sz val="11"/>
      <name val="Calibri"/>
      <family val="2"/>
      <scheme val="minor"/>
    </font>
    <font>
      <sz val="10"/>
      <color rgb="FFFA7D00"/>
      <name val="Calibri"/>
      <family val="2"/>
      <scheme val="minor"/>
    </font>
    <font>
      <b/>
      <sz val="10"/>
      <color rgb="FF0070C0"/>
      <name val="Calibri"/>
      <family val="2"/>
      <scheme val="minor"/>
    </font>
    <font>
      <sz val="10"/>
      <color theme="0"/>
      <name val="Verdana"/>
      <family val="2"/>
    </font>
    <font>
      <b/>
      <sz val="8"/>
      <color rgb="FFC00000"/>
      <name val="Verdana"/>
      <family val="2"/>
    </font>
    <font>
      <sz val="10"/>
      <name val="Calibri Light"/>
      <family val="2"/>
    </font>
    <font>
      <b/>
      <sz val="10"/>
      <color rgb="FFFF0000"/>
      <name val="Calibri Light"/>
      <family val="2"/>
    </font>
    <font>
      <b/>
      <sz val="16"/>
      <color rgb="FFFF0000"/>
      <name val="Calibri Light"/>
      <family val="2"/>
    </font>
    <font>
      <sz val="8"/>
      <name val="Calibri Light"/>
      <family val="2"/>
    </font>
    <font>
      <sz val="10"/>
      <color indexed="8"/>
      <name val="Calibri Light"/>
      <family val="2"/>
    </font>
    <font>
      <sz val="10"/>
      <color rgb="FFFF0000"/>
      <name val="Calibri Light"/>
      <family val="2"/>
    </font>
    <font>
      <sz val="10"/>
      <color indexed="9"/>
      <name val="Calibri Light"/>
      <family val="2"/>
    </font>
    <font>
      <b/>
      <sz val="10"/>
      <color theme="0"/>
      <name val="Calibri Light"/>
      <family val="2"/>
    </font>
    <font>
      <sz val="10"/>
      <color theme="0"/>
      <name val="Calibri Light"/>
      <family val="2"/>
    </font>
    <font>
      <sz val="10"/>
      <color theme="1"/>
      <name val="Calibri Light"/>
      <family val="2"/>
    </font>
    <font>
      <sz val="10"/>
      <color rgb="FF275937"/>
      <name val="Calibri Light"/>
      <family val="2"/>
    </font>
    <font>
      <b/>
      <sz val="10"/>
      <color rgb="FF275937"/>
      <name val="Calibri Light"/>
      <family val="2"/>
    </font>
    <font>
      <sz val="10"/>
      <color theme="0" tint="-0.34998626667073579"/>
      <name val="Calibri Light"/>
      <family val="2"/>
    </font>
    <font>
      <sz val="10"/>
      <color theme="0" tint="-0.249977111117893"/>
      <name val="Calibri Light"/>
      <family val="2"/>
    </font>
    <font>
      <i/>
      <sz val="10"/>
      <name val="Calibri Light"/>
      <family val="2"/>
    </font>
    <font>
      <b/>
      <sz val="10"/>
      <color theme="3"/>
      <name val="Calibri Light"/>
      <family val="2"/>
    </font>
    <font>
      <sz val="10"/>
      <color theme="3"/>
      <name val="Calibri Light"/>
      <family val="2"/>
    </font>
    <font>
      <sz val="10"/>
      <color rgb="FF00B050"/>
      <name val="Calibri Light"/>
      <family val="2"/>
    </font>
    <font>
      <sz val="10"/>
      <color rgb="FF0070C0"/>
      <name val="Calibri Light"/>
      <family val="2"/>
    </font>
    <font>
      <sz val="10"/>
      <color indexed="10"/>
      <name val="Calibri Light"/>
      <family val="2"/>
    </font>
    <font>
      <sz val="10"/>
      <color theme="3" tint="0.39997558519241921"/>
      <name val="Calibri Light"/>
      <family val="2"/>
    </font>
    <font>
      <sz val="14"/>
      <name val="Calibri"/>
      <family val="2"/>
      <scheme val="minor"/>
    </font>
    <font>
      <sz val="14"/>
      <color rgb="FF275937"/>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5700"/>
      <name val="Calibri"/>
      <family val="2"/>
      <scheme val="minor"/>
    </font>
    <font>
      <sz val="11"/>
      <color rgb="FFFA7D00"/>
      <name val="Calibri"/>
      <family val="2"/>
      <scheme val="minor"/>
    </font>
    <font>
      <b/>
      <sz val="10"/>
      <color theme="3"/>
      <name val="Calibri"/>
      <family val="2"/>
      <scheme val="minor"/>
    </font>
    <font>
      <b/>
      <sz val="16"/>
      <color theme="3"/>
      <name val="Calibri"/>
      <family val="2"/>
    </font>
    <font>
      <sz val="16"/>
      <color theme="3"/>
      <name val="Calibri"/>
      <family val="2"/>
      <scheme val="minor"/>
    </font>
    <font>
      <sz val="11"/>
      <name val="Calibri"/>
      <family val="2"/>
    </font>
    <font>
      <vertAlign val="subscript"/>
      <sz val="10"/>
      <color rgb="FF000000"/>
      <name val="Calibri Light"/>
      <family val="2"/>
    </font>
    <font>
      <sz val="16"/>
      <color rgb="FF275937"/>
      <name val="Calibri"/>
      <family val="2"/>
      <scheme val="minor"/>
    </font>
    <font>
      <b/>
      <sz val="10"/>
      <color theme="3"/>
      <name val="Calibri"/>
      <family val="2"/>
    </font>
    <font>
      <b/>
      <sz val="10"/>
      <color rgb="FF275937"/>
      <name val="Calibri"/>
      <family val="2"/>
    </font>
    <font>
      <b/>
      <vertAlign val="subscript"/>
      <sz val="16"/>
      <color theme="3"/>
      <name val="Calibri"/>
      <family val="2"/>
      <scheme val="minor"/>
    </font>
    <font>
      <u/>
      <sz val="10"/>
      <color theme="10"/>
      <name val="Calibri Light"/>
      <family val="2"/>
    </font>
    <font>
      <sz val="10"/>
      <color rgb="FF00B050"/>
      <name val="Calibri"/>
      <family val="2"/>
      <scheme val="minor"/>
    </font>
    <font>
      <sz val="10"/>
      <color theme="0" tint="-0.499984740745262"/>
      <name val="Wingdings 2"/>
      <family val="1"/>
      <charset val="2"/>
    </font>
    <font>
      <sz val="10"/>
      <color rgb="FFFF0000"/>
      <name val="Verdana"/>
      <family val="2"/>
    </font>
    <font>
      <sz val="10"/>
      <color indexed="8"/>
      <name val="Calibri"/>
      <family val="2"/>
    </font>
    <font>
      <sz val="10"/>
      <name val="Calibri"/>
      <family val="2"/>
    </font>
    <font>
      <sz val="9"/>
      <color theme="9" tint="-0.24994659260841701"/>
      <name val="Calibri Light"/>
      <family val="2"/>
    </font>
    <font>
      <sz val="10"/>
      <color theme="9" tint="-0.24994659260841701"/>
      <name val="Calibri Light"/>
      <family val="2"/>
    </font>
    <font>
      <sz val="10"/>
      <color theme="9" tint="-0.24994659260841701"/>
      <name val="Calibri"/>
      <family val="2"/>
    </font>
    <font>
      <sz val="9"/>
      <color indexed="8"/>
      <name val="Calibri Light"/>
      <family val="2"/>
    </font>
    <font>
      <sz val="10"/>
      <color indexed="9"/>
      <name val="Calibri"/>
      <family val="2"/>
    </font>
    <font>
      <sz val="12"/>
      <color theme="9"/>
      <name val="Calibri"/>
      <family val="2"/>
    </font>
    <font>
      <sz val="1"/>
      <color theme="9"/>
      <name val="Calibri"/>
      <family val="2"/>
    </font>
    <font>
      <b/>
      <sz val="18"/>
      <color theme="3"/>
      <name val="Calibri"/>
      <family val="2"/>
    </font>
    <font>
      <sz val="9"/>
      <color theme="3"/>
      <name val="Calibri"/>
      <family val="2"/>
    </font>
    <font>
      <sz val="14"/>
      <color theme="0" tint="-0.34998626667073579"/>
      <name val="Calibri"/>
      <family val="2"/>
    </font>
    <font>
      <sz val="16"/>
      <color theme="0" tint="-0.34998626667073579"/>
      <name val="Calibri"/>
      <family val="2"/>
    </font>
    <font>
      <sz val="7"/>
      <color theme="0" tint="-0.24994659260841701"/>
      <name val="Calibri Light"/>
      <family val="2"/>
    </font>
    <font>
      <sz val="16"/>
      <name val="Wingdings 2"/>
      <family val="1"/>
      <charset val="2"/>
    </font>
    <font>
      <sz val="9"/>
      <color theme="1"/>
      <name val="Calibri"/>
      <family val="2"/>
    </font>
    <font>
      <sz val="12"/>
      <color theme="1"/>
      <name val="Calibri"/>
      <family val="2"/>
    </font>
    <font>
      <sz val="1"/>
      <color theme="0"/>
      <name val="Calibri"/>
      <family val="2"/>
    </font>
    <font>
      <sz val="9"/>
      <color rgb="FF275937"/>
      <name val="Calibri"/>
      <family val="2"/>
    </font>
    <font>
      <sz val="10"/>
      <color rgb="FF275937"/>
      <name val="Calibri"/>
      <family val="2"/>
    </font>
    <font>
      <sz val="10"/>
      <color theme="3"/>
      <name val="Calibri"/>
      <family val="2"/>
    </font>
    <font>
      <sz val="10"/>
      <color rgb="FFFF0000"/>
      <name val="Calibri"/>
      <family val="2"/>
    </font>
    <font>
      <b/>
      <sz val="12"/>
      <color rgb="FF000000"/>
      <name val="Calibri"/>
      <family val="2"/>
      <scheme val="minor"/>
    </font>
    <font>
      <b/>
      <sz val="10"/>
      <color theme="1"/>
      <name val="Calibri Light"/>
      <family val="2"/>
    </font>
    <font>
      <i/>
      <sz val="12"/>
      <color rgb="FF000000"/>
      <name val="Calibri"/>
      <family val="2"/>
      <scheme val="minor"/>
    </font>
    <font>
      <sz val="12"/>
      <color rgb="FF000000"/>
      <name val="Calibri"/>
      <family val="2"/>
      <scheme val="minor"/>
    </font>
    <font>
      <sz val="10"/>
      <color theme="0"/>
      <name val="Calibri"/>
      <family val="2"/>
    </font>
    <font>
      <sz val="12"/>
      <name val="Calibri Light"/>
      <family val="2"/>
    </font>
    <font>
      <sz val="11"/>
      <color theme="0" tint="-0.499984740745262"/>
      <name val="Wingdings 2"/>
      <family val="1"/>
      <charset val="2"/>
    </font>
    <font>
      <sz val="1"/>
      <color theme="0" tint="-0.499984740745262"/>
      <name val="Wingdings 2"/>
      <family val="1"/>
      <charset val="2"/>
    </font>
    <font>
      <sz val="10"/>
      <color rgb="FF00B050"/>
      <name val="Calibri"/>
      <family val="2"/>
    </font>
    <font>
      <u/>
      <sz val="10"/>
      <color theme="9" tint="-0.24994659260841701"/>
      <name val="Calibri"/>
      <family val="2"/>
    </font>
    <font>
      <b/>
      <sz val="10"/>
      <color theme="9" tint="-0.24994659260841701"/>
      <name val="Calibri"/>
      <family val="2"/>
    </font>
    <font>
      <u/>
      <sz val="10"/>
      <color rgb="FF0070C0"/>
      <name val="Calibri"/>
      <family val="2"/>
    </font>
    <font>
      <sz val="10"/>
      <color rgb="FF000000"/>
      <name val="Calibri"/>
      <family val="2"/>
    </font>
    <font>
      <sz val="10"/>
      <color theme="0" tint="-0.14999847407452621"/>
      <name val="Calibri"/>
      <family val="2"/>
    </font>
    <font>
      <i/>
      <sz val="10"/>
      <color indexed="8"/>
      <name val="Calibri"/>
      <family val="2"/>
    </font>
    <font>
      <b/>
      <sz val="10"/>
      <color indexed="8"/>
      <name val="Calibri"/>
      <family val="2"/>
    </font>
    <font>
      <sz val="16"/>
      <color theme="0" tint="-0.499984740745262"/>
      <name val="Calibri"/>
      <family val="2"/>
    </font>
    <font>
      <sz val="10"/>
      <color theme="0" tint="-0.499984740745262"/>
      <name val="Calibri"/>
      <family val="2"/>
    </font>
    <font>
      <sz val="10"/>
      <color theme="0" tint="-0.499984740745262"/>
      <name val="Calibri Light"/>
      <family val="2"/>
    </font>
    <font>
      <sz val="14"/>
      <name val="Calibri"/>
      <family val="2"/>
    </font>
    <font>
      <sz val="1"/>
      <color indexed="9"/>
      <name val="Calibri"/>
      <family val="2"/>
    </font>
    <font>
      <sz val="1"/>
      <name val="Calibri"/>
      <family val="2"/>
    </font>
    <font>
      <sz val="10"/>
      <color theme="1"/>
      <name val="Calibri"/>
      <family val="2"/>
    </font>
    <font>
      <i/>
      <sz val="10"/>
      <color theme="3"/>
      <name val="Calibri"/>
      <family val="2"/>
      <scheme val="minor"/>
    </font>
    <font>
      <sz val="11"/>
      <color theme="0" tint="-0.499984740745262"/>
      <name val="Calibri"/>
      <family val="2"/>
    </font>
    <font>
      <sz val="11"/>
      <color theme="9"/>
      <name val="Calibri"/>
      <family val="2"/>
    </font>
    <font>
      <sz val="11"/>
      <color indexed="23"/>
      <name val="Wingdings 2"/>
      <family val="1"/>
      <charset val="2"/>
    </font>
    <font>
      <sz val="11"/>
      <color theme="0" tint="-0.34998626667073579"/>
      <name val="Calibri"/>
      <family val="2"/>
    </font>
    <font>
      <sz val="11"/>
      <color indexed="9"/>
      <name val="Calibri"/>
      <family val="2"/>
    </font>
    <font>
      <i/>
      <sz val="10"/>
      <color rgb="FF000000"/>
      <name val="Calibri"/>
      <family val="2"/>
    </font>
    <font>
      <b/>
      <sz val="12"/>
      <color theme="3"/>
      <name val="Calibri"/>
      <family val="2"/>
      <scheme val="minor"/>
    </font>
    <font>
      <b/>
      <sz val="12"/>
      <color theme="3"/>
      <name val="Calibri"/>
      <family val="2"/>
    </font>
    <font>
      <sz val="10"/>
      <color theme="1" tint="0.34998626667073579"/>
      <name val="Calibri"/>
      <family val="2"/>
      <scheme val="minor"/>
    </font>
    <font>
      <sz val="10"/>
      <color theme="3"/>
      <name val="Calibri"/>
      <family val="2"/>
      <scheme val="minor"/>
    </font>
    <font>
      <sz val="10"/>
      <color theme="9"/>
      <name val="Calibri"/>
      <family val="2"/>
    </font>
    <font>
      <i/>
      <sz val="10"/>
      <color theme="0" tint="-0.499984740745262"/>
      <name val="Calibri"/>
      <family val="2"/>
    </font>
    <font>
      <i/>
      <u/>
      <sz val="10"/>
      <color theme="10"/>
      <name val="Calibri"/>
      <family val="2"/>
    </font>
    <font>
      <sz val="10"/>
      <color theme="0" tint="-0.249977111117893"/>
      <name val="Calibri"/>
      <family val="2"/>
    </font>
    <font>
      <sz val="10"/>
      <color theme="0" tint="-4.9989318521683403E-2"/>
      <name val="Calibri"/>
      <family val="2"/>
    </font>
    <font>
      <sz val="9"/>
      <color theme="0" tint="-0.499984740745262"/>
      <name val="Calibri"/>
      <family val="2"/>
    </font>
    <font>
      <sz val="1"/>
      <name val="Calibri"/>
      <family val="2"/>
      <scheme val="minor"/>
    </font>
    <font>
      <sz val="1"/>
      <name val="Wingdings 2"/>
      <family val="1"/>
      <charset val="2"/>
    </font>
    <font>
      <sz val="16"/>
      <color theme="0" tint="-0.14999847407452621"/>
      <name val="Calibri"/>
      <family val="2"/>
    </font>
    <font>
      <sz val="12"/>
      <color theme="0" tint="-0.14999847407452621"/>
      <name val="Calibri"/>
      <family val="2"/>
    </font>
    <font>
      <sz val="1"/>
      <color theme="0" tint="-0.14999847407452621"/>
      <name val="Calibri"/>
      <family val="2"/>
    </font>
    <font>
      <sz val="12"/>
      <color theme="0" tint="-0.499984740745262"/>
      <name val="Wingdings 2"/>
      <family val="1"/>
      <charset val="2"/>
    </font>
    <font>
      <sz val="12"/>
      <color theme="3"/>
      <name val="Calibri"/>
      <family val="2"/>
    </font>
    <font>
      <b/>
      <sz val="1"/>
      <color rgb="FFFF0000"/>
      <name val="Calibri"/>
      <family val="2"/>
      <scheme val="minor"/>
    </font>
    <font>
      <vertAlign val="subscript"/>
      <sz val="10"/>
      <name val="Calibri"/>
      <family val="2"/>
    </font>
    <font>
      <vertAlign val="subscript"/>
      <sz val="10"/>
      <name val="Calibri"/>
      <family val="2"/>
      <scheme val="minor"/>
    </font>
    <font>
      <b/>
      <i/>
      <sz val="10"/>
      <name val="Calibri"/>
      <family val="2"/>
    </font>
    <font>
      <b/>
      <sz val="10"/>
      <name val="Calibri"/>
      <family val="2"/>
    </font>
    <font>
      <sz val="10"/>
      <color rgb="FF0070C0"/>
      <name val="Calibri"/>
      <family val="2"/>
    </font>
    <font>
      <sz val="10"/>
      <color theme="0" tint="-0.34998626667073579"/>
      <name val="Calibri"/>
      <family val="2"/>
    </font>
    <font>
      <b/>
      <sz val="10"/>
      <color theme="4"/>
      <name val="Calibri"/>
      <family val="2"/>
    </font>
    <font>
      <sz val="10"/>
      <color theme="5"/>
      <name val="Calibri"/>
      <family val="2"/>
    </font>
    <font>
      <i/>
      <sz val="10"/>
      <color theme="0" tint="-0.249977111117893"/>
      <name val="Calibri"/>
      <family val="2"/>
      <scheme val="minor"/>
    </font>
    <font>
      <i/>
      <sz val="10"/>
      <color theme="0" tint="-0.249977111117893"/>
      <name val="Calibri Light"/>
      <family val="2"/>
    </font>
    <font>
      <i/>
      <sz val="10"/>
      <color theme="0" tint="-0.249977111117893"/>
      <name val="Calibri"/>
      <family val="2"/>
    </font>
    <font>
      <b/>
      <sz val="8"/>
      <color theme="0" tint="-0.249977111117893"/>
      <name val="Calibri"/>
      <family val="2"/>
    </font>
    <font>
      <sz val="16"/>
      <color theme="6"/>
      <name val="Calibri"/>
      <family val="2"/>
    </font>
    <font>
      <sz val="10"/>
      <color theme="6"/>
      <name val="Verdana"/>
      <family val="2"/>
    </font>
    <font>
      <b/>
      <sz val="10"/>
      <color theme="6"/>
      <name val="Calibri"/>
      <family val="2"/>
      <scheme val="minor"/>
    </font>
    <font>
      <sz val="1"/>
      <color theme="6"/>
      <name val="Calibri"/>
      <family val="2"/>
    </font>
    <font>
      <sz val="16"/>
      <color theme="0"/>
      <name val="Calibri"/>
      <family val="2"/>
    </font>
    <font>
      <sz val="9"/>
      <name val="Calibri"/>
      <family val="2"/>
    </font>
    <font>
      <u/>
      <sz val="10"/>
      <color theme="3"/>
      <name val="Calibri Light"/>
      <family val="2"/>
    </font>
  </fonts>
  <fills count="57">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F7FB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4"/>
        <bgColor indexed="64"/>
      </patternFill>
    </fill>
    <fill>
      <patternFill patternType="solid">
        <fgColor theme="0" tint="-0.14996795556505021"/>
        <bgColor indexed="64"/>
      </patternFill>
    </fill>
    <fill>
      <patternFill patternType="solid">
        <fgColor theme="3"/>
        <bgColor indexed="64"/>
      </patternFill>
    </fill>
    <fill>
      <patternFill patternType="solid">
        <fgColor rgb="FFF2F2F2"/>
      </patternFill>
    </fill>
    <fill>
      <patternFill patternType="solid">
        <fgColor rgb="FFFF0000"/>
        <bgColor indexed="64"/>
      </patternFill>
    </fill>
    <fill>
      <patternFill patternType="solid">
        <fgColor theme="4" tint="0.79998168889431442"/>
        <bgColor indexed="64"/>
      </patternFill>
    </fill>
    <fill>
      <patternFill patternType="solid">
        <fgColor theme="7"/>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CBD9EB"/>
        <bgColor indexed="64"/>
      </patternFill>
    </fill>
    <fill>
      <patternFill patternType="solid">
        <fgColor theme="6" tint="0.79998168889431442"/>
        <bgColor indexed="64"/>
      </patternFill>
    </fill>
    <fill>
      <patternFill patternType="solid">
        <fgColor rgb="FFDDE8C6"/>
        <bgColor indexed="64"/>
      </patternFill>
    </fill>
    <fill>
      <patternFill patternType="solid">
        <fgColor rgb="FFF7F7F7"/>
        <bgColor indexed="64"/>
      </patternFill>
    </fill>
    <fill>
      <patternFill patternType="solid">
        <fgColor theme="3" tint="0.39994506668294322"/>
        <bgColor indexed="64"/>
      </patternFill>
    </fill>
    <fill>
      <patternFill patternType="solid">
        <fgColor rgb="FF00823B"/>
        <bgColor indexed="64"/>
      </patternFill>
    </fill>
    <fill>
      <patternFill patternType="solid">
        <fgColor rgb="FFFFFF9B"/>
        <bgColor indexed="64"/>
      </patternFill>
    </fill>
    <fill>
      <patternFill patternType="solid">
        <fgColor rgb="FFFFFFFF"/>
        <bgColor indexed="64"/>
      </patternFill>
    </fill>
    <fill>
      <patternFill patternType="solid">
        <fgColor rgb="FF026A68"/>
        <bgColor indexed="64"/>
      </patternFill>
    </fill>
    <fill>
      <patternFill patternType="solid">
        <fgColor rgb="FFFFFFC8"/>
        <bgColor indexed="64"/>
      </patternFill>
    </fill>
    <fill>
      <patternFill patternType="solid">
        <fgColor theme="8" tint="0.79998168889431442"/>
        <bgColor indexed="64"/>
      </patternFill>
    </fill>
  </fills>
  <borders count="71">
    <border>
      <left/>
      <right/>
      <top/>
      <bottom/>
      <diagonal/>
    </border>
    <border>
      <left/>
      <right/>
      <top style="thin">
        <color indexed="24"/>
      </top>
      <bottom style="thin">
        <color indexed="24"/>
      </bottom>
      <diagonal/>
    </border>
    <border>
      <left/>
      <right/>
      <top style="thin">
        <color indexed="29"/>
      </top>
      <bottom style="thin">
        <color indexed="2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2" tint="-9.9948118533890809E-2"/>
      </top>
      <bottom style="thin">
        <color theme="2" tint="-9.9948118533890809E-2"/>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thin">
        <color theme="0" tint="-0.14996795556505021"/>
      </bottom>
      <diagonal/>
    </border>
    <border>
      <left style="thin">
        <color theme="0"/>
      </left>
      <right/>
      <top/>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theme="0" tint="-0.14990691854609822"/>
      </top>
      <bottom style="thin">
        <color theme="0" tint="-0.14990691854609822"/>
      </bottom>
      <diagonal/>
    </border>
    <border>
      <left/>
      <right/>
      <top style="thin">
        <color theme="0" tint="-0.14993743705557422"/>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0.24994659260841701"/>
      </bottom>
      <diagonal/>
    </border>
    <border>
      <left/>
      <right/>
      <top style="thin">
        <color theme="0" tint="-0.34998626667073579"/>
      </top>
      <bottom/>
      <diagonal/>
    </border>
    <border>
      <left style="thin">
        <color theme="0" tint="-0.34998626667073579"/>
      </left>
      <right/>
      <top style="thin">
        <color theme="0" tint="-0.34998626667073579"/>
      </top>
      <bottom style="thin">
        <color theme="0" tint="-0.1499679555650502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theme="0" tint="-0.24994659260841701"/>
      </right>
      <top style="thin">
        <color theme="0" tint="-0.14996795556505021"/>
      </top>
      <bottom style="thin">
        <color theme="0" tint="-0.24994659260841701"/>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3"/>
      </left>
      <right/>
      <top style="thin">
        <color theme="3"/>
      </top>
      <bottom style="thin">
        <color theme="0" tint="-0.14996795556505021"/>
      </bottom>
      <diagonal/>
    </border>
    <border>
      <left/>
      <right/>
      <top style="thin">
        <color theme="3"/>
      </top>
      <bottom style="thin">
        <color theme="0" tint="-0.14996795556505021"/>
      </bottom>
      <diagonal/>
    </border>
    <border>
      <left/>
      <right style="thin">
        <color theme="3"/>
      </right>
      <top style="thin">
        <color theme="3"/>
      </top>
      <bottom style="thin">
        <color theme="0" tint="-0.14996795556505021"/>
      </bottom>
      <diagonal/>
    </border>
    <border>
      <left style="thin">
        <color theme="3"/>
      </left>
      <right/>
      <top style="thin">
        <color theme="0" tint="-0.14996795556505021"/>
      </top>
      <bottom style="thin">
        <color theme="0" tint="-0.14996795556505021"/>
      </bottom>
      <diagonal/>
    </border>
    <border>
      <left/>
      <right style="thin">
        <color theme="3"/>
      </right>
      <top style="thin">
        <color theme="0" tint="-0.14996795556505021"/>
      </top>
      <bottom style="thin">
        <color theme="0" tint="-0.14996795556505021"/>
      </bottom>
      <diagonal/>
    </border>
    <border>
      <left style="thin">
        <color theme="3"/>
      </left>
      <right/>
      <top style="thin">
        <color theme="0" tint="-0.14993743705557422"/>
      </top>
      <bottom style="thin">
        <color theme="0" tint="-0.14993743705557422"/>
      </bottom>
      <diagonal/>
    </border>
    <border>
      <left/>
      <right style="thin">
        <color theme="3"/>
      </right>
      <top style="thin">
        <color theme="0" tint="-0.14993743705557422"/>
      </top>
      <bottom style="thin">
        <color theme="0" tint="-0.14993743705557422"/>
      </bottom>
      <diagonal/>
    </border>
    <border>
      <left style="thin">
        <color theme="3"/>
      </left>
      <right/>
      <top style="thin">
        <color theme="0" tint="-0.14996795556505021"/>
      </top>
      <bottom style="thin">
        <color theme="3"/>
      </bottom>
      <diagonal/>
    </border>
    <border>
      <left/>
      <right/>
      <top style="thin">
        <color theme="0" tint="-0.14996795556505021"/>
      </top>
      <bottom style="thin">
        <color theme="3"/>
      </bottom>
      <diagonal/>
    </border>
    <border>
      <left/>
      <right style="thin">
        <color theme="3"/>
      </right>
      <top style="thin">
        <color theme="0" tint="-0.14996795556505021"/>
      </top>
      <bottom style="thin">
        <color theme="3"/>
      </bottom>
      <diagonal/>
    </border>
    <border>
      <left style="thin">
        <color theme="3"/>
      </left>
      <right/>
      <top style="thin">
        <color theme="0" tint="-0.14993743705557422"/>
      </top>
      <bottom style="thin">
        <color theme="0" tint="-0.14996795556505021"/>
      </bottom>
      <diagonal/>
    </border>
    <border>
      <left/>
      <right style="thin">
        <color theme="3"/>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3743705557422"/>
      </bottom>
      <diagonal/>
    </border>
    <border>
      <left/>
      <right/>
      <top style="thin">
        <color theme="0" tint="-0.14990691854609822"/>
      </top>
      <bottom style="thin">
        <color theme="0" tint="-0.14996795556505021"/>
      </bottom>
      <diagonal/>
    </border>
    <border>
      <left/>
      <right/>
      <top style="hair">
        <color theme="9" tint="-0.24994659260841701"/>
      </top>
      <bottom style="thin">
        <color theme="0" tint="-0.14993743705557422"/>
      </bottom>
      <diagonal/>
    </border>
    <border>
      <left/>
      <right style="hair">
        <color theme="9" tint="-0.24994659260841701"/>
      </right>
      <top style="hair">
        <color theme="9" tint="-0.24994659260841701"/>
      </top>
      <bottom style="thin">
        <color theme="0" tint="-0.14993743705557422"/>
      </bottom>
      <diagonal/>
    </border>
    <border>
      <left/>
      <right style="hair">
        <color theme="9" tint="-0.24994659260841701"/>
      </right>
      <top style="thin">
        <color theme="0" tint="-0.14993743705557422"/>
      </top>
      <bottom style="thin">
        <color theme="0" tint="-0.14993743705557422"/>
      </bottom>
      <diagonal/>
    </border>
    <border>
      <left/>
      <right/>
      <top style="thin">
        <color theme="0" tint="-0.14993743705557422"/>
      </top>
      <bottom style="hair">
        <color theme="9" tint="-0.24994659260841701"/>
      </bottom>
      <diagonal/>
    </border>
    <border>
      <left/>
      <right style="hair">
        <color theme="9" tint="-0.24994659260841701"/>
      </right>
      <top style="thin">
        <color theme="0" tint="-0.14993743705557422"/>
      </top>
      <bottom style="hair">
        <color theme="9" tint="-0.24994659260841701"/>
      </bottom>
      <diagonal/>
    </border>
    <border>
      <left style="hair">
        <color theme="9" tint="-0.24994659260841701"/>
      </left>
      <right style="hair">
        <color theme="9" tint="-0.24994659260841701"/>
      </right>
      <top style="hair">
        <color theme="9" tint="-0.24994659260841701"/>
      </top>
      <bottom style="thin">
        <color theme="0" tint="-0.14993743705557422"/>
      </bottom>
      <diagonal/>
    </border>
    <border>
      <left style="hair">
        <color theme="9" tint="-0.24994659260841701"/>
      </left>
      <right style="hair">
        <color theme="9" tint="-0.24994659260841701"/>
      </right>
      <top style="thin">
        <color theme="0" tint="-0.14993743705557422"/>
      </top>
      <bottom style="thin">
        <color theme="0" tint="-0.14993743705557422"/>
      </bottom>
      <diagonal/>
    </border>
    <border>
      <left style="hair">
        <color theme="9" tint="-0.24994659260841701"/>
      </left>
      <right style="hair">
        <color theme="9" tint="-0.24994659260841701"/>
      </right>
      <top style="thin">
        <color theme="0" tint="-0.14993743705557422"/>
      </top>
      <bottom style="hair">
        <color theme="9" tint="-0.24994659260841701"/>
      </bottom>
      <diagonal/>
    </border>
    <border>
      <left style="hair">
        <color theme="9" tint="-0.24994659260841701"/>
      </left>
      <right style="hair">
        <color theme="9" tint="-0.24994659260841701"/>
      </right>
      <top/>
      <bottom style="thin">
        <color theme="0" tint="-0.14993743705557422"/>
      </bottom>
      <diagonal/>
    </border>
    <border>
      <left/>
      <right style="hair">
        <color theme="9" tint="-0.24994659260841701"/>
      </right>
      <top/>
      <bottom style="thin">
        <color theme="0" tint="-0.14993743705557422"/>
      </bottom>
      <diagonal/>
    </border>
  </borders>
  <cellStyleXfs count="90">
    <xf numFmtId="0" fontId="0" fillId="11" borderId="0" applyNumberFormat="0" applyAlignment="0">
      <alignment vertical="top"/>
    </xf>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4" applyNumberFormat="0" applyAlignment="0" applyProtection="0"/>
    <xf numFmtId="0" fontId="7" fillId="2" borderId="0" applyNumberFormat="0" applyFont="0" applyFill="0" applyBorder="0" applyAlignment="0" applyProtection="0">
      <alignment vertical="top"/>
    </xf>
    <xf numFmtId="166" fontId="126" fillId="54" borderId="25" applyNumberFormat="0" applyAlignment="0">
      <alignment horizontal="right" vertical="top" wrapText="1"/>
      <protection locked="0"/>
    </xf>
    <xf numFmtId="0" fontId="23" fillId="3" borderId="1" applyNumberFormat="0" applyBorder="0" applyAlignment="0">
      <alignment vertical="top"/>
    </xf>
    <xf numFmtId="3" fontId="23" fillId="15" borderId="2" applyNumberFormat="0" applyBorder="0" applyAlignment="0">
      <alignment vertical="top"/>
    </xf>
    <xf numFmtId="0" fontId="3" fillId="3" borderId="0" applyNumberFormat="0">
      <alignment vertical="top"/>
    </xf>
    <xf numFmtId="0" fontId="104" fillId="8" borderId="0" applyNumberFormat="0" applyBorder="0" applyAlignment="0" applyProtection="0"/>
    <xf numFmtId="0" fontId="113" fillId="2" borderId="0" applyNumberFormat="0" applyFill="0" applyBorder="0" applyAlignment="0">
      <alignment horizontal="right" vertical="top"/>
    </xf>
    <xf numFmtId="9" fontId="5" fillId="0" borderId="0" applyFont="0" applyFill="0" applyBorder="0" applyAlignment="0" applyProtection="0"/>
    <xf numFmtId="3" fontId="106" fillId="11" borderId="0" applyNumberFormat="0" applyBorder="0" applyAlignment="0" applyProtection="0">
      <alignment horizontal="right" vertical="top"/>
    </xf>
    <xf numFmtId="3" fontId="100" fillId="12" borderId="7" applyNumberFormat="0" applyBorder="0" applyAlignment="0">
      <alignment vertical="top"/>
    </xf>
    <xf numFmtId="0" fontId="52" fillId="2" borderId="0" applyNumberFormat="0" applyFill="0" applyBorder="0" applyAlignment="0" applyProtection="0">
      <alignment vertical="top"/>
    </xf>
    <xf numFmtId="0" fontId="112" fillId="16" borderId="8" applyNumberFormat="0" applyAlignment="0">
      <alignment vertical="top"/>
    </xf>
    <xf numFmtId="0" fontId="109" fillId="11" borderId="0" applyNumberFormat="0" applyBorder="0" applyAlignment="0"/>
    <xf numFmtId="0" fontId="15" fillId="0" borderId="0" applyNumberFormat="0" applyFill="0" applyBorder="0" applyAlignment="0" applyProtection="0"/>
    <xf numFmtId="0" fontId="16" fillId="0" borderId="0" applyNumberFormat="0" applyFill="0" applyBorder="0" applyAlignment="0" applyProtection="0"/>
    <xf numFmtId="2" fontId="98" fillId="11" borderId="0" applyNumberFormat="0">
      <alignment horizontal="center" vertical="top"/>
      <protection hidden="1"/>
    </xf>
    <xf numFmtId="3" fontId="120" fillId="49" borderId="10" applyNumberFormat="0" applyBorder="0" applyAlignment="0">
      <alignment vertical="top"/>
    </xf>
    <xf numFmtId="3" fontId="88" fillId="2" borderId="0" applyNumberFormat="0" applyBorder="0">
      <alignment horizontal="right" vertical="center"/>
    </xf>
    <xf numFmtId="3" fontId="89" fillId="11" borderId="0" applyBorder="0">
      <alignment horizontal="left" vertical="center"/>
    </xf>
    <xf numFmtId="3" fontId="51" fillId="46" borderId="10">
      <alignment horizontal="left" vertical="center"/>
    </xf>
    <xf numFmtId="168" fontId="120" fillId="45" borderId="10" applyNumberFormat="0" applyBorder="0" applyAlignment="0">
      <alignment horizontal="right" vertical="center"/>
    </xf>
    <xf numFmtId="3" fontId="23" fillId="17" borderId="2" applyNumberFormat="0" applyBorder="0" applyAlignment="0">
      <alignment vertical="top"/>
    </xf>
    <xf numFmtId="0" fontId="93" fillId="11" borderId="0" applyNumberFormat="0" applyBorder="0" applyAlignment="0">
      <alignment vertical="center"/>
    </xf>
    <xf numFmtId="0" fontId="55" fillId="18" borderId="3" applyNumberFormat="0" applyBorder="0" applyAlignment="0" applyProtection="0"/>
    <xf numFmtId="166" fontId="126" fillId="14" borderId="10" applyNumberFormat="0" applyAlignment="0">
      <alignment horizontal="right" vertical="top" wrapText="1"/>
      <protection locked="0"/>
    </xf>
    <xf numFmtId="3" fontId="80" fillId="0" borderId="12" applyNumberFormat="0" applyFill="0" applyBorder="0" applyAlignment="0">
      <alignment horizontal="left" vertical="top"/>
    </xf>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0" fontId="82" fillId="0" borderId="18" applyNumberFormat="0" applyFill="0" applyAlignment="0" applyProtection="0"/>
    <xf numFmtId="0" fontId="83" fillId="0" borderId="19" applyNumberFormat="0" applyFill="0" applyAlignment="0" applyProtection="0"/>
    <xf numFmtId="0" fontId="84" fillId="0" borderId="20" applyNumberFormat="0" applyFill="0" applyAlignment="0" applyProtection="0"/>
    <xf numFmtId="0" fontId="84" fillId="0" borderId="0" applyNumberFormat="0" applyFill="0" applyBorder="0" applyAlignment="0" applyProtection="0"/>
    <xf numFmtId="0" fontId="11" fillId="22" borderId="0" applyNumberFormat="0" applyBorder="0" applyAlignment="0" applyProtection="0"/>
    <xf numFmtId="0" fontId="12" fillId="23" borderId="0" applyNumberFormat="0" applyBorder="0" applyAlignment="0" applyProtection="0"/>
    <xf numFmtId="0" fontId="85" fillId="8" borderId="0" applyNumberFormat="0" applyBorder="0" applyAlignment="0" applyProtection="0"/>
    <xf numFmtId="0" fontId="14" fillId="18" borderId="6" applyNumberFormat="0" applyAlignment="0" applyProtection="0"/>
    <xf numFmtId="0" fontId="86" fillId="0" borderId="21" applyNumberFormat="0" applyFill="0" applyAlignment="0" applyProtection="0"/>
    <xf numFmtId="0" fontId="4" fillId="9" borderId="5" applyNumberFormat="0" applyFont="0" applyAlignment="0" applyProtection="0"/>
    <xf numFmtId="0" fontId="13" fillId="0" borderId="22" applyNumberFormat="0" applyFill="0" applyAlignment="0" applyProtection="0"/>
    <xf numFmtId="0" fontId="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9"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9"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3" fontId="87" fillId="46" borderId="0" applyNumberFormat="0" applyBorder="0">
      <alignment horizontal="right" vertical="center"/>
    </xf>
    <xf numFmtId="3" fontId="120" fillId="20" borderId="0" applyBorder="0" applyAlignment="0">
      <alignment horizontal="right" vertical="center"/>
    </xf>
    <xf numFmtId="3" fontId="50" fillId="48" borderId="10">
      <alignment horizontal="left" vertical="center"/>
    </xf>
    <xf numFmtId="0" fontId="94" fillId="11" borderId="0" applyBorder="0" applyAlignment="0">
      <alignment vertical="center"/>
    </xf>
    <xf numFmtId="3" fontId="27" fillId="48" borderId="10">
      <alignment horizontal="right" vertical="center"/>
    </xf>
    <xf numFmtId="3" fontId="69" fillId="47" borderId="10" applyAlignment="0">
      <alignment horizontal="right" vertical="center"/>
    </xf>
    <xf numFmtId="166" fontId="126" fillId="50" borderId="0" applyNumberFormat="0" applyBorder="0" applyAlignment="0">
      <alignment horizontal="right" vertical="top" wrapText="1"/>
      <protection locked="0"/>
    </xf>
    <xf numFmtId="3" fontId="67" fillId="21" borderId="7" applyNumberFormat="0" applyBorder="0" applyAlignment="0">
      <alignment vertical="top"/>
    </xf>
    <xf numFmtId="3" fontId="104" fillId="12" borderId="12" applyNumberFormat="0" applyBorder="0" applyAlignment="0">
      <alignment vertical="top" wrapText="1"/>
    </xf>
    <xf numFmtId="0" fontId="96" fillId="11" borderId="0" applyNumberFormat="0" applyFill="0" applyBorder="0" applyAlignment="0" applyProtection="0">
      <alignment vertical="top"/>
    </xf>
    <xf numFmtId="2" fontId="98" fillId="12" borderId="0" applyNumberFormat="0" applyBorder="0" applyAlignment="0">
      <alignment horizontal="center" vertical="top"/>
      <protection hidden="1"/>
    </xf>
    <xf numFmtId="166" fontId="126" fillId="17" borderId="25" applyAlignment="0">
      <alignment horizontal="right" vertical="top" wrapText="1"/>
      <protection locked="0"/>
    </xf>
    <xf numFmtId="3" fontId="108" fillId="2" borderId="0" applyNumberFormat="0" applyFont="0" applyFill="0" applyBorder="0" applyAlignment="0" applyProtection="0">
      <alignment horizontal="right" vertical="top"/>
    </xf>
    <xf numFmtId="3" fontId="107" fillId="2" borderId="0" applyNumberFormat="0" applyFill="0" applyBorder="0" applyAlignment="0" applyProtection="0">
      <alignment horizontal="right" vertical="top"/>
    </xf>
    <xf numFmtId="0" fontId="48" fillId="11" borderId="0" applyBorder="0" applyAlignment="0"/>
    <xf numFmtId="0" fontId="111" fillId="16" borderId="8" applyAlignment="0">
      <alignment vertical="top"/>
    </xf>
    <xf numFmtId="3" fontId="100" fillId="12" borderId="10" applyAlignment="0">
      <alignment vertical="top"/>
    </xf>
    <xf numFmtId="0" fontId="157" fillId="12" borderId="0" applyNumberFormat="0" applyFont="0" applyBorder="0" applyAlignment="0"/>
    <xf numFmtId="0" fontId="1" fillId="0" borderId="0"/>
    <xf numFmtId="0" fontId="158" fillId="12" borderId="0" applyNumberFormat="0" applyFill="0" applyBorder="0" applyAlignment="0" applyProtection="0"/>
    <xf numFmtId="0" fontId="59" fillId="11" borderId="0" applyNumberFormat="0" applyAlignment="0">
      <alignment vertical="top"/>
    </xf>
    <xf numFmtId="3" fontId="63" fillId="12" borderId="7" applyNumberFormat="0" applyBorder="0" applyAlignment="0">
      <alignment vertical="top"/>
    </xf>
    <xf numFmtId="3" fontId="75" fillId="49" borderId="10" applyNumberFormat="0" applyBorder="0" applyAlignment="0">
      <alignment vertical="top"/>
    </xf>
  </cellStyleXfs>
  <cellXfs count="1149">
    <xf numFmtId="0" fontId="0" fillId="11" borderId="0" xfId="0">
      <alignment vertical="top"/>
    </xf>
    <xf numFmtId="0" fontId="0" fillId="11" borderId="0" xfId="0" applyAlignment="1">
      <alignment horizontal="right" vertical="center"/>
    </xf>
    <xf numFmtId="0" fontId="0" fillId="11" borderId="0" xfId="0" applyAlignment="1">
      <alignment vertical="center"/>
    </xf>
    <xf numFmtId="0" fontId="20" fillId="11" borderId="0" xfId="0" applyFont="1" applyAlignment="1">
      <alignment vertical="center"/>
    </xf>
    <xf numFmtId="0" fontId="19" fillId="11" borderId="0" xfId="0" applyFont="1" applyAlignment="1">
      <alignment vertical="center"/>
    </xf>
    <xf numFmtId="0" fontId="19" fillId="11" borderId="0" xfId="0" applyFont="1">
      <alignment vertical="top"/>
    </xf>
    <xf numFmtId="0" fontId="22" fillId="11" borderId="0" xfId="0" applyFont="1" applyAlignment="1">
      <alignment vertical="center"/>
    </xf>
    <xf numFmtId="0" fontId="28" fillId="11" borderId="0" xfId="0" applyFont="1" applyAlignment="1">
      <alignment vertical="center"/>
    </xf>
    <xf numFmtId="0" fontId="19" fillId="11" borderId="0" xfId="0" applyFont="1" applyAlignment="1">
      <alignment horizontal="left" vertical="center"/>
    </xf>
    <xf numFmtId="0" fontId="19" fillId="11" borderId="0" xfId="0" applyFont="1" applyAlignment="1">
      <alignment horizontal="right" vertical="center"/>
    </xf>
    <xf numFmtId="0" fontId="29" fillId="11" borderId="0" xfId="0" applyFont="1" applyAlignment="1">
      <alignment vertical="center"/>
    </xf>
    <xf numFmtId="3" fontId="19" fillId="11" borderId="0" xfId="0" applyNumberFormat="1" applyFont="1" applyAlignment="1">
      <alignment horizontal="right"/>
    </xf>
    <xf numFmtId="3" fontId="30" fillId="11" borderId="0" xfId="0" quotePrefix="1" applyNumberFormat="1" applyFont="1" applyAlignment="1">
      <alignment horizontal="left"/>
    </xf>
    <xf numFmtId="3" fontId="19" fillId="11" borderId="0" xfId="0" applyNumberFormat="1" applyFont="1" applyAlignment="1">
      <alignment vertical="center"/>
    </xf>
    <xf numFmtId="0" fontId="33" fillId="11" borderId="0" xfId="0" applyFont="1" applyAlignment="1">
      <alignment horizontal="right" vertical="center"/>
    </xf>
    <xf numFmtId="0" fontId="32" fillId="11" borderId="0" xfId="0" applyFont="1" applyAlignment="1">
      <alignment vertical="center"/>
    </xf>
    <xf numFmtId="0" fontId="19" fillId="11" borderId="0" xfId="0" applyFont="1" applyAlignment="1">
      <alignment horizontal="right" vertical="top"/>
    </xf>
    <xf numFmtId="4" fontId="19" fillId="11" borderId="0" xfId="0" applyNumberFormat="1" applyFont="1" applyAlignment="1">
      <alignment horizontal="right" vertical="top"/>
    </xf>
    <xf numFmtId="0" fontId="33" fillId="11" borderId="0" xfId="0" applyFont="1" applyAlignment="1">
      <alignment vertical="center"/>
    </xf>
    <xf numFmtId="0" fontId="23" fillId="11" borderId="0" xfId="13" applyNumberFormat="1" applyFont="1" applyAlignment="1">
      <alignment horizontal="left" vertical="top"/>
    </xf>
    <xf numFmtId="0" fontId="19" fillId="11" borderId="0" xfId="0" applyFont="1" applyAlignment="1">
      <alignment horizontal="left" vertical="top"/>
    </xf>
    <xf numFmtId="3" fontId="19" fillId="11" borderId="0" xfId="0" applyNumberFormat="1" applyFont="1" applyAlignment="1">
      <alignment horizontal="right" vertical="top"/>
    </xf>
    <xf numFmtId="0" fontId="29" fillId="11" borderId="0" xfId="0" applyFont="1" applyAlignment="1">
      <alignment horizontal="left" vertical="top"/>
    </xf>
    <xf numFmtId="173" fontId="19" fillId="11" borderId="0" xfId="0" applyNumberFormat="1" applyFont="1" applyAlignment="1">
      <alignment horizontal="right" vertical="top"/>
    </xf>
    <xf numFmtId="170" fontId="19" fillId="11" borderId="0" xfId="0" applyNumberFormat="1" applyFont="1" applyAlignment="1">
      <alignment horizontal="right" vertical="top"/>
    </xf>
    <xf numFmtId="170" fontId="19" fillId="11" borderId="0" xfId="0" applyNumberFormat="1" applyFont="1" applyAlignment="1">
      <alignment horizontal="left" vertical="top"/>
    </xf>
    <xf numFmtId="1" fontId="19" fillId="11" borderId="0" xfId="0" applyNumberFormat="1" applyFont="1" applyAlignment="1">
      <alignment horizontal="right" vertical="top"/>
    </xf>
    <xf numFmtId="170" fontId="19" fillId="11" borderId="0" xfId="0" applyNumberFormat="1" applyFont="1">
      <alignment vertical="top"/>
    </xf>
    <xf numFmtId="165" fontId="19" fillId="11" borderId="0" xfId="0" applyNumberFormat="1" applyFont="1" applyAlignment="1">
      <alignment horizontal="right" vertical="top"/>
    </xf>
    <xf numFmtId="171" fontId="33" fillId="11" borderId="0" xfId="0" applyNumberFormat="1" applyFont="1" applyAlignment="1">
      <alignment horizontal="left" vertical="top"/>
    </xf>
    <xf numFmtId="169" fontId="19" fillId="11" borderId="0" xfId="0" applyNumberFormat="1" applyFont="1">
      <alignment vertical="top"/>
    </xf>
    <xf numFmtId="169" fontId="19" fillId="11" borderId="0" xfId="0" applyNumberFormat="1" applyFont="1" applyAlignment="1">
      <alignment horizontal="right" vertical="top"/>
    </xf>
    <xf numFmtId="3" fontId="23" fillId="11" borderId="0" xfId="0" applyNumberFormat="1" applyFont="1" applyAlignment="1">
      <alignment vertical="center"/>
    </xf>
    <xf numFmtId="0" fontId="36" fillId="11" borderId="0" xfId="8" applyNumberFormat="1" applyFont="1" applyFill="1" applyBorder="1" applyAlignment="1">
      <alignment vertical="center"/>
    </xf>
    <xf numFmtId="0" fontId="34" fillId="11" borderId="0" xfId="0" applyFont="1" applyAlignment="1">
      <alignment vertical="center" textRotation="90"/>
    </xf>
    <xf numFmtId="0" fontId="34" fillId="11" borderId="0" xfId="0" applyFont="1" applyAlignment="1">
      <alignment vertical="top" textRotation="90"/>
    </xf>
    <xf numFmtId="0" fontId="39" fillId="11" borderId="0" xfId="7" applyFont="1" applyFill="1" applyBorder="1" applyAlignment="1">
      <alignment horizontal="center" vertical="center"/>
    </xf>
    <xf numFmtId="0" fontId="38" fillId="11" borderId="0" xfId="0" applyFont="1" applyAlignment="1">
      <alignment horizontal="center" vertical="top"/>
    </xf>
    <xf numFmtId="0" fontId="0" fillId="11" borderId="0" xfId="0" applyAlignment="1">
      <alignment vertical="top"/>
    </xf>
    <xf numFmtId="0" fontId="31" fillId="11" borderId="0" xfId="0" applyNumberFormat="1" applyFont="1" applyAlignment="1">
      <alignment horizontal="justify" vertical="center"/>
    </xf>
    <xf numFmtId="0" fontId="42" fillId="11" borderId="0" xfId="0" applyFont="1" applyAlignment="1">
      <alignment horizontal="justify" vertical="center"/>
    </xf>
    <xf numFmtId="0" fontId="43" fillId="11" borderId="0" xfId="7" applyFont="1" applyFill="1" applyBorder="1" applyAlignment="1">
      <alignment vertical="center"/>
    </xf>
    <xf numFmtId="0" fontId="40" fillId="3" borderId="1" xfId="7" applyFont="1" applyAlignment="1">
      <alignment vertical="center"/>
    </xf>
    <xf numFmtId="3" fontId="44" fillId="11" borderId="0" xfId="0" applyNumberFormat="1" applyFont="1" applyAlignment="1">
      <alignment vertical="center" wrapText="1"/>
    </xf>
    <xf numFmtId="3" fontId="44" fillId="10" borderId="0" xfId="0" applyNumberFormat="1" applyFont="1" applyFill="1" applyAlignment="1">
      <alignment vertical="center" wrapText="1"/>
    </xf>
    <xf numFmtId="3" fontId="44" fillId="11" borderId="0" xfId="0" applyNumberFormat="1" applyFont="1" applyAlignment="1">
      <alignment horizontal="justify" vertical="center"/>
    </xf>
    <xf numFmtId="0" fontId="45" fillId="11" borderId="0" xfId="0" applyNumberFormat="1" applyFont="1" applyAlignment="1">
      <alignment horizontal="justify" vertical="center"/>
    </xf>
    <xf numFmtId="3" fontId="44" fillId="11" borderId="0" xfId="0" applyNumberFormat="1" applyFont="1" applyAlignment="1">
      <alignment horizontal="justify" vertical="center" wrapText="1"/>
    </xf>
    <xf numFmtId="3" fontId="44" fillId="10" borderId="0" xfId="0" applyNumberFormat="1" applyFont="1" applyFill="1" applyAlignment="1">
      <alignment horizontal="justify" vertical="center" wrapText="1"/>
    </xf>
    <xf numFmtId="3" fontId="44" fillId="11" borderId="0" xfId="0" applyNumberFormat="1" applyFont="1" applyAlignment="1">
      <alignment horizontal="left" vertical="center" wrapText="1"/>
    </xf>
    <xf numFmtId="0" fontId="43" fillId="11" borderId="0" xfId="7" applyFont="1" applyFill="1" applyBorder="1" applyAlignment="1">
      <alignment horizontal="justify" vertical="center"/>
    </xf>
    <xf numFmtId="0" fontId="42" fillId="11" borderId="0" xfId="0" applyFont="1" applyAlignment="1">
      <alignment vertical="center"/>
    </xf>
    <xf numFmtId="0" fontId="42" fillId="11" borderId="0" xfId="0" applyFont="1" applyAlignment="1">
      <alignment vertical="center" wrapText="1"/>
    </xf>
    <xf numFmtId="0" fontId="44" fillId="11" borderId="0" xfId="0" applyFont="1">
      <alignment vertical="top"/>
    </xf>
    <xf numFmtId="0" fontId="44" fillId="11" borderId="0" xfId="0" applyFont="1" applyAlignment="1"/>
    <xf numFmtId="0" fontId="44" fillId="0" borderId="0" xfId="0" applyFont="1" applyFill="1">
      <alignment vertical="top"/>
    </xf>
    <xf numFmtId="0" fontId="44" fillId="11" borderId="0" xfId="0" applyFont="1" applyAlignment="1">
      <alignment vertical="center"/>
    </xf>
    <xf numFmtId="0" fontId="24" fillId="0" borderId="0" xfId="0" applyFont="1" applyFill="1">
      <alignment vertical="top"/>
    </xf>
    <xf numFmtId="0" fontId="42" fillId="11" borderId="0" xfId="0" applyFont="1" applyAlignment="1">
      <alignment horizontal="left" vertical="center" indent="1"/>
    </xf>
    <xf numFmtId="0" fontId="109" fillId="2" borderId="0" xfId="17" applyFill="1" applyAlignment="1">
      <alignment vertical="top"/>
    </xf>
    <xf numFmtId="0" fontId="0" fillId="11" borderId="0" xfId="0" applyAlignment="1">
      <alignment horizontal="left" vertical="top"/>
    </xf>
    <xf numFmtId="0" fontId="0" fillId="11" borderId="0" xfId="0" applyAlignment="1">
      <alignment horizontal="right" vertical="top"/>
    </xf>
    <xf numFmtId="0" fontId="29" fillId="11" borderId="0" xfId="0" applyFont="1" applyAlignment="1">
      <alignment horizontal="right" vertical="top"/>
    </xf>
    <xf numFmtId="0" fontId="49" fillId="11" borderId="0" xfId="0" applyFont="1" applyAlignment="1">
      <alignment horizontal="center" vertical="top"/>
    </xf>
    <xf numFmtId="0" fontId="39" fillId="11" borderId="0" xfId="7" applyFont="1" applyFill="1" applyBorder="1" applyAlignment="1">
      <alignment horizontal="center" vertical="top"/>
    </xf>
    <xf numFmtId="3" fontId="38" fillId="11" borderId="0" xfId="13" applyFont="1" applyAlignment="1">
      <alignment horizontal="center" vertical="top"/>
    </xf>
    <xf numFmtId="0" fontId="38" fillId="11" borderId="0" xfId="8" applyNumberFormat="1" applyFont="1" applyFill="1" applyBorder="1" applyAlignment="1">
      <alignment horizontal="center" vertical="top"/>
    </xf>
    <xf numFmtId="0" fontId="38" fillId="11" borderId="0" xfId="13" applyNumberFormat="1" applyFont="1" applyAlignment="1">
      <alignment horizontal="center" vertical="top"/>
    </xf>
    <xf numFmtId="0" fontId="109" fillId="11" borderId="0" xfId="17" applyAlignment="1">
      <alignment vertical="center"/>
    </xf>
    <xf numFmtId="0" fontId="17" fillId="11" borderId="0" xfId="0" applyFont="1" applyAlignment="1">
      <alignment horizontal="left" vertical="center"/>
    </xf>
    <xf numFmtId="0" fontId="38" fillId="11" borderId="0" xfId="0" applyFont="1" applyAlignment="1">
      <alignment horizontal="center" vertical="center"/>
    </xf>
    <xf numFmtId="0" fontId="19" fillId="11" borderId="0" xfId="0" applyFont="1" applyAlignment="1">
      <alignment horizontal="center" vertical="center"/>
    </xf>
    <xf numFmtId="3" fontId="19" fillId="11" borderId="0" xfId="0" applyNumberFormat="1" applyFont="1" applyAlignment="1">
      <alignment horizontal="center"/>
    </xf>
    <xf numFmtId="3" fontId="30" fillId="11" borderId="0" xfId="0" quotePrefix="1" applyNumberFormat="1" applyFont="1" applyAlignment="1">
      <alignment horizontal="center"/>
    </xf>
    <xf numFmtId="0" fontId="19" fillId="11" borderId="0" xfId="0" applyFont="1" applyAlignment="1">
      <alignment horizontal="center" vertical="top"/>
    </xf>
    <xf numFmtId="0" fontId="0" fillId="11" borderId="0" xfId="0" applyAlignment="1">
      <alignment horizontal="center" vertical="top"/>
    </xf>
    <xf numFmtId="0" fontId="19" fillId="11" borderId="0" xfId="0" applyFont="1" applyAlignment="1">
      <alignment vertical="top"/>
    </xf>
    <xf numFmtId="0" fontId="21" fillId="11" borderId="0" xfId="0" applyFont="1" applyAlignment="1">
      <alignment horizontal="center" vertical="center"/>
    </xf>
    <xf numFmtId="0" fontId="54" fillId="11" borderId="0" xfId="8" applyNumberFormat="1" applyFont="1" applyFill="1" applyBorder="1" applyAlignment="1">
      <alignment horizontal="center" vertical="center"/>
    </xf>
    <xf numFmtId="0" fontId="53" fillId="11" borderId="0" xfId="0" applyFont="1" applyAlignment="1">
      <alignment vertical="center"/>
    </xf>
    <xf numFmtId="0" fontId="27" fillId="0" borderId="0" xfId="0" applyFont="1" applyFill="1" applyAlignment="1">
      <alignment vertical="top"/>
    </xf>
    <xf numFmtId="0" fontId="30" fillId="11" borderId="0" xfId="8" applyNumberFormat="1" applyFont="1" applyFill="1" applyBorder="1" applyAlignment="1">
      <alignment horizontal="center" vertical="center"/>
    </xf>
    <xf numFmtId="0" fontId="36" fillId="11" borderId="0" xfId="8" applyNumberFormat="1" applyFont="1" applyFill="1" applyBorder="1" applyAlignment="1">
      <alignment vertical="top"/>
    </xf>
    <xf numFmtId="0" fontId="30" fillId="11" borderId="0" xfId="0" applyFont="1" applyAlignment="1">
      <alignment horizontal="center" vertical="center"/>
    </xf>
    <xf numFmtId="0" fontId="26" fillId="11" borderId="0" xfId="0" applyFont="1" applyAlignment="1">
      <alignment vertical="center"/>
    </xf>
    <xf numFmtId="0" fontId="58" fillId="11" borderId="0" xfId="0" applyFont="1" applyAlignment="1">
      <alignment horizontal="left" vertical="top"/>
    </xf>
    <xf numFmtId="170" fontId="22" fillId="11" borderId="0" xfId="0" applyNumberFormat="1" applyFont="1" applyAlignment="1">
      <alignment horizontal="right" vertical="top"/>
    </xf>
    <xf numFmtId="3" fontId="59" fillId="0" borderId="0" xfId="0" applyNumberFormat="1" applyFont="1" applyFill="1" applyAlignment="1">
      <alignment horizontal="right" vertical="center"/>
    </xf>
    <xf numFmtId="0" fontId="59" fillId="0" borderId="0" xfId="0" applyFont="1" applyFill="1" applyAlignment="1">
      <alignment vertical="center"/>
    </xf>
    <xf numFmtId="3" fontId="80" fillId="0" borderId="0" xfId="30" applyFill="1" applyBorder="1" applyAlignment="1">
      <alignment horizontal="left" vertical="top"/>
    </xf>
    <xf numFmtId="0" fontId="59" fillId="11" borderId="0" xfId="0" applyFont="1" applyAlignment="1">
      <alignment vertical="center"/>
    </xf>
    <xf numFmtId="3" fontId="59" fillId="11" borderId="0" xfId="0" applyNumberFormat="1" applyFont="1" applyAlignment="1">
      <alignment horizontal="right"/>
    </xf>
    <xf numFmtId="0" fontId="62" fillId="11" borderId="0" xfId="0" applyFont="1" applyAlignment="1">
      <alignment vertical="center"/>
    </xf>
    <xf numFmtId="0" fontId="59" fillId="11" borderId="0" xfId="0" applyFont="1" applyAlignment="1">
      <alignment horizontal="right" vertical="center"/>
    </xf>
    <xf numFmtId="0" fontId="68" fillId="11" borderId="0" xfId="0" applyFont="1" applyAlignment="1">
      <alignment vertical="center"/>
    </xf>
    <xf numFmtId="168" fontId="68" fillId="11" borderId="10" xfId="0" applyNumberFormat="1" applyFont="1" applyBorder="1" applyAlignment="1">
      <alignment vertical="center"/>
    </xf>
    <xf numFmtId="0" fontId="59" fillId="11" borderId="0" xfId="0" applyFont="1" applyAlignment="1">
      <alignment horizontal="left" vertical="center"/>
    </xf>
    <xf numFmtId="0" fontId="59" fillId="11" borderId="0" xfId="0" applyFont="1" applyAlignment="1">
      <alignment vertical="top"/>
    </xf>
    <xf numFmtId="9" fontId="59" fillId="11" borderId="0" xfId="0" applyNumberFormat="1" applyFont="1" applyAlignment="1">
      <alignment horizontal="right" vertical="top"/>
    </xf>
    <xf numFmtId="168" fontId="59" fillId="11" borderId="10" xfId="0" applyNumberFormat="1" applyFont="1" applyBorder="1" applyAlignment="1">
      <alignment vertical="top"/>
    </xf>
    <xf numFmtId="168" fontId="59" fillId="11" borderId="10" xfId="0" applyNumberFormat="1" applyFont="1" applyBorder="1" applyAlignment="1">
      <alignment vertical="center"/>
    </xf>
    <xf numFmtId="174" fontId="59" fillId="11" borderId="0" xfId="14" applyNumberFormat="1" applyFont="1" applyFill="1" applyBorder="1" applyAlignment="1">
      <alignment horizontal="right" vertical="center"/>
    </xf>
    <xf numFmtId="3" fontId="59" fillId="11" borderId="0" xfId="0" applyNumberFormat="1" applyFont="1" applyAlignment="1">
      <alignment vertical="center"/>
    </xf>
    <xf numFmtId="168" fontId="59" fillId="11" borderId="11" xfId="0" applyNumberFormat="1" applyFont="1" applyBorder="1" applyAlignment="1">
      <alignment vertical="center"/>
    </xf>
    <xf numFmtId="3" fontId="59" fillId="11" borderId="0" xfId="14" applyFont="1" applyFill="1" applyBorder="1" applyAlignment="1">
      <alignment horizontal="right" vertical="center"/>
    </xf>
    <xf numFmtId="168" fontId="59" fillId="11" borderId="0" xfId="0" applyNumberFormat="1" applyFont="1" applyAlignment="1">
      <alignment vertical="top"/>
    </xf>
    <xf numFmtId="168" fontId="59" fillId="11" borderId="12" xfId="0" applyNumberFormat="1" applyFont="1" applyBorder="1" applyAlignment="1">
      <alignment vertical="top"/>
    </xf>
    <xf numFmtId="0" fontId="71" fillId="11" borderId="0" xfId="0" applyFont="1" applyAlignment="1">
      <alignment vertical="center"/>
    </xf>
    <xf numFmtId="168" fontId="71" fillId="11" borderId="10" xfId="0" applyNumberFormat="1" applyFont="1" applyBorder="1" applyAlignment="1">
      <alignment vertical="center"/>
    </xf>
    <xf numFmtId="3" fontId="71" fillId="11" borderId="0" xfId="14" applyFont="1" applyFill="1" applyBorder="1" applyAlignment="1">
      <alignment horizontal="right" vertical="center"/>
    </xf>
    <xf numFmtId="3" fontId="59" fillId="11" borderId="0" xfId="14" applyNumberFormat="1" applyFont="1" applyFill="1" applyBorder="1" applyAlignment="1">
      <alignment horizontal="right" vertical="center"/>
    </xf>
    <xf numFmtId="0" fontId="72" fillId="11" borderId="0" xfId="0" applyFont="1" applyAlignment="1">
      <alignment vertical="center"/>
    </xf>
    <xf numFmtId="168" fontId="72" fillId="11" borderId="10" xfId="0" applyNumberFormat="1" applyFont="1" applyBorder="1" applyAlignment="1">
      <alignment vertical="center"/>
    </xf>
    <xf numFmtId="3" fontId="72" fillId="11" borderId="0" xfId="14" applyNumberFormat="1" applyFont="1" applyFill="1" applyBorder="1" applyAlignment="1">
      <alignment horizontal="right" vertical="center"/>
    </xf>
    <xf numFmtId="3" fontId="73" fillId="11" borderId="0" xfId="14" applyFont="1" applyFill="1" applyBorder="1" applyAlignment="1">
      <alignment horizontal="left" vertical="top" wrapText="1"/>
    </xf>
    <xf numFmtId="0" fontId="59" fillId="11" borderId="0" xfId="0" applyFont="1">
      <alignment vertical="top"/>
    </xf>
    <xf numFmtId="2" fontId="59" fillId="11" borderId="0" xfId="14" applyNumberFormat="1" applyFont="1" applyFill="1" applyBorder="1" applyAlignment="1">
      <alignment horizontal="left" vertical="center" wrapText="1"/>
    </xf>
    <xf numFmtId="0" fontId="64" fillId="11" borderId="0" xfId="0" applyFont="1" applyAlignment="1">
      <alignment horizontal="right" vertical="center"/>
    </xf>
    <xf numFmtId="168" fontId="59" fillId="11" borderId="0" xfId="14" applyNumberFormat="1" applyFont="1" applyFill="1" applyBorder="1" applyAlignment="1">
      <alignment horizontal="right" vertical="center"/>
    </xf>
    <xf numFmtId="3" fontId="65" fillId="0" borderId="0" xfId="0" applyNumberFormat="1" applyFont="1" applyFill="1" applyAlignment="1">
      <alignment vertical="top"/>
    </xf>
    <xf numFmtId="0" fontId="66" fillId="0" borderId="0" xfId="0" applyFont="1" applyFill="1" applyAlignment="1">
      <alignment vertical="top"/>
    </xf>
    <xf numFmtId="3" fontId="59" fillId="0" borderId="0" xfId="0" applyNumberFormat="1" applyFont="1" applyFill="1" applyAlignment="1">
      <alignment vertical="center"/>
    </xf>
    <xf numFmtId="3" fontId="59" fillId="11" borderId="0" xfId="0" applyNumberFormat="1" applyFont="1" applyAlignment="1">
      <alignment horizontal="right" vertical="center"/>
    </xf>
    <xf numFmtId="3" fontId="59" fillId="11" borderId="0" xfId="0" applyNumberFormat="1" applyFont="1" applyAlignment="1">
      <alignment horizontal="right" vertical="center" wrapText="1"/>
    </xf>
    <xf numFmtId="3" fontId="67" fillId="0" borderId="0" xfId="0" applyNumberFormat="1" applyFont="1" applyFill="1" applyAlignment="1">
      <alignment vertical="top"/>
    </xf>
    <xf numFmtId="168" fontId="59" fillId="0" borderId="0" xfId="14" applyNumberFormat="1" applyFont="1" applyFill="1" applyBorder="1" applyAlignment="1">
      <alignment horizontal="right" vertical="center"/>
    </xf>
    <xf numFmtId="4" fontId="59" fillId="0" borderId="0" xfId="0" applyNumberFormat="1" applyFont="1" applyFill="1" applyAlignment="1">
      <alignment horizontal="right" vertical="center"/>
    </xf>
    <xf numFmtId="168" fontId="59" fillId="0" borderId="0" xfId="0" applyNumberFormat="1" applyFont="1" applyFill="1" applyAlignment="1">
      <alignment horizontal="right" vertical="center"/>
    </xf>
    <xf numFmtId="168" fontId="59" fillId="11" borderId="0" xfId="0" applyNumberFormat="1" applyFont="1" applyAlignment="1">
      <alignment horizontal="right" vertical="center"/>
    </xf>
    <xf numFmtId="0" fontId="59" fillId="11" borderId="10" xfId="0" applyFont="1" applyBorder="1" applyAlignment="1">
      <alignment vertical="center"/>
    </xf>
    <xf numFmtId="4" fontId="59" fillId="11" borderId="0" xfId="0" applyNumberFormat="1" applyFont="1" applyAlignment="1">
      <alignment horizontal="right" vertical="top" wrapText="1"/>
    </xf>
    <xf numFmtId="0" fontId="59" fillId="11" borderId="11" xfId="0" applyFont="1" applyBorder="1" applyAlignment="1">
      <alignment vertical="center"/>
    </xf>
    <xf numFmtId="0" fontId="78" fillId="11" borderId="0" xfId="0" applyFont="1" applyAlignment="1">
      <alignment horizontal="right" vertical="center"/>
    </xf>
    <xf numFmtId="168" fontId="59" fillId="11" borderId="0" xfId="0" applyNumberFormat="1" applyFont="1" applyAlignment="1">
      <alignment horizontal="right" vertical="center" wrapText="1"/>
    </xf>
    <xf numFmtId="0" fontId="73" fillId="11" borderId="0" xfId="0" applyFont="1" applyAlignment="1">
      <alignment vertical="center"/>
    </xf>
    <xf numFmtId="3" fontId="59" fillId="11" borderId="10" xfId="0" applyNumberFormat="1" applyFont="1" applyBorder="1" applyAlignment="1">
      <alignment vertical="center"/>
    </xf>
    <xf numFmtId="0" fontId="59" fillId="11" borderId="10" xfId="0" applyFont="1" applyBorder="1">
      <alignment vertical="top"/>
    </xf>
    <xf numFmtId="168" fontId="59" fillId="11" borderId="0" xfId="0" applyNumberFormat="1" applyFont="1" applyAlignment="1">
      <alignment horizontal="right" vertical="top" wrapText="1"/>
    </xf>
    <xf numFmtId="0" fontId="67" fillId="11" borderId="0" xfId="0" applyFont="1" applyAlignment="1">
      <alignment vertical="center"/>
    </xf>
    <xf numFmtId="4" fontId="59" fillId="11" borderId="0" xfId="0" applyNumberFormat="1" applyFont="1" applyAlignment="1">
      <alignment horizontal="right" vertical="center"/>
    </xf>
    <xf numFmtId="9" fontId="59" fillId="11" borderId="0" xfId="0" applyNumberFormat="1" applyFont="1" applyAlignment="1">
      <alignment horizontal="right" vertical="center"/>
    </xf>
    <xf numFmtId="3" fontId="65" fillId="11" borderId="0" xfId="0" applyNumberFormat="1" applyFont="1" applyAlignment="1">
      <alignment horizontal="right" vertical="top"/>
    </xf>
    <xf numFmtId="0" fontId="75" fillId="0" borderId="0" xfId="0" applyFont="1" applyFill="1" applyAlignment="1">
      <alignment vertical="center"/>
    </xf>
    <xf numFmtId="3" fontId="67" fillId="0" borderId="0" xfId="8" applyFont="1" applyFill="1" applyBorder="1" applyAlignment="1">
      <alignment horizontal="right" vertical="top"/>
    </xf>
    <xf numFmtId="3" fontId="74" fillId="0" borderId="0" xfId="0" applyNumberFormat="1" applyFont="1" applyFill="1" applyAlignment="1">
      <alignment vertical="center"/>
    </xf>
    <xf numFmtId="3" fontId="59" fillId="12" borderId="10" xfId="0" applyNumberFormat="1" applyFont="1" applyFill="1" applyBorder="1" applyAlignment="1">
      <alignment horizontal="right" vertical="center"/>
    </xf>
    <xf numFmtId="0" fontId="59" fillId="0" borderId="10" xfId="0" applyFont="1" applyFill="1" applyBorder="1" applyAlignment="1">
      <alignment vertical="center"/>
    </xf>
    <xf numFmtId="168" fontId="59" fillId="12" borderId="10" xfId="0" applyNumberFormat="1" applyFont="1" applyFill="1" applyBorder="1" applyAlignment="1">
      <alignment horizontal="right" vertical="center"/>
    </xf>
    <xf numFmtId="4" fontId="59" fillId="12" borderId="10" xfId="0" applyNumberFormat="1" applyFont="1" applyFill="1" applyBorder="1" applyAlignment="1">
      <alignment horizontal="right" vertical="center"/>
    </xf>
    <xf numFmtId="3" fontId="59" fillId="12" borderId="10" xfId="14" applyNumberFormat="1" applyFont="1" applyBorder="1" applyAlignment="1">
      <alignment horizontal="right" vertical="center"/>
    </xf>
    <xf numFmtId="3" fontId="59" fillId="12" borderId="11" xfId="0" applyNumberFormat="1" applyFont="1" applyFill="1" applyBorder="1" applyAlignment="1">
      <alignment horizontal="right" vertical="center"/>
    </xf>
    <xf numFmtId="0" fontId="59" fillId="0" borderId="11" xfId="0" applyFont="1" applyFill="1" applyBorder="1" applyAlignment="1">
      <alignment vertical="center"/>
    </xf>
    <xf numFmtId="9" fontId="59" fillId="12" borderId="11" xfId="0" applyNumberFormat="1" applyFont="1" applyFill="1" applyBorder="1" applyAlignment="1">
      <alignment horizontal="right" vertical="center"/>
    </xf>
    <xf numFmtId="0" fontId="59" fillId="0" borderId="12" xfId="0" applyFont="1" applyFill="1" applyBorder="1" applyAlignment="1">
      <alignment vertical="center"/>
    </xf>
    <xf numFmtId="9" fontId="59" fillId="12" borderId="12" xfId="0" applyNumberFormat="1" applyFont="1" applyFill="1" applyBorder="1" applyAlignment="1">
      <alignment horizontal="right" vertical="center"/>
    </xf>
    <xf numFmtId="4" fontId="59" fillId="12" borderId="11" xfId="14" applyNumberFormat="1" applyFont="1" applyBorder="1" applyAlignment="1">
      <alignment horizontal="right" vertical="center"/>
    </xf>
    <xf numFmtId="4" fontId="59" fillId="12" borderId="11" xfId="0" applyNumberFormat="1" applyFont="1" applyFill="1" applyBorder="1" applyAlignment="1">
      <alignment horizontal="right" vertical="center"/>
    </xf>
    <xf numFmtId="4" fontId="59" fillId="12" borderId="12" xfId="0" applyNumberFormat="1" applyFont="1" applyFill="1" applyBorder="1" applyAlignment="1">
      <alignment horizontal="right" vertical="center"/>
    </xf>
    <xf numFmtId="166" fontId="59" fillId="12" borderId="11" xfId="0" applyNumberFormat="1" applyFont="1" applyFill="1" applyBorder="1" applyAlignment="1">
      <alignment horizontal="right" vertical="center"/>
    </xf>
    <xf numFmtId="4" fontId="126" fillId="14" borderId="12" xfId="29" applyNumberFormat="1" applyBorder="1" applyAlignment="1">
      <alignment horizontal="right" vertical="center"/>
      <protection locked="0"/>
    </xf>
    <xf numFmtId="3" fontId="79" fillId="0" borderId="0" xfId="0" applyNumberFormat="1" applyFont="1" applyFill="1" applyAlignment="1">
      <alignment vertical="center"/>
    </xf>
    <xf numFmtId="3" fontId="80" fillId="0" borderId="0" xfId="30" applyFill="1" applyBorder="1" applyAlignment="1">
      <alignment horizontal="left" vertical="center"/>
    </xf>
    <xf numFmtId="0" fontId="66" fillId="0" borderId="0" xfId="0" applyFont="1" applyFill="1" applyAlignment="1">
      <alignment vertical="center"/>
    </xf>
    <xf numFmtId="3" fontId="65" fillId="11" borderId="0" xfId="0" applyNumberFormat="1" applyFont="1" applyAlignment="1">
      <alignment horizontal="right" vertical="center"/>
    </xf>
    <xf numFmtId="3" fontId="67" fillId="0" borderId="0" xfId="0" applyNumberFormat="1" applyFont="1" applyFill="1" applyAlignment="1">
      <alignment vertical="center"/>
    </xf>
    <xf numFmtId="3" fontId="67" fillId="0" borderId="0" xfId="8" applyFont="1" applyFill="1" applyBorder="1" applyAlignment="1">
      <alignment horizontal="right" vertical="center"/>
    </xf>
    <xf numFmtId="3" fontId="70" fillId="0" borderId="0" xfId="0" applyNumberFormat="1" applyFont="1" applyFill="1" applyAlignment="1">
      <alignment vertical="center"/>
    </xf>
    <xf numFmtId="3" fontId="69" fillId="0" borderId="0" xfId="0" applyNumberFormat="1" applyFont="1" applyFill="1" applyAlignment="1">
      <alignment vertical="top"/>
    </xf>
    <xf numFmtId="3" fontId="81" fillId="0" borderId="0" xfId="30" applyFont="1" applyFill="1" applyBorder="1" applyAlignment="1">
      <alignment horizontal="left" vertical="top"/>
    </xf>
    <xf numFmtId="0" fontId="70" fillId="0" borderId="0" xfId="0" applyFont="1" applyFill="1" applyAlignment="1">
      <alignment vertical="top"/>
    </xf>
    <xf numFmtId="3" fontId="69" fillId="0" borderId="0" xfId="0" applyNumberFormat="1" applyFont="1" applyFill="1" applyAlignment="1">
      <alignment horizontal="right" vertical="top"/>
    </xf>
    <xf numFmtId="0" fontId="69" fillId="0" borderId="0" xfId="0" applyFont="1" applyFill="1" applyAlignment="1">
      <alignment vertical="top"/>
    </xf>
    <xf numFmtId="3" fontId="69" fillId="11" borderId="0" xfId="0" applyNumberFormat="1" applyFont="1" applyAlignment="1">
      <alignment horizontal="right" vertical="top"/>
    </xf>
    <xf numFmtId="3" fontId="69" fillId="0" borderId="0" xfId="8" applyFont="1" applyFill="1" applyBorder="1" applyAlignment="1">
      <alignment horizontal="right" vertical="top"/>
    </xf>
    <xf numFmtId="3" fontId="74" fillId="11" borderId="0" xfId="0" applyNumberFormat="1" applyFont="1" applyAlignment="1">
      <alignment vertical="center"/>
    </xf>
    <xf numFmtId="3" fontId="65" fillId="11" borderId="0" xfId="0" applyNumberFormat="1" applyFont="1" applyAlignment="1">
      <alignment vertical="top"/>
    </xf>
    <xf numFmtId="3" fontId="80" fillId="11" borderId="0" xfId="30" applyFill="1" applyBorder="1" applyAlignment="1">
      <alignment horizontal="left" vertical="top"/>
    </xf>
    <xf numFmtId="0" fontId="66" fillId="11" borderId="0" xfId="0" applyFont="1" applyAlignment="1">
      <alignment vertical="top"/>
    </xf>
    <xf numFmtId="0" fontId="67" fillId="11" borderId="0" xfId="0" applyFont="1" applyAlignment="1">
      <alignment vertical="top"/>
    </xf>
    <xf numFmtId="3" fontId="67" fillId="11" borderId="0" xfId="8" applyFont="1" applyFill="1" applyBorder="1" applyAlignment="1">
      <alignment horizontal="right" vertical="top"/>
    </xf>
    <xf numFmtId="168" fontId="120" fillId="49" borderId="10" xfId="21" applyNumberFormat="1" applyBorder="1" applyAlignment="1">
      <alignment horizontal="right" vertical="top"/>
    </xf>
    <xf numFmtId="9" fontId="120" fillId="45" borderId="10" xfId="25" applyNumberFormat="1" applyBorder="1" applyAlignment="1">
      <alignment horizontal="right" vertical="top" wrapText="1"/>
    </xf>
    <xf numFmtId="0" fontId="100" fillId="12" borderId="10" xfId="14" applyNumberFormat="1" applyBorder="1" applyAlignment="1">
      <alignment vertical="top"/>
    </xf>
    <xf numFmtId="0" fontId="100" fillId="12" borderId="10" xfId="14" applyNumberFormat="1" applyBorder="1" applyAlignment="1">
      <alignment horizontal="left" vertical="top"/>
    </xf>
    <xf numFmtId="4" fontId="120" fillId="49" borderId="10" xfId="21" applyNumberFormat="1" applyBorder="1" applyAlignment="1">
      <alignment horizontal="right" vertical="center" wrapText="1"/>
    </xf>
    <xf numFmtId="3" fontId="120" fillId="49" borderId="10" xfId="21" applyNumberFormat="1" applyBorder="1" applyAlignment="1">
      <alignment horizontal="right" vertical="top" wrapText="1"/>
    </xf>
    <xf numFmtId="3" fontId="64" fillId="11" borderId="0" xfId="0" applyNumberFormat="1" applyFont="1" applyAlignment="1">
      <alignment horizontal="right" vertical="center"/>
    </xf>
    <xf numFmtId="168" fontId="64" fillId="11" borderId="0" xfId="0" applyNumberFormat="1" applyFont="1" applyAlignment="1">
      <alignment horizontal="right" vertical="center"/>
    </xf>
    <xf numFmtId="0" fontId="59" fillId="0" borderId="10" xfId="0" applyFont="1" applyFill="1" applyBorder="1">
      <alignment vertical="top"/>
    </xf>
    <xf numFmtId="3" fontId="59" fillId="12" borderId="10" xfId="0" applyNumberFormat="1" applyFont="1" applyFill="1" applyBorder="1" applyAlignment="1">
      <alignment horizontal="right" vertical="top" wrapText="1"/>
    </xf>
    <xf numFmtId="164" fontId="59" fillId="12" borderId="10" xfId="0" applyNumberFormat="1" applyFont="1" applyFill="1" applyBorder="1" applyAlignment="1">
      <alignment horizontal="right" vertical="top"/>
    </xf>
    <xf numFmtId="3" fontId="59" fillId="0" borderId="10" xfId="0" applyNumberFormat="1" applyFont="1" applyFill="1" applyBorder="1" applyAlignment="1">
      <alignment horizontal="right" vertical="top"/>
    </xf>
    <xf numFmtId="9" fontId="59" fillId="12" borderId="10" xfId="14" applyNumberFormat="1" applyFont="1" applyBorder="1" applyAlignment="1">
      <alignment horizontal="right" vertical="center"/>
    </xf>
    <xf numFmtId="9" fontId="59" fillId="12" borderId="10" xfId="0" applyNumberFormat="1" applyFont="1" applyFill="1" applyBorder="1" applyAlignment="1">
      <alignment horizontal="right" vertical="center"/>
    </xf>
    <xf numFmtId="3" fontId="74" fillId="11" borderId="10" xfId="0" applyNumberFormat="1" applyFont="1" applyBorder="1" applyAlignment="1">
      <alignment vertical="center"/>
    </xf>
    <xf numFmtId="168" fontId="59" fillId="12" borderId="11" xfId="0" applyNumberFormat="1" applyFont="1" applyFill="1" applyBorder="1" applyAlignment="1">
      <alignment horizontal="right" vertical="center"/>
    </xf>
    <xf numFmtId="0" fontId="59" fillId="11" borderId="12" xfId="0" applyFont="1" applyBorder="1" applyAlignment="1">
      <alignment vertical="center"/>
    </xf>
    <xf numFmtId="4" fontId="59" fillId="12" borderId="12" xfId="14" applyNumberFormat="1" applyFont="1" applyBorder="1" applyAlignment="1">
      <alignment horizontal="right" vertical="center"/>
    </xf>
    <xf numFmtId="168" fontId="59" fillId="12" borderId="12" xfId="14" applyNumberFormat="1" applyFont="1" applyBorder="1" applyAlignment="1">
      <alignment horizontal="right" vertical="center"/>
    </xf>
    <xf numFmtId="168" fontId="59" fillId="12" borderId="12" xfId="0" applyNumberFormat="1" applyFont="1" applyFill="1" applyBorder="1" applyAlignment="1">
      <alignment horizontal="right" vertical="center"/>
    </xf>
    <xf numFmtId="1" fontId="59" fillId="12" borderId="10" xfId="0" applyNumberFormat="1" applyFont="1" applyFill="1" applyBorder="1" applyAlignment="1">
      <alignment horizontal="right" vertical="center" wrapText="1"/>
    </xf>
    <xf numFmtId="3" fontId="59" fillId="0" borderId="11" xfId="0" applyNumberFormat="1" applyFont="1" applyFill="1" applyBorder="1" applyAlignment="1">
      <alignment horizontal="right" vertical="center" wrapText="1"/>
    </xf>
    <xf numFmtId="3" fontId="65" fillId="11" borderId="10" xfId="0" applyNumberFormat="1" applyFont="1" applyBorder="1" applyAlignment="1">
      <alignment vertical="center"/>
    </xf>
    <xf numFmtId="3" fontId="80" fillId="11" borderId="10" xfId="30" applyFill="1" applyBorder="1" applyAlignment="1">
      <alignment horizontal="left" vertical="center"/>
    </xf>
    <xf numFmtId="0" fontId="66" fillId="11" borderId="10" xfId="0" applyFont="1" applyBorder="1" applyAlignment="1">
      <alignment vertical="center"/>
    </xf>
    <xf numFmtId="3" fontId="65" fillId="11" borderId="10" xfId="0" applyNumberFormat="1" applyFont="1" applyBorder="1" applyAlignment="1">
      <alignment horizontal="right" vertical="center"/>
    </xf>
    <xf numFmtId="3" fontId="67" fillId="11" borderId="0" xfId="8" applyFont="1" applyFill="1" applyBorder="1" applyAlignment="1">
      <alignment horizontal="right" vertical="center"/>
    </xf>
    <xf numFmtId="168" fontId="120" fillId="49" borderId="10" xfId="21" applyNumberFormat="1" applyBorder="1" applyAlignment="1">
      <alignment horizontal="right" vertical="center"/>
    </xf>
    <xf numFmtId="0" fontId="120" fillId="49" borderId="10" xfId="21" applyNumberFormat="1" applyBorder="1" applyAlignment="1">
      <alignment horizontal="right" vertical="center"/>
    </xf>
    <xf numFmtId="0" fontId="30" fillId="11" borderId="0" xfId="0" applyFont="1">
      <alignment vertical="top"/>
    </xf>
    <xf numFmtId="3" fontId="73" fillId="11" borderId="0" xfId="14" applyFont="1" applyFill="1" applyBorder="1" applyAlignment="1">
      <alignment horizontal="left" vertical="center" wrapText="1"/>
    </xf>
    <xf numFmtId="2" fontId="59" fillId="11" borderId="0" xfId="14" applyNumberFormat="1" applyFont="1" applyFill="1" applyBorder="1" applyAlignment="1">
      <alignment horizontal="right" vertical="center" wrapText="1"/>
    </xf>
    <xf numFmtId="2" fontId="59" fillId="11" borderId="11" xfId="14" applyNumberFormat="1" applyFont="1" applyFill="1" applyBorder="1" applyAlignment="1">
      <alignment horizontal="right" vertical="center" wrapText="1"/>
    </xf>
    <xf numFmtId="168" fontId="59" fillId="11" borderId="14" xfId="0" applyNumberFormat="1" applyFont="1" applyBorder="1" applyAlignment="1">
      <alignment vertical="center"/>
    </xf>
    <xf numFmtId="3" fontId="0" fillId="11" borderId="0" xfId="0" applyNumberFormat="1" applyAlignment="1">
      <alignment horizontal="right" vertical="center"/>
    </xf>
    <xf numFmtId="3" fontId="51" fillId="46" borderId="10" xfId="24">
      <alignment horizontal="left" vertical="center"/>
    </xf>
    <xf numFmtId="3" fontId="87" fillId="46" borderId="10" xfId="67" applyBorder="1">
      <alignment horizontal="right" vertical="center"/>
    </xf>
    <xf numFmtId="3" fontId="120" fillId="20" borderId="10" xfId="68" applyBorder="1">
      <alignment horizontal="right" vertical="center"/>
    </xf>
    <xf numFmtId="3" fontId="89" fillId="11" borderId="0" xfId="23">
      <alignment horizontal="left" vertical="center"/>
    </xf>
    <xf numFmtId="3" fontId="89" fillId="11" borderId="13" xfId="23" applyBorder="1">
      <alignment horizontal="left" vertical="center"/>
    </xf>
    <xf numFmtId="0" fontId="100" fillId="12" borderId="10" xfId="14" applyNumberFormat="1" applyBorder="1" applyAlignment="1">
      <alignment vertical="center"/>
    </xf>
    <xf numFmtId="0" fontId="100" fillId="12" borderId="10" xfId="14" applyNumberFormat="1" applyBorder="1" applyAlignment="1">
      <alignment horizontal="left" vertical="center"/>
    </xf>
    <xf numFmtId="3" fontId="75" fillId="11" borderId="10" xfId="8" applyFont="1" applyFill="1" applyBorder="1" applyAlignment="1">
      <alignment horizontal="right" vertical="center"/>
    </xf>
    <xf numFmtId="3" fontId="120" fillId="49" borderId="10" xfId="21" applyNumberFormat="1" applyBorder="1" applyAlignment="1">
      <alignment horizontal="right" vertical="center"/>
    </xf>
    <xf numFmtId="9" fontId="120" fillId="45" borderId="10" xfId="25" applyNumberFormat="1" applyBorder="1" applyAlignment="1">
      <alignment horizontal="right" vertical="top"/>
    </xf>
    <xf numFmtId="3" fontId="120" fillId="45" borderId="11" xfId="25" applyNumberFormat="1" applyBorder="1">
      <alignment horizontal="right" vertical="center"/>
    </xf>
    <xf numFmtId="9" fontId="120" fillId="45" borderId="12" xfId="25" applyNumberFormat="1" applyBorder="1" applyAlignment="1">
      <alignment horizontal="right" vertical="top"/>
    </xf>
    <xf numFmtId="3" fontId="120" fillId="45" borderId="10" xfId="25" applyNumberFormat="1" applyBorder="1">
      <alignment horizontal="right" vertical="center"/>
    </xf>
    <xf numFmtId="174" fontId="120" fillId="45" borderId="10" xfId="25" applyNumberFormat="1" applyBorder="1" applyAlignment="1">
      <alignment horizontal="right" vertical="center"/>
    </xf>
    <xf numFmtId="3" fontId="120" fillId="45" borderId="11" xfId="25" applyNumberFormat="1" applyBorder="1" applyAlignment="1">
      <alignment horizontal="right" vertical="center"/>
    </xf>
    <xf numFmtId="3" fontId="120" fillId="45" borderId="10" xfId="25" applyNumberFormat="1" applyBorder="1" applyAlignment="1">
      <alignment horizontal="right" vertical="center"/>
    </xf>
    <xf numFmtId="3" fontId="93" fillId="11" borderId="0" xfId="27" applyNumberFormat="1" applyBorder="1">
      <alignment vertical="center"/>
    </xf>
    <xf numFmtId="0" fontId="93" fillId="11" borderId="0" xfId="27" applyBorder="1">
      <alignment vertical="center"/>
    </xf>
    <xf numFmtId="0" fontId="98" fillId="11" borderId="0" xfId="20" applyNumberFormat="1">
      <alignment horizontal="center" vertical="top"/>
      <protection hidden="1"/>
    </xf>
    <xf numFmtId="3" fontId="75" fillId="11" borderId="17" xfId="8" applyFont="1" applyFill="1" applyBorder="1" applyAlignment="1">
      <alignment horizontal="right" vertical="center"/>
    </xf>
    <xf numFmtId="0" fontId="59" fillId="11" borderId="10" xfId="0" applyFont="1" applyBorder="1" applyAlignment="1">
      <alignment vertical="top"/>
    </xf>
    <xf numFmtId="0" fontId="94" fillId="11" borderId="0" xfId="70" applyBorder="1">
      <alignment vertical="center"/>
    </xf>
    <xf numFmtId="2" fontId="120" fillId="49" borderId="14" xfId="21" applyNumberFormat="1" applyBorder="1" applyAlignment="1">
      <alignment horizontal="right" vertical="center" wrapText="1"/>
    </xf>
    <xf numFmtId="9" fontId="120" fillId="45" borderId="0" xfId="25" applyNumberFormat="1" applyBorder="1" applyAlignment="1">
      <alignment horizontal="right" vertical="top"/>
    </xf>
    <xf numFmtId="3" fontId="120" fillId="45" borderId="12" xfId="25" applyNumberFormat="1" applyBorder="1" applyAlignment="1">
      <alignment horizontal="right" vertical="center"/>
    </xf>
    <xf numFmtId="3" fontId="51" fillId="46" borderId="14" xfId="24" applyBorder="1">
      <alignment horizontal="left" vertical="center"/>
    </xf>
    <xf numFmtId="3" fontId="87" fillId="46" borderId="14" xfId="67" applyBorder="1">
      <alignment horizontal="right" vertical="center"/>
    </xf>
    <xf numFmtId="3" fontId="100" fillId="12" borderId="10" xfId="14" applyNumberFormat="1" applyBorder="1" applyAlignment="1">
      <alignment horizontal="left" vertical="center"/>
    </xf>
    <xf numFmtId="168" fontId="120" fillId="45" borderId="10" xfId="25" applyNumberFormat="1" applyBorder="1" applyAlignment="1">
      <alignment horizontal="right" vertical="center"/>
    </xf>
    <xf numFmtId="175" fontId="120" fillId="45" borderId="10" xfId="25" applyNumberFormat="1" applyBorder="1" applyAlignment="1">
      <alignment horizontal="right" vertical="center"/>
    </xf>
    <xf numFmtId="175" fontId="120" fillId="49" borderId="10" xfId="21" applyNumberFormat="1" applyBorder="1" applyAlignment="1">
      <alignment horizontal="right" vertical="center"/>
    </xf>
    <xf numFmtId="0" fontId="100" fillId="12" borderId="14" xfId="14" applyNumberFormat="1" applyBorder="1" applyAlignment="1">
      <alignment vertical="center"/>
    </xf>
    <xf numFmtId="3" fontId="100" fillId="12" borderId="14" xfId="14" applyNumberFormat="1" applyBorder="1" applyAlignment="1">
      <alignment horizontal="left" vertical="center"/>
    </xf>
    <xf numFmtId="0" fontId="59" fillId="11" borderId="14" xfId="0" applyFont="1" applyBorder="1" applyAlignment="1">
      <alignment vertical="center"/>
    </xf>
    <xf numFmtId="3" fontId="120" fillId="45" borderId="14" xfId="25" applyNumberFormat="1" applyBorder="1" applyAlignment="1">
      <alignment horizontal="right" vertical="center"/>
    </xf>
    <xf numFmtId="0" fontId="120" fillId="49" borderId="14" xfId="21" applyNumberFormat="1" applyBorder="1">
      <alignment vertical="top"/>
    </xf>
    <xf numFmtId="168" fontId="120" fillId="49" borderId="14" xfId="21" applyNumberFormat="1" applyBorder="1" applyAlignment="1">
      <alignment horizontal="right" vertical="center"/>
    </xf>
    <xf numFmtId="9" fontId="120" fillId="49" borderId="14" xfId="21" applyNumberFormat="1" applyBorder="1" applyAlignment="1">
      <alignment horizontal="right" vertical="center"/>
    </xf>
    <xf numFmtId="3" fontId="50" fillId="48" borderId="10" xfId="69">
      <alignment horizontal="left" vertical="center"/>
    </xf>
    <xf numFmtId="168" fontId="120" fillId="49" borderId="14" xfId="21" applyNumberFormat="1" applyBorder="1">
      <alignment vertical="top"/>
    </xf>
    <xf numFmtId="168" fontId="0" fillId="11" borderId="0" xfId="0" applyNumberFormat="1" applyAlignment="1">
      <alignment horizontal="right" vertical="center"/>
    </xf>
    <xf numFmtId="3" fontId="0" fillId="11" borderId="0" xfId="0" applyNumberFormat="1" applyAlignment="1">
      <alignment horizontal="right"/>
    </xf>
    <xf numFmtId="9" fontId="0" fillId="11" borderId="0" xfId="0" applyNumberFormat="1" applyAlignment="1">
      <alignment horizontal="right" vertical="center"/>
    </xf>
    <xf numFmtId="9" fontId="0" fillId="11" borderId="0" xfId="0" applyNumberFormat="1" applyAlignment="1">
      <alignment horizontal="right" vertical="top"/>
    </xf>
    <xf numFmtId="174" fontId="0" fillId="11" borderId="0" xfId="0" applyNumberFormat="1" applyAlignment="1">
      <alignment horizontal="right" vertical="center"/>
    </xf>
    <xf numFmtId="3" fontId="0" fillId="11" borderId="0" xfId="0" applyNumberFormat="1" applyAlignment="1">
      <alignment horizontal="left" vertical="center" wrapText="1"/>
    </xf>
    <xf numFmtId="2" fontId="0" fillId="11" borderId="0" xfId="0" applyNumberFormat="1" applyAlignment="1">
      <alignment horizontal="left" vertical="center" wrapText="1"/>
    </xf>
    <xf numFmtId="2" fontId="0" fillId="11" borderId="0" xfId="0" applyNumberFormat="1" applyAlignment="1">
      <alignment horizontal="left" vertical="top" wrapText="1"/>
    </xf>
    <xf numFmtId="3" fontId="0" fillId="11" borderId="0" xfId="0" applyNumberFormat="1" applyAlignment="1">
      <alignment horizontal="right" vertical="top"/>
    </xf>
    <xf numFmtId="3" fontId="0" fillId="11" borderId="0" xfId="0" applyNumberFormat="1" applyAlignment="1">
      <alignment horizontal="right" vertical="center" wrapText="1"/>
    </xf>
    <xf numFmtId="3" fontId="0" fillId="11" borderId="0" xfId="0" applyNumberFormat="1" applyAlignment="1">
      <alignment vertical="center"/>
    </xf>
    <xf numFmtId="4" fontId="0" fillId="11" borderId="0" xfId="0" applyNumberFormat="1" applyAlignment="1">
      <alignment horizontal="right" vertical="top" wrapText="1"/>
    </xf>
    <xf numFmtId="168" fontId="0" fillId="11" borderId="0" xfId="0" applyNumberFormat="1" applyAlignment="1">
      <alignment horizontal="right" vertical="center" wrapText="1"/>
    </xf>
    <xf numFmtId="3" fontId="0" fillId="11" borderId="0" xfId="0" applyNumberFormat="1" applyAlignment="1">
      <alignment horizontal="right" vertical="top" wrapText="1"/>
    </xf>
    <xf numFmtId="168" fontId="0" fillId="11" borderId="0" xfId="0" applyNumberFormat="1" applyAlignment="1">
      <alignment horizontal="right" vertical="top" wrapText="1"/>
    </xf>
    <xf numFmtId="3" fontId="0" fillId="11" borderId="0" xfId="0" applyNumberFormat="1" applyAlignment="1">
      <alignment horizontal="center" vertical="center"/>
    </xf>
    <xf numFmtId="4" fontId="120" fillId="45" borderId="10" xfId="25" applyNumberFormat="1" applyBorder="1" applyAlignment="1">
      <alignment horizontal="right" vertical="center"/>
    </xf>
    <xf numFmtId="4" fontId="120" fillId="49" borderId="10" xfId="21" applyNumberFormat="1" applyBorder="1" applyAlignment="1">
      <alignment horizontal="right" vertical="center"/>
    </xf>
    <xf numFmtId="166" fontId="120" fillId="49" borderId="10" xfId="21" applyNumberFormat="1" applyBorder="1" applyAlignment="1">
      <alignment horizontal="right" vertical="center"/>
    </xf>
    <xf numFmtId="0" fontId="64" fillId="11" borderId="0" xfId="0" applyFont="1" applyAlignment="1">
      <alignment horizontal="left" vertical="top"/>
    </xf>
    <xf numFmtId="0" fontId="64" fillId="11" borderId="0" xfId="0" applyFont="1" applyAlignment="1">
      <alignment vertical="center"/>
    </xf>
    <xf numFmtId="0" fontId="64" fillId="11" borderId="0" xfId="0" applyFont="1">
      <alignment vertical="top"/>
    </xf>
    <xf numFmtId="4" fontId="94" fillId="11" borderId="0" xfId="70" applyNumberFormat="1" applyBorder="1">
      <alignment vertical="center"/>
    </xf>
    <xf numFmtId="4" fontId="59" fillId="11" borderId="10" xfId="0" applyNumberFormat="1" applyFont="1" applyBorder="1" applyAlignment="1">
      <alignment vertical="center"/>
    </xf>
    <xf numFmtId="168" fontId="94" fillId="11" borderId="0" xfId="70" applyNumberFormat="1" applyBorder="1">
      <alignment vertical="center"/>
    </xf>
    <xf numFmtId="168" fontId="94" fillId="11" borderId="0" xfId="70" applyNumberFormat="1" applyBorder="1" applyAlignment="1">
      <alignment vertical="top" wrapText="1"/>
    </xf>
    <xf numFmtId="3" fontId="100" fillId="12" borderId="10" xfId="14" applyNumberFormat="1" applyBorder="1" applyAlignment="1">
      <alignment horizontal="left" vertical="top"/>
    </xf>
    <xf numFmtId="168" fontId="120" fillId="45" borderId="10" xfId="25" applyNumberFormat="1" applyBorder="1" applyAlignment="1">
      <alignment horizontal="right" vertical="top"/>
    </xf>
    <xf numFmtId="168" fontId="94" fillId="11" borderId="0" xfId="70" applyNumberFormat="1" applyBorder="1" applyAlignment="1">
      <alignment vertical="top"/>
    </xf>
    <xf numFmtId="168" fontId="59" fillId="11" borderId="0" xfId="0" applyNumberFormat="1" applyFont="1" applyAlignment="1">
      <alignment horizontal="right" vertical="top"/>
    </xf>
    <xf numFmtId="168" fontId="93" fillId="11" borderId="0" xfId="27" applyNumberFormat="1" applyBorder="1">
      <alignment vertical="center"/>
    </xf>
    <xf numFmtId="0" fontId="100" fillId="12" borderId="12" xfId="14" applyNumberFormat="1" applyBorder="1" applyAlignment="1">
      <alignment vertical="top"/>
    </xf>
    <xf numFmtId="0" fontId="100" fillId="12" borderId="11" xfId="14" applyNumberFormat="1" applyBorder="1" applyAlignment="1">
      <alignment vertical="top" wrapText="1"/>
    </xf>
    <xf numFmtId="3" fontId="100" fillId="12" borderId="11" xfId="14" applyNumberFormat="1" applyBorder="1" applyAlignment="1">
      <alignment horizontal="left" vertical="top" wrapText="1"/>
    </xf>
    <xf numFmtId="0" fontId="59" fillId="11" borderId="11" xfId="0" applyFont="1" applyBorder="1" applyAlignment="1">
      <alignment vertical="top" wrapText="1"/>
    </xf>
    <xf numFmtId="168" fontId="120" fillId="45" borderId="11" xfId="25" applyNumberFormat="1" applyBorder="1" applyAlignment="1">
      <alignment horizontal="right" vertical="top" wrapText="1"/>
    </xf>
    <xf numFmtId="168" fontId="59" fillId="11" borderId="11" xfId="0" applyNumberFormat="1" applyFont="1" applyBorder="1" applyAlignment="1">
      <alignment vertical="top" wrapText="1"/>
    </xf>
    <xf numFmtId="168" fontId="120" fillId="49" borderId="11" xfId="21" applyNumberFormat="1" applyBorder="1" applyAlignment="1">
      <alignment horizontal="right" vertical="top" wrapText="1"/>
    </xf>
    <xf numFmtId="168" fontId="59" fillId="0" borderId="0" xfId="0" applyNumberFormat="1" applyFont="1" applyFill="1" applyAlignment="1">
      <alignment vertical="center"/>
    </xf>
    <xf numFmtId="168" fontId="59" fillId="11" borderId="0" xfId="0" applyNumberFormat="1" applyFont="1" applyAlignment="1">
      <alignment vertical="center"/>
    </xf>
    <xf numFmtId="168" fontId="77" fillId="0" borderId="0" xfId="0" applyNumberFormat="1" applyFont="1" applyFill="1" applyAlignment="1">
      <alignment vertical="center"/>
    </xf>
    <xf numFmtId="175" fontId="59" fillId="0" borderId="0" xfId="0" applyNumberFormat="1" applyFont="1" applyFill="1" applyAlignment="1">
      <alignment vertical="center"/>
    </xf>
    <xf numFmtId="175" fontId="59" fillId="11" borderId="0" xfId="0" applyNumberFormat="1" applyFont="1" applyAlignment="1">
      <alignment vertical="center"/>
    </xf>
    <xf numFmtId="3" fontId="100" fillId="12" borderId="10" xfId="14" applyNumberFormat="1" applyBorder="1" applyAlignment="1">
      <alignment vertical="center"/>
    </xf>
    <xf numFmtId="3" fontId="120" fillId="20" borderId="10" xfId="68" applyBorder="1" applyAlignment="1">
      <alignment vertical="top"/>
    </xf>
    <xf numFmtId="3" fontId="120" fillId="20" borderId="10" xfId="68" applyBorder="1" applyAlignment="1">
      <alignment horizontal="right" vertical="top"/>
    </xf>
    <xf numFmtId="0" fontId="90" fillId="11" borderId="0" xfId="0" applyFont="1" applyAlignment="1">
      <alignment vertical="center" wrapText="1"/>
    </xf>
    <xf numFmtId="168" fontId="76" fillId="49" borderId="14" xfId="21" applyNumberFormat="1" applyFont="1" applyBorder="1" applyAlignment="1">
      <alignment horizontal="right" vertical="center"/>
    </xf>
    <xf numFmtId="3" fontId="93" fillId="11" borderId="10" xfId="27" applyNumberFormat="1" applyBorder="1">
      <alignment vertical="center"/>
    </xf>
    <xf numFmtId="0" fontId="93" fillId="11" borderId="10" xfId="27" applyBorder="1">
      <alignment vertical="center"/>
    </xf>
    <xf numFmtId="3" fontId="80" fillId="0" borderId="10" xfId="30" applyFill="1" applyBorder="1" applyAlignment="1">
      <alignment horizontal="left" vertical="top"/>
    </xf>
    <xf numFmtId="168" fontId="120" fillId="45" borderId="10" xfId="25" applyNumberFormat="1" applyBorder="1" applyAlignment="1">
      <alignment horizontal="right" vertical="center" wrapText="1"/>
    </xf>
    <xf numFmtId="4" fontId="120" fillId="45" borderId="10" xfId="25" applyNumberFormat="1" applyBorder="1" applyAlignment="1">
      <alignment horizontal="right" vertical="center" wrapText="1"/>
    </xf>
    <xf numFmtId="168" fontId="120" fillId="49" borderId="10" xfId="21" applyNumberFormat="1" applyBorder="1" applyAlignment="1">
      <alignment horizontal="right" vertical="center" wrapText="1"/>
    </xf>
    <xf numFmtId="0" fontId="98" fillId="11" borderId="0" xfId="20" applyNumberFormat="1" applyAlignment="1">
      <alignment horizontal="center" vertical="center"/>
      <protection hidden="1"/>
    </xf>
    <xf numFmtId="3" fontId="93" fillId="11" borderId="10" xfId="27" applyNumberFormat="1" applyBorder="1" applyAlignment="1">
      <alignment vertical="center"/>
    </xf>
    <xf numFmtId="3" fontId="80" fillId="0" borderId="10" xfId="30" applyFill="1" applyBorder="1" applyAlignment="1">
      <alignment horizontal="left" vertical="center"/>
    </xf>
    <xf numFmtId="0" fontId="93" fillId="11" borderId="10" xfId="27" applyBorder="1" applyAlignment="1">
      <alignment vertical="center"/>
    </xf>
    <xf numFmtId="0" fontId="93" fillId="11" borderId="0" xfId="27" applyBorder="1" applyAlignment="1">
      <alignment vertical="center"/>
    </xf>
    <xf numFmtId="3" fontId="120" fillId="20" borderId="10" xfId="68" applyBorder="1" applyAlignment="1">
      <alignment horizontal="right" vertical="center"/>
    </xf>
    <xf numFmtId="3" fontId="93" fillId="11" borderId="0" xfId="27" applyNumberFormat="1" applyBorder="1" applyAlignment="1">
      <alignment vertical="center"/>
    </xf>
    <xf numFmtId="0" fontId="100" fillId="12" borderId="11" xfId="14" applyNumberFormat="1" applyBorder="1" applyAlignment="1">
      <alignment vertical="center"/>
    </xf>
    <xf numFmtId="0" fontId="100" fillId="12" borderId="12" xfId="14" applyNumberFormat="1" applyBorder="1" applyAlignment="1">
      <alignment vertical="center"/>
    </xf>
    <xf numFmtId="3" fontId="27" fillId="48" borderId="10" xfId="71">
      <alignment horizontal="right" vertical="center"/>
    </xf>
    <xf numFmtId="3" fontId="27" fillId="48" borderId="17" xfId="71" applyBorder="1">
      <alignment horizontal="right" vertical="center"/>
    </xf>
    <xf numFmtId="3" fontId="69" fillId="47" borderId="17" xfId="72" applyBorder="1" applyAlignment="1">
      <alignment horizontal="right" vertical="center"/>
    </xf>
    <xf numFmtId="0" fontId="59" fillId="0" borderId="23" xfId="0" applyFont="1" applyFill="1" applyBorder="1" applyAlignment="1">
      <alignment vertical="center"/>
    </xf>
    <xf numFmtId="168" fontId="120" fillId="49" borderId="23" xfId="21" applyNumberFormat="1" applyBorder="1" applyAlignment="1">
      <alignment horizontal="right" vertical="center"/>
    </xf>
    <xf numFmtId="168" fontId="120" fillId="45" borderId="23" xfId="25" applyNumberFormat="1" applyBorder="1" applyAlignment="1">
      <alignment horizontal="right" vertical="center"/>
    </xf>
    <xf numFmtId="168" fontId="68" fillId="11" borderId="0" xfId="0" applyNumberFormat="1" applyFont="1" applyAlignment="1">
      <alignment horizontal="right" vertical="center"/>
    </xf>
    <xf numFmtId="3" fontId="126" fillId="14" borderId="15" xfId="29" applyNumberFormat="1" applyBorder="1" applyAlignment="1">
      <alignment horizontal="right" vertical="center" wrapText="1"/>
      <protection locked="0"/>
    </xf>
    <xf numFmtId="0" fontId="100" fillId="12" borderId="10" xfId="14" applyNumberFormat="1" applyBorder="1" applyAlignment="1">
      <alignment vertical="top" wrapText="1"/>
    </xf>
    <xf numFmtId="0" fontId="100" fillId="12" borderId="10" xfId="14" applyNumberFormat="1" applyBorder="1" applyAlignment="1">
      <alignment horizontal="left" vertical="top" wrapText="1"/>
    </xf>
    <xf numFmtId="0" fontId="100" fillId="12" borderId="10" xfId="14" applyNumberFormat="1" applyBorder="1" applyAlignment="1">
      <alignment vertical="center" wrapText="1"/>
    </xf>
    <xf numFmtId="3" fontId="126" fillId="54" borderId="25" xfId="6" applyNumberFormat="1" applyAlignment="1">
      <alignment horizontal="right" vertical="center" wrapText="1"/>
      <protection locked="0"/>
    </xf>
    <xf numFmtId="3" fontId="120" fillId="45" borderId="10" xfId="25" applyNumberFormat="1" applyBorder="1" applyAlignment="1">
      <alignment horizontal="right" vertical="top" wrapText="1"/>
    </xf>
    <xf numFmtId="4" fontId="100" fillId="12" borderId="10" xfId="14" applyNumberFormat="1" applyBorder="1" applyAlignment="1">
      <alignment horizontal="right" vertical="top" wrapText="1"/>
    </xf>
    <xf numFmtId="1" fontId="100" fillId="12" borderId="10" xfId="14" applyNumberFormat="1" applyBorder="1" applyAlignment="1">
      <alignment horizontal="right" vertical="center"/>
    </xf>
    <xf numFmtId="1" fontId="100" fillId="12" borderId="10" xfId="14" applyNumberFormat="1" applyBorder="1" applyAlignment="1">
      <alignment horizontal="right" vertical="center" wrapText="1"/>
    </xf>
    <xf numFmtId="9" fontId="100" fillId="12" borderId="10" xfId="14" applyNumberFormat="1" applyBorder="1" applyAlignment="1">
      <alignment horizontal="right" vertical="center"/>
    </xf>
    <xf numFmtId="168" fontId="100" fillId="12" borderId="10" xfId="14" applyNumberFormat="1" applyBorder="1" applyAlignment="1">
      <alignment horizontal="right" vertical="center"/>
    </xf>
    <xf numFmtId="4" fontId="100" fillId="12" borderId="10" xfId="14" applyNumberFormat="1" applyBorder="1" applyAlignment="1">
      <alignment horizontal="right" vertical="center"/>
    </xf>
    <xf numFmtId="4" fontId="126" fillId="50" borderId="15" xfId="73" applyNumberFormat="1" applyBorder="1" applyAlignment="1">
      <alignment horizontal="right" vertical="center" wrapText="1"/>
      <protection locked="0"/>
    </xf>
    <xf numFmtId="168" fontId="126" fillId="50" borderId="15" xfId="73" applyNumberFormat="1" applyBorder="1" applyAlignment="1">
      <alignment horizontal="right" vertical="center" wrapText="1"/>
      <protection locked="0"/>
    </xf>
    <xf numFmtId="3" fontId="65" fillId="11" borderId="14" xfId="0" applyNumberFormat="1" applyFont="1" applyBorder="1" applyAlignment="1">
      <alignment horizontal="right" vertical="center"/>
    </xf>
    <xf numFmtId="0" fontId="59" fillId="0" borderId="10" xfId="0" applyFont="1" applyFill="1" applyBorder="1" applyAlignment="1">
      <alignment vertical="top"/>
    </xf>
    <xf numFmtId="1" fontId="59" fillId="12" borderId="10" xfId="0" applyNumberFormat="1" applyFont="1" applyFill="1" applyBorder="1" applyAlignment="1">
      <alignment horizontal="right" vertical="top" wrapText="1"/>
    </xf>
    <xf numFmtId="3" fontId="59" fillId="0" borderId="11" xfId="0" applyNumberFormat="1" applyFont="1" applyFill="1" applyBorder="1" applyAlignment="1">
      <alignment horizontal="right" vertical="top" wrapText="1"/>
    </xf>
    <xf numFmtId="4" fontId="59" fillId="12" borderId="15" xfId="14" applyNumberFormat="1" applyFont="1" applyBorder="1" applyAlignment="1">
      <alignment horizontal="right" vertical="center"/>
    </xf>
    <xf numFmtId="168" fontId="59" fillId="12" borderId="15" xfId="14" applyNumberFormat="1" applyFont="1" applyBorder="1" applyAlignment="1">
      <alignment horizontal="right" vertical="center"/>
    </xf>
    <xf numFmtId="9" fontId="126" fillId="50" borderId="15" xfId="73" applyNumberFormat="1" applyBorder="1" applyAlignment="1">
      <alignment horizontal="right" vertical="center" wrapText="1"/>
      <protection locked="0"/>
    </xf>
    <xf numFmtId="4" fontId="120" fillId="49" borderId="10" xfId="21" applyNumberFormat="1" applyBorder="1" applyAlignment="1">
      <alignment horizontal="right" vertical="top" wrapText="1"/>
    </xf>
    <xf numFmtId="1" fontId="120" fillId="49" borderId="10" xfId="21" applyNumberFormat="1" applyBorder="1" applyAlignment="1">
      <alignment horizontal="right" vertical="center"/>
    </xf>
    <xf numFmtId="9" fontId="120" fillId="49" borderId="10" xfId="21" applyNumberFormat="1" applyBorder="1" applyAlignment="1">
      <alignment horizontal="right" vertical="center"/>
    </xf>
    <xf numFmtId="3" fontId="71" fillId="12" borderId="12" xfId="0" applyNumberFormat="1" applyFont="1" applyFill="1" applyBorder="1" applyAlignment="1">
      <alignment horizontal="right" vertical="center"/>
    </xf>
    <xf numFmtId="3" fontId="120" fillId="45" borderId="10" xfId="25" applyNumberFormat="1" applyBorder="1" applyAlignment="1">
      <alignment horizontal="right" vertical="top"/>
    </xf>
    <xf numFmtId="175" fontId="120" fillId="45" borderId="11" xfId="25" applyNumberFormat="1" applyBorder="1" applyAlignment="1">
      <alignment horizontal="right" vertical="center"/>
    </xf>
    <xf numFmtId="166" fontId="120" fillId="45" borderId="11" xfId="25" applyNumberFormat="1" applyBorder="1" applyAlignment="1">
      <alignment horizontal="right" vertical="center"/>
    </xf>
    <xf numFmtId="2" fontId="120" fillId="49" borderId="11" xfId="21" applyNumberFormat="1" applyBorder="1" applyAlignment="1">
      <alignment horizontal="right" vertical="center"/>
    </xf>
    <xf numFmtId="0" fontId="100" fillId="12" borderId="11" xfId="14" applyNumberFormat="1" applyBorder="1" applyAlignment="1">
      <alignment horizontal="left" vertical="center"/>
    </xf>
    <xf numFmtId="0" fontId="100" fillId="12" borderId="12" xfId="14" applyNumberFormat="1" applyBorder="1" applyAlignment="1">
      <alignment horizontal="left" vertical="center"/>
    </xf>
    <xf numFmtId="0" fontId="100" fillId="12" borderId="11" xfId="14" applyNumberFormat="1" applyBorder="1" applyAlignment="1">
      <alignment horizontal="left" vertical="center" wrapText="1"/>
    </xf>
    <xf numFmtId="0" fontId="100" fillId="12" borderId="10" xfId="14" applyNumberFormat="1" applyBorder="1">
      <alignment vertical="top"/>
    </xf>
    <xf numFmtId="0" fontId="100" fillId="12" borderId="23" xfId="14" applyNumberFormat="1" applyBorder="1" applyAlignment="1">
      <alignment horizontal="left" vertical="center"/>
    </xf>
    <xf numFmtId="0" fontId="100" fillId="12" borderId="23" xfId="14" applyNumberFormat="1" applyBorder="1" applyAlignment="1">
      <alignment vertical="center"/>
    </xf>
    <xf numFmtId="0" fontId="100" fillId="12" borderId="12" xfId="14" applyNumberFormat="1" applyBorder="1" applyAlignment="1">
      <alignment horizontal="left" vertical="top"/>
    </xf>
    <xf numFmtId="0" fontId="100" fillId="12" borderId="11" xfId="14" applyNumberFormat="1" applyBorder="1" applyAlignment="1">
      <alignment horizontal="left" vertical="top"/>
    </xf>
    <xf numFmtId="3" fontId="71" fillId="45" borderId="12" xfId="25" applyNumberFormat="1" applyFont="1" applyBorder="1" applyAlignment="1">
      <alignment horizontal="right" vertical="center"/>
    </xf>
    <xf numFmtId="175" fontId="100" fillId="12" borderId="11" xfId="14" applyNumberFormat="1" applyBorder="1" applyAlignment="1">
      <alignment horizontal="right" vertical="center"/>
    </xf>
    <xf numFmtId="4" fontId="100" fillId="12" borderId="12" xfId="14" applyNumberFormat="1" applyBorder="1" applyAlignment="1">
      <alignment horizontal="right" vertical="center"/>
    </xf>
    <xf numFmtId="4" fontId="100" fillId="12" borderId="11" xfId="14" applyNumberFormat="1" applyBorder="1" applyAlignment="1">
      <alignment horizontal="right" vertical="center"/>
    </xf>
    <xf numFmtId="0" fontId="100" fillId="12" borderId="11" xfId="14" applyNumberFormat="1" applyBorder="1" applyAlignment="1">
      <alignment vertical="center" wrapText="1"/>
    </xf>
    <xf numFmtId="3" fontId="120" fillId="49" borderId="10" xfId="21" applyNumberFormat="1" applyBorder="1" applyAlignment="1">
      <alignment vertical="center"/>
    </xf>
    <xf numFmtId="168" fontId="120" fillId="45" borderId="11" xfId="25" applyNumberFormat="1" applyBorder="1" applyAlignment="1">
      <alignment horizontal="right" vertical="center"/>
    </xf>
    <xf numFmtId="168" fontId="100" fillId="12" borderId="11" xfId="14" applyNumberFormat="1" applyBorder="1" applyAlignment="1">
      <alignment horizontal="right" vertical="center"/>
    </xf>
    <xf numFmtId="168" fontId="120" fillId="45" borderId="12" xfId="25" applyNumberFormat="1" applyBorder="1" applyAlignment="1">
      <alignment horizontal="right" vertical="center"/>
    </xf>
    <xf numFmtId="168" fontId="59" fillId="11" borderId="12" xfId="0" applyNumberFormat="1" applyFont="1" applyBorder="1" applyAlignment="1">
      <alignment vertical="center"/>
    </xf>
    <xf numFmtId="168" fontId="100" fillId="12" borderId="12" xfId="14" applyNumberFormat="1" applyBorder="1" applyAlignment="1">
      <alignment horizontal="right" vertical="center"/>
    </xf>
    <xf numFmtId="3" fontId="100" fillId="12" borderId="10" xfId="14" applyNumberFormat="1" applyBorder="1" applyAlignment="1">
      <alignment horizontal="right" vertical="center"/>
    </xf>
    <xf numFmtId="3" fontId="69" fillId="47" borderId="10" xfId="72" applyAlignment="1">
      <alignment horizontal="right" vertical="center"/>
    </xf>
    <xf numFmtId="168" fontId="120" fillId="45" borderId="14" xfId="25" applyNumberFormat="1" applyBorder="1" applyAlignment="1">
      <alignment horizontal="right" vertical="center"/>
    </xf>
    <xf numFmtId="168" fontId="0" fillId="11" borderId="0" xfId="0" applyNumberFormat="1" applyAlignment="1">
      <alignment vertical="center"/>
    </xf>
    <xf numFmtId="0" fontId="33" fillId="11" borderId="0" xfId="0" applyFont="1" applyAlignment="1">
      <alignment horizontal="left" vertical="center"/>
    </xf>
    <xf numFmtId="0" fontId="30" fillId="11" borderId="0" xfId="0" applyFont="1" applyAlignment="1">
      <alignment vertical="center"/>
    </xf>
    <xf numFmtId="0" fontId="30" fillId="11" borderId="0" xfId="0" applyFont="1" applyAlignment="1">
      <alignment horizontal="left" vertical="top"/>
    </xf>
    <xf numFmtId="4" fontId="126" fillId="54" borderId="25" xfId="6" applyNumberFormat="1">
      <alignment horizontal="right" vertical="top" wrapText="1"/>
      <protection locked="0"/>
    </xf>
    <xf numFmtId="9" fontId="100" fillId="12" borderId="10" xfId="14" applyNumberFormat="1" applyBorder="1" applyAlignment="1">
      <alignment horizontal="right" vertical="top" wrapText="1"/>
    </xf>
    <xf numFmtId="0" fontId="93" fillId="11" borderId="10" xfId="27" applyNumberFormat="1" applyBorder="1" applyAlignment="1">
      <alignment vertical="center"/>
    </xf>
    <xf numFmtId="0" fontId="80" fillId="11" borderId="10" xfId="30" applyNumberFormat="1" applyFill="1" applyBorder="1" applyAlignment="1">
      <alignment vertical="center"/>
    </xf>
    <xf numFmtId="2" fontId="93" fillId="11" borderId="10" xfId="27" applyNumberFormat="1" applyBorder="1" applyAlignment="1">
      <alignment horizontal="right" vertical="center"/>
    </xf>
    <xf numFmtId="168" fontId="93" fillId="11" borderId="10" xfId="27" applyNumberFormat="1" applyBorder="1" applyAlignment="1">
      <alignment horizontal="right" vertical="center"/>
    </xf>
    <xf numFmtId="3" fontId="120" fillId="20" borderId="14" xfId="68" applyBorder="1" applyAlignment="1">
      <alignment vertical="top"/>
    </xf>
    <xf numFmtId="3" fontId="120" fillId="20" borderId="14" xfId="68" applyBorder="1" applyAlignment="1">
      <alignment horizontal="right" vertical="top"/>
    </xf>
    <xf numFmtId="9" fontId="59" fillId="11" borderId="0" xfId="0" applyNumberFormat="1" applyFont="1" applyAlignment="1">
      <alignment horizontal="right" vertical="top" wrapText="1"/>
    </xf>
    <xf numFmtId="168" fontId="59" fillId="11" borderId="10" xfId="0" applyNumberFormat="1" applyFont="1" applyBorder="1" applyAlignment="1">
      <alignment vertical="top" wrapText="1"/>
    </xf>
    <xf numFmtId="3" fontId="120" fillId="49" borderId="10" xfId="21" applyBorder="1" applyAlignment="1">
      <alignment horizontal="right" vertical="top" wrapText="1"/>
    </xf>
    <xf numFmtId="0" fontId="104" fillId="12" borderId="14" xfId="75" applyNumberFormat="1" applyBorder="1" applyAlignment="1">
      <alignment vertical="center"/>
    </xf>
    <xf numFmtId="0" fontId="104" fillId="12" borderId="14" xfId="75" applyNumberFormat="1" applyBorder="1" applyAlignment="1">
      <alignment vertical="center" wrapText="1"/>
    </xf>
    <xf numFmtId="171" fontId="33" fillId="11" borderId="0" xfId="0" applyNumberFormat="1" applyFont="1" applyAlignment="1">
      <alignment horizontal="left" vertical="center"/>
    </xf>
    <xf numFmtId="170" fontId="19" fillId="11" borderId="0" xfId="0" applyNumberFormat="1" applyFont="1" applyAlignment="1">
      <alignment horizontal="right" vertical="center"/>
    </xf>
    <xf numFmtId="0" fontId="100" fillId="12" borderId="14" xfId="14" applyNumberFormat="1" applyBorder="1">
      <alignment vertical="top"/>
    </xf>
    <xf numFmtId="0" fontId="100" fillId="12" borderId="14" xfId="14" applyNumberFormat="1" applyBorder="1" applyAlignment="1">
      <alignment vertical="top" wrapText="1"/>
    </xf>
    <xf numFmtId="2" fontId="100" fillId="12" borderId="10" xfId="14" applyNumberFormat="1" applyBorder="1" applyAlignment="1">
      <alignment horizontal="right" vertical="top" wrapText="1"/>
    </xf>
    <xf numFmtId="2" fontId="100" fillId="12" borderId="10" xfId="14" applyNumberFormat="1" applyBorder="1" applyAlignment="1">
      <alignment horizontal="right" vertical="center"/>
    </xf>
    <xf numFmtId="165" fontId="100" fillId="12" borderId="10" xfId="14" applyNumberFormat="1" applyBorder="1" applyAlignment="1">
      <alignment horizontal="right" vertical="center" wrapText="1"/>
    </xf>
    <xf numFmtId="165" fontId="100" fillId="12" borderId="10" xfId="14" applyNumberFormat="1" applyBorder="1" applyAlignment="1">
      <alignment horizontal="right" vertical="top" wrapText="1"/>
    </xf>
    <xf numFmtId="4" fontId="100" fillId="12" borderId="10" xfId="14" applyNumberFormat="1" applyBorder="1" applyAlignment="1">
      <alignment horizontal="right" vertical="center" wrapText="1"/>
    </xf>
    <xf numFmtId="166" fontId="100" fillId="12" borderId="10" xfId="14" applyNumberFormat="1" applyBorder="1" applyAlignment="1">
      <alignment horizontal="right" vertical="center" wrapText="1"/>
    </xf>
    <xf numFmtId="0" fontId="93" fillId="11" borderId="14" xfId="27" applyNumberFormat="1" applyBorder="1" applyAlignment="1">
      <alignment vertical="center"/>
    </xf>
    <xf numFmtId="0" fontId="80" fillId="11" borderId="14" xfId="30" applyNumberFormat="1" applyFill="1" applyBorder="1" applyAlignment="1">
      <alignment vertical="center"/>
    </xf>
    <xf numFmtId="3" fontId="93" fillId="11" borderId="14" xfId="27" applyNumberFormat="1" applyBorder="1" applyAlignment="1">
      <alignment horizontal="left" vertical="center"/>
    </xf>
    <xf numFmtId="168" fontId="93" fillId="11" borderId="14" xfId="27" applyNumberFormat="1" applyBorder="1" applyAlignment="1">
      <alignment horizontal="right" vertical="center" wrapText="1"/>
    </xf>
    <xf numFmtId="4" fontId="100" fillId="12" borderId="14" xfId="14" applyNumberFormat="1" applyBorder="1" applyAlignment="1">
      <alignment horizontal="right" vertical="top" wrapText="1"/>
    </xf>
    <xf numFmtId="2" fontId="100" fillId="12" borderId="14" xfId="14" applyNumberFormat="1" applyBorder="1" applyAlignment="1">
      <alignment horizontal="right" vertical="top"/>
    </xf>
    <xf numFmtId="3" fontId="100" fillId="12" borderId="14" xfId="14" applyBorder="1" applyAlignment="1">
      <alignment horizontal="right" vertical="top" wrapText="1"/>
    </xf>
    <xf numFmtId="9" fontId="100" fillId="12" borderId="14" xfId="14" applyNumberFormat="1" applyBorder="1" applyAlignment="1">
      <alignment horizontal="right" vertical="top" wrapText="1"/>
    </xf>
    <xf numFmtId="4" fontId="100" fillId="12" borderId="14" xfId="14" applyNumberFormat="1" applyBorder="1" applyAlignment="1">
      <alignment horizontal="center" vertical="top" wrapText="1"/>
    </xf>
    <xf numFmtId="0" fontId="104" fillId="12" borderId="12" xfId="75" applyNumberFormat="1" applyBorder="1" applyAlignment="1">
      <alignment vertical="center"/>
    </xf>
    <xf numFmtId="0" fontId="100" fillId="12" borderId="12" xfId="14" applyNumberFormat="1" applyBorder="1" applyAlignment="1">
      <alignment vertical="center" wrapText="1"/>
    </xf>
    <xf numFmtId="166" fontId="59" fillId="0" borderId="0" xfId="0" applyNumberFormat="1" applyFont="1" applyFill="1" applyAlignment="1">
      <alignment horizontal="right" vertical="center"/>
    </xf>
    <xf numFmtId="165" fontId="120" fillId="49" borderId="11" xfId="21" applyNumberFormat="1" applyBorder="1" applyAlignment="1">
      <alignment horizontal="right" vertical="center"/>
    </xf>
    <xf numFmtId="165" fontId="100" fillId="12" borderId="11" xfId="14" applyNumberFormat="1" applyBorder="1" applyAlignment="1">
      <alignment horizontal="right" vertical="center"/>
    </xf>
    <xf numFmtId="165" fontId="59" fillId="11" borderId="0" xfId="0" applyNumberFormat="1" applyFont="1" applyAlignment="1">
      <alignment horizontal="right" vertical="center"/>
    </xf>
    <xf numFmtId="165" fontId="120" fillId="45" borderId="11" xfId="25" applyNumberFormat="1" applyBorder="1" applyAlignment="1">
      <alignment horizontal="right" vertical="center"/>
    </xf>
    <xf numFmtId="165" fontId="59" fillId="11" borderId="11" xfId="0" applyNumberFormat="1" applyFont="1" applyBorder="1" applyAlignment="1">
      <alignment vertical="center"/>
    </xf>
    <xf numFmtId="165" fontId="126" fillId="50" borderId="15" xfId="73" applyNumberFormat="1" applyBorder="1" applyAlignment="1">
      <alignment horizontal="right" vertical="center" wrapText="1"/>
      <protection locked="0"/>
    </xf>
    <xf numFmtId="166" fontId="100" fillId="12" borderId="10" xfId="14" applyNumberFormat="1" applyBorder="1" applyAlignment="1">
      <alignment horizontal="right" vertical="center"/>
    </xf>
    <xf numFmtId="166" fontId="59" fillId="11" borderId="0" xfId="0" applyNumberFormat="1" applyFont="1" applyAlignment="1">
      <alignment horizontal="right" vertical="center"/>
    </xf>
    <xf numFmtId="166" fontId="120" fillId="45" borderId="10" xfId="25" applyNumberFormat="1" applyBorder="1" applyAlignment="1">
      <alignment horizontal="right" vertical="center"/>
    </xf>
    <xf numFmtId="166" fontId="59" fillId="11" borderId="10" xfId="0" applyNumberFormat="1" applyFont="1" applyBorder="1" applyAlignment="1">
      <alignment vertical="center"/>
    </xf>
    <xf numFmtId="166" fontId="120" fillId="45" borderId="10" xfId="25" applyNumberFormat="1" applyBorder="1" applyAlignment="1">
      <alignment horizontal="right" vertical="center" wrapText="1"/>
    </xf>
    <xf numFmtId="166" fontId="59" fillId="11" borderId="0" xfId="0" applyNumberFormat="1" applyFont="1" applyAlignment="1">
      <alignment horizontal="right" vertical="center" wrapText="1"/>
    </xf>
    <xf numFmtId="3" fontId="100" fillId="12" borderId="12" xfId="14" applyNumberFormat="1" applyBorder="1" applyAlignment="1">
      <alignment horizontal="left" vertical="center"/>
    </xf>
    <xf numFmtId="168" fontId="94" fillId="11" borderId="0" xfId="70" applyNumberFormat="1" applyBorder="1" applyAlignment="1">
      <alignment vertical="center"/>
    </xf>
    <xf numFmtId="168" fontId="120" fillId="49" borderId="12" xfId="21" applyNumberFormat="1" applyBorder="1" applyAlignment="1">
      <alignment horizontal="right" vertical="center"/>
    </xf>
    <xf numFmtId="3" fontId="100" fillId="12" borderId="11" xfId="14" applyNumberFormat="1" applyBorder="1" applyAlignment="1">
      <alignment horizontal="left" vertical="center" wrapText="1"/>
    </xf>
    <xf numFmtId="0" fontId="59" fillId="11" borderId="11" xfId="0" applyFont="1" applyBorder="1" applyAlignment="1">
      <alignment vertical="center" wrapText="1"/>
    </xf>
    <xf numFmtId="168" fontId="120" fillId="45" borderId="11" xfId="25" applyNumberFormat="1" applyBorder="1" applyAlignment="1">
      <alignment horizontal="right" vertical="center" wrapText="1"/>
    </xf>
    <xf numFmtId="168" fontId="94" fillId="11" borderId="0" xfId="70" applyNumberFormat="1" applyBorder="1" applyAlignment="1">
      <alignment vertical="center" wrapText="1"/>
    </xf>
    <xf numFmtId="168" fontId="59" fillId="11" borderId="11" xfId="0" applyNumberFormat="1" applyFont="1" applyBorder="1" applyAlignment="1">
      <alignment vertical="center" wrapText="1"/>
    </xf>
    <xf numFmtId="168" fontId="120" fillId="49" borderId="11" xfId="21" applyNumberFormat="1" applyBorder="1" applyAlignment="1">
      <alignment horizontal="right" vertical="center" wrapText="1"/>
    </xf>
    <xf numFmtId="4" fontId="120" fillId="45" borderId="11" xfId="25" applyNumberFormat="1" applyBorder="1" applyAlignment="1">
      <alignment horizontal="right" vertical="center" wrapText="1"/>
    </xf>
    <xf numFmtId="0" fontId="97" fillId="11" borderId="0" xfId="0" applyFont="1" applyAlignment="1">
      <alignment horizontal="left" vertical="top"/>
    </xf>
    <xf numFmtId="4" fontId="96" fillId="12" borderId="14" xfId="76" applyNumberFormat="1" applyFill="1" applyBorder="1" applyAlignment="1">
      <alignment horizontal="center" vertical="top" wrapText="1"/>
    </xf>
    <xf numFmtId="0" fontId="24" fillId="12" borderId="10" xfId="14" applyNumberFormat="1" applyFont="1" applyBorder="1">
      <alignment vertical="top"/>
    </xf>
    <xf numFmtId="3" fontId="69" fillId="47" borderId="10" xfId="72">
      <alignment horizontal="right" vertical="center"/>
    </xf>
    <xf numFmtId="168" fontId="19" fillId="11" borderId="0" xfId="14" applyNumberFormat="1" applyFont="1" applyFill="1" applyBorder="1" applyAlignment="1">
      <alignment horizontal="right" vertical="center"/>
    </xf>
    <xf numFmtId="3" fontId="100" fillId="12" borderId="10" xfId="14" applyBorder="1" applyAlignment="1">
      <alignment vertical="center"/>
    </xf>
    <xf numFmtId="0" fontId="0" fillId="11" borderId="0" xfId="0" applyAlignment="1">
      <alignment horizontal="center" vertical="center"/>
    </xf>
    <xf numFmtId="166" fontId="59" fillId="11" borderId="11" xfId="0" applyNumberFormat="1" applyFont="1" applyBorder="1" applyAlignment="1">
      <alignment vertical="center"/>
    </xf>
    <xf numFmtId="166" fontId="120" fillId="49" borderId="11" xfId="21" applyNumberFormat="1" applyBorder="1" applyAlignment="1">
      <alignment horizontal="right" vertical="center"/>
    </xf>
    <xf numFmtId="166" fontId="100" fillId="12" borderId="11" xfId="14" applyNumberFormat="1" applyBorder="1" applyAlignment="1">
      <alignment horizontal="right" vertical="center"/>
    </xf>
    <xf numFmtId="167" fontId="59" fillId="12" borderId="10" xfId="0" applyNumberFormat="1" applyFont="1" applyFill="1" applyBorder="1" applyAlignment="1">
      <alignment horizontal="right" vertical="center"/>
    </xf>
    <xf numFmtId="165" fontId="59" fillId="0" borderId="0" xfId="0" applyNumberFormat="1" applyFont="1" applyFill="1" applyAlignment="1">
      <alignment horizontal="right" vertical="center"/>
    </xf>
    <xf numFmtId="3" fontId="126" fillId="14" borderId="23" xfId="29" applyNumberFormat="1" applyBorder="1" applyAlignment="1">
      <alignment horizontal="right" vertical="center"/>
      <protection locked="0"/>
    </xf>
    <xf numFmtId="0" fontId="42" fillId="11" borderId="0" xfId="0" applyFont="1" applyAlignment="1">
      <alignment horizontal="left" vertical="center" wrapText="1"/>
    </xf>
    <xf numFmtId="0" fontId="0" fillId="11" borderId="0" xfId="0" applyAlignment="1">
      <alignment horizontal="left" vertical="top" wrapText="1"/>
    </xf>
    <xf numFmtId="4" fontId="120" fillId="49" borderId="11" xfId="21" applyNumberFormat="1" applyBorder="1" applyAlignment="1">
      <alignment horizontal="right" vertical="center"/>
    </xf>
    <xf numFmtId="3" fontId="120" fillId="49" borderId="10" xfId="21" applyNumberFormat="1" applyBorder="1" applyAlignment="1">
      <alignment horizontal="right" vertical="center" wrapText="1"/>
    </xf>
    <xf numFmtId="168" fontId="71" fillId="12" borderId="12" xfId="0" applyNumberFormat="1" applyFont="1" applyFill="1" applyBorder="1" applyAlignment="1">
      <alignment horizontal="right" vertical="center"/>
    </xf>
    <xf numFmtId="0" fontId="104" fillId="12" borderId="0" xfId="75" applyNumberFormat="1" applyBorder="1" applyAlignment="1">
      <alignment vertical="center"/>
    </xf>
    <xf numFmtId="0" fontId="104" fillId="12" borderId="0" xfId="75" applyNumberFormat="1" applyBorder="1" applyAlignment="1">
      <alignment horizontal="right" vertical="center" wrapText="1"/>
    </xf>
    <xf numFmtId="168" fontId="104" fillId="12" borderId="10" xfId="75" applyNumberFormat="1" applyBorder="1" applyAlignment="1">
      <alignment horizontal="right" vertical="center" wrapText="1"/>
    </xf>
    <xf numFmtId="0" fontId="104" fillId="12" borderId="0" xfId="75" applyNumberFormat="1" applyBorder="1" applyAlignment="1">
      <alignment vertical="center" wrapText="1"/>
    </xf>
    <xf numFmtId="2" fontId="104" fillId="12" borderId="10" xfId="75" applyNumberFormat="1" applyBorder="1" applyAlignment="1">
      <alignment horizontal="right" vertical="center"/>
    </xf>
    <xf numFmtId="0" fontId="104" fillId="12" borderId="10" xfId="75" applyNumberFormat="1" applyBorder="1" applyAlignment="1">
      <alignment vertical="center"/>
    </xf>
    <xf numFmtId="2" fontId="104" fillId="12" borderId="0" xfId="75" applyNumberFormat="1" applyBorder="1" applyAlignment="1">
      <alignment horizontal="right" vertical="center"/>
    </xf>
    <xf numFmtId="2" fontId="104" fillId="12" borderId="12" xfId="75" applyNumberFormat="1" applyBorder="1" applyAlignment="1">
      <alignment horizontal="right" vertical="center"/>
    </xf>
    <xf numFmtId="166" fontId="126" fillId="54" borderId="25" xfId="6" applyAlignment="1">
      <alignment horizontal="right" vertical="top" wrapText="1"/>
      <protection locked="0"/>
    </xf>
    <xf numFmtId="0" fontId="100" fillId="12" borderId="17" xfId="14" applyNumberFormat="1" applyBorder="1" applyAlignment="1">
      <alignment horizontal="left" vertical="center"/>
    </xf>
    <xf numFmtId="3" fontId="120" fillId="49" borderId="17" xfId="21" applyNumberFormat="1" applyBorder="1" applyAlignment="1">
      <alignment vertical="top"/>
    </xf>
    <xf numFmtId="3" fontId="120" fillId="49" borderId="10" xfId="21" applyNumberFormat="1" applyAlignment="1">
      <alignment horizontal="right" vertical="center" wrapText="1"/>
    </xf>
    <xf numFmtId="9" fontId="120" fillId="45" borderId="14" xfId="25" applyNumberFormat="1" applyBorder="1" applyAlignment="1">
      <alignment horizontal="right" vertical="top"/>
    </xf>
    <xf numFmtId="3" fontId="120" fillId="45" borderId="16" xfId="25" applyNumberFormat="1" applyBorder="1" applyAlignment="1">
      <alignment horizontal="right" vertical="center"/>
    </xf>
    <xf numFmtId="3" fontId="120" fillId="45" borderId="17" xfId="25" applyNumberFormat="1" applyBorder="1" applyAlignment="1">
      <alignment horizontal="right" vertical="center"/>
    </xf>
    <xf numFmtId="0" fontId="104" fillId="12" borderId="10" xfId="75" applyNumberFormat="1" applyBorder="1" applyAlignment="1">
      <alignment horizontal="right" vertical="center" wrapText="1"/>
    </xf>
    <xf numFmtId="0" fontId="104" fillId="12" borderId="10" xfId="75" applyNumberFormat="1" applyBorder="1" applyAlignment="1">
      <alignment vertical="center" wrapText="1"/>
    </xf>
    <xf numFmtId="0" fontId="104" fillId="12" borderId="12" xfId="75" applyNumberFormat="1" applyBorder="1" applyAlignment="1">
      <alignment vertical="center" wrapText="1"/>
    </xf>
    <xf numFmtId="168" fontId="104" fillId="12" borderId="0" xfId="75" applyNumberFormat="1" applyBorder="1" applyAlignment="1">
      <alignment horizontal="right" vertical="center" wrapText="1"/>
    </xf>
    <xf numFmtId="168" fontId="19" fillId="11" borderId="0" xfId="0" applyNumberFormat="1" applyFont="1" applyAlignment="1">
      <alignment vertical="top"/>
    </xf>
    <xf numFmtId="0" fontId="106" fillId="11" borderId="0" xfId="13" applyNumberFormat="1" applyAlignment="1" applyProtection="1">
      <alignment horizontal="left" vertical="top"/>
      <protection hidden="1"/>
    </xf>
    <xf numFmtId="2" fontId="100" fillId="12" borderId="10" xfId="14" applyNumberFormat="1" applyBorder="1" applyAlignment="1">
      <alignment horizontal="right" vertical="top"/>
    </xf>
    <xf numFmtId="0" fontId="100" fillId="12" borderId="10" xfId="14" applyNumberFormat="1" applyBorder="1" applyAlignment="1">
      <alignment horizontal="right" vertical="top" wrapText="1"/>
    </xf>
    <xf numFmtId="168" fontId="19" fillId="11" borderId="0" xfId="0" applyNumberFormat="1" applyFont="1" applyAlignment="1">
      <alignment vertical="center"/>
    </xf>
    <xf numFmtId="3" fontId="19" fillId="11" borderId="0" xfId="14" applyFont="1" applyFill="1" applyBorder="1" applyAlignment="1">
      <alignment horizontal="right" vertical="center"/>
    </xf>
    <xf numFmtId="168" fontId="104" fillId="12" borderId="12" xfId="75" applyNumberFormat="1" applyBorder="1" applyAlignment="1">
      <alignment horizontal="right" vertical="center" wrapText="1"/>
    </xf>
    <xf numFmtId="0" fontId="104" fillId="12" borderId="12" xfId="75" applyNumberFormat="1" applyBorder="1" applyAlignment="1">
      <alignment horizontal="right" vertical="center" wrapText="1"/>
    </xf>
    <xf numFmtId="3" fontId="100" fillId="12" borderId="23" xfId="14" applyNumberFormat="1" applyBorder="1" applyAlignment="1">
      <alignment horizontal="left" vertical="center"/>
    </xf>
    <xf numFmtId="165" fontId="59" fillId="12" borderId="12" xfId="0" applyNumberFormat="1" applyFont="1" applyFill="1" applyBorder="1" applyAlignment="1">
      <alignment horizontal="right" vertical="center"/>
    </xf>
    <xf numFmtId="168" fontId="59" fillId="12" borderId="11" xfId="14" applyNumberFormat="1" applyFont="1" applyBorder="1" applyAlignment="1">
      <alignment horizontal="right" vertical="center"/>
    </xf>
    <xf numFmtId="168" fontId="59" fillId="0" borderId="11" xfId="0" applyNumberFormat="1" applyFont="1" applyFill="1" applyBorder="1" applyAlignment="1">
      <alignment vertical="center"/>
    </xf>
    <xf numFmtId="3" fontId="59" fillId="0" borderId="0" xfId="14" applyNumberFormat="1" applyFont="1" applyFill="1" applyBorder="1" applyAlignment="1">
      <alignment horizontal="right" vertical="center"/>
    </xf>
    <xf numFmtId="167" fontId="59" fillId="0" borderId="0" xfId="14" applyNumberFormat="1" applyFont="1" applyFill="1" applyBorder="1" applyAlignment="1">
      <alignment horizontal="right" vertical="center"/>
    </xf>
    <xf numFmtId="3" fontId="75" fillId="20" borderId="10" xfId="68" applyFont="1" applyBorder="1">
      <alignment horizontal="right" vertical="center"/>
    </xf>
    <xf numFmtId="0" fontId="101" fillId="11" borderId="0" xfId="0" applyFont="1" applyAlignment="1">
      <alignment horizontal="right" vertical="center"/>
    </xf>
    <xf numFmtId="0" fontId="60" fillId="11" borderId="0" xfId="0" applyFont="1">
      <alignment vertical="top"/>
    </xf>
    <xf numFmtId="0" fontId="106" fillId="11" borderId="0" xfId="13" applyNumberFormat="1" applyAlignment="1">
      <alignment horizontal="right" vertical="center" textRotation="90"/>
    </xf>
    <xf numFmtId="0" fontId="106" fillId="11" borderId="0" xfId="13" applyNumberFormat="1" applyBorder="1" applyAlignment="1" applyProtection="1">
      <alignment horizontal="right" vertical="top"/>
      <protection hidden="1"/>
    </xf>
    <xf numFmtId="3" fontId="50" fillId="48" borderId="14" xfId="69" applyBorder="1">
      <alignment horizontal="left" vertical="center"/>
    </xf>
    <xf numFmtId="168" fontId="100" fillId="12" borderId="14" xfId="14" applyNumberFormat="1" applyBorder="1" applyAlignment="1">
      <alignment horizontal="right" vertical="top" wrapText="1"/>
    </xf>
    <xf numFmtId="3" fontId="100" fillId="12" borderId="14" xfId="14" applyBorder="1">
      <alignment vertical="top"/>
    </xf>
    <xf numFmtId="3" fontId="100" fillId="12" borderId="14" xfId="14" applyBorder="1" applyAlignment="1">
      <alignment vertical="top" wrapText="1"/>
    </xf>
    <xf numFmtId="168" fontId="100" fillId="12" borderId="14" xfId="14" applyNumberFormat="1" applyBorder="1" applyAlignment="1">
      <alignment horizontal="right" vertical="top"/>
    </xf>
    <xf numFmtId="4" fontId="100" fillId="12" borderId="14" xfId="14" applyNumberFormat="1" applyBorder="1">
      <alignment vertical="top"/>
    </xf>
    <xf numFmtId="4" fontId="120" fillId="49" borderId="14" xfId="21" applyNumberFormat="1" applyBorder="1">
      <alignment vertical="top"/>
    </xf>
    <xf numFmtId="0" fontId="93" fillId="11" borderId="14" xfId="27" applyBorder="1">
      <alignment vertical="center"/>
    </xf>
    <xf numFmtId="2" fontId="25" fillId="12" borderId="14" xfId="14" applyNumberFormat="1" applyFont="1" applyBorder="1" applyAlignment="1">
      <alignment horizontal="right" vertical="top"/>
    </xf>
    <xf numFmtId="4" fontId="126" fillId="54" borderId="14" xfId="6" applyNumberFormat="1" applyBorder="1">
      <alignment horizontal="right" vertical="top" wrapText="1"/>
      <protection locked="0"/>
    </xf>
    <xf numFmtId="168" fontId="25" fillId="12" borderId="14" xfId="14" applyNumberFormat="1" applyFont="1" applyBorder="1" applyAlignment="1">
      <alignment horizontal="right" vertical="top"/>
    </xf>
    <xf numFmtId="178" fontId="100" fillId="12" borderId="14" xfId="14" applyNumberFormat="1" applyBorder="1" applyAlignment="1">
      <alignment vertical="top" wrapText="1"/>
    </xf>
    <xf numFmtId="179" fontId="100" fillId="12" borderId="14" xfId="14" applyNumberFormat="1" applyBorder="1" applyAlignment="1">
      <alignment vertical="top" wrapText="1"/>
    </xf>
    <xf numFmtId="3" fontId="120" fillId="20" borderId="14" xfId="68" applyBorder="1" applyAlignment="1">
      <alignment horizontal="left" vertical="center"/>
    </xf>
    <xf numFmtId="3" fontId="120" fillId="20" borderId="14" xfId="68" applyBorder="1">
      <alignment horizontal="right" vertical="center"/>
    </xf>
    <xf numFmtId="3" fontId="120" fillId="20" borderId="14" xfId="68" applyBorder="1" applyAlignment="1">
      <alignment horizontal="right" vertical="center"/>
    </xf>
    <xf numFmtId="0" fontId="93" fillId="11" borderId="14" xfId="27" applyNumberFormat="1" applyBorder="1" applyAlignment="1">
      <alignment vertical="center" wrapText="1"/>
    </xf>
    <xf numFmtId="0" fontId="93" fillId="11" borderId="14" xfId="27" applyNumberFormat="1" applyBorder="1" applyAlignment="1">
      <alignment horizontal="left" vertical="center" wrapText="1"/>
    </xf>
    <xf numFmtId="2" fontId="93" fillId="11" borderId="14" xfId="27" applyNumberFormat="1" applyBorder="1" applyAlignment="1">
      <alignment horizontal="right" vertical="center"/>
    </xf>
    <xf numFmtId="0" fontId="100" fillId="12" borderId="14" xfId="14" applyNumberFormat="1" applyBorder="1" applyAlignment="1">
      <alignment horizontal="center" vertical="top"/>
    </xf>
    <xf numFmtId="168" fontId="98" fillId="12" borderId="14" xfId="77" applyNumberFormat="1" applyBorder="1" applyAlignment="1">
      <alignment horizontal="right" vertical="top"/>
      <protection hidden="1"/>
    </xf>
    <xf numFmtId="0" fontId="93" fillId="11" borderId="14" xfId="27" applyNumberFormat="1" applyBorder="1" applyAlignment="1">
      <alignment horizontal="right" vertical="center" wrapText="1"/>
    </xf>
    <xf numFmtId="2" fontId="93" fillId="11" borderId="14" xfId="27" applyNumberFormat="1" applyBorder="1" applyAlignment="1">
      <alignment horizontal="right" vertical="top"/>
    </xf>
    <xf numFmtId="168" fontId="120" fillId="49" borderId="14" xfId="21" applyNumberFormat="1" applyBorder="1" applyAlignment="1">
      <alignment horizontal="right" vertical="top" wrapText="1"/>
    </xf>
    <xf numFmtId="166" fontId="100" fillId="12" borderId="14" xfId="14" applyNumberFormat="1" applyBorder="1" applyAlignment="1">
      <alignment horizontal="right" vertical="top" wrapText="1"/>
    </xf>
    <xf numFmtId="3" fontId="100" fillId="12" borderId="14" xfId="14" applyNumberFormat="1" applyBorder="1" applyAlignment="1">
      <alignment horizontal="right" vertical="top" wrapText="1"/>
    </xf>
    <xf numFmtId="0" fontId="104" fillId="12" borderId="14" xfId="75" applyNumberFormat="1" applyBorder="1">
      <alignment vertical="top" wrapText="1"/>
    </xf>
    <xf numFmtId="2" fontId="104" fillId="12" borderId="14" xfId="75" applyNumberFormat="1" applyBorder="1">
      <alignment vertical="top" wrapText="1"/>
    </xf>
    <xf numFmtId="168" fontId="104" fillId="12" borderId="14" xfId="75" applyNumberFormat="1" applyBorder="1" applyAlignment="1">
      <alignment horizontal="right" vertical="top" wrapText="1"/>
    </xf>
    <xf numFmtId="0" fontId="100" fillId="12" borderId="14" xfId="14" applyNumberFormat="1" applyBorder="1" applyAlignment="1">
      <alignment horizontal="right" vertical="top" wrapText="1"/>
    </xf>
    <xf numFmtId="2" fontId="104" fillId="12" borderId="14" xfId="75" applyNumberFormat="1" applyBorder="1" applyAlignment="1">
      <alignment horizontal="right" vertical="center"/>
    </xf>
    <xf numFmtId="168" fontId="104" fillId="12" borderId="14" xfId="75" applyNumberFormat="1" applyBorder="1" applyAlignment="1">
      <alignment horizontal="right" vertical="center" wrapText="1"/>
    </xf>
    <xf numFmtId="0" fontId="104" fillId="12" borderId="14" xfId="75" applyNumberFormat="1" applyBorder="1" applyAlignment="1">
      <alignment horizontal="right" vertical="center" wrapText="1"/>
    </xf>
    <xf numFmtId="3" fontId="51" fillId="46" borderId="14" xfId="24" applyBorder="1" applyAlignment="1">
      <alignment horizontal="right" vertical="center"/>
    </xf>
    <xf numFmtId="168" fontId="93" fillId="11" borderId="14" xfId="27" applyNumberFormat="1" applyBorder="1" applyAlignment="1">
      <alignment horizontal="right" vertical="center"/>
    </xf>
    <xf numFmtId="168" fontId="93" fillId="11" borderId="14" xfId="27" applyNumberFormat="1" applyBorder="1" applyAlignment="1">
      <alignment horizontal="left" vertical="center"/>
    </xf>
    <xf numFmtId="2" fontId="24" fillId="12" borderId="14" xfId="14" applyNumberFormat="1" applyFont="1" applyBorder="1" applyAlignment="1">
      <alignment horizontal="right" vertical="top"/>
    </xf>
    <xf numFmtId="2" fontId="29" fillId="12" borderId="14" xfId="14" applyNumberFormat="1" applyFont="1" applyBorder="1" applyAlignment="1">
      <alignment horizontal="right" vertical="top"/>
    </xf>
    <xf numFmtId="0" fontId="104" fillId="12" borderId="14" xfId="75" applyNumberFormat="1" applyBorder="1" applyAlignment="1">
      <alignment vertical="top"/>
    </xf>
    <xf numFmtId="0" fontId="104" fillId="12" borderId="14" xfId="75" applyNumberFormat="1" applyBorder="1" applyAlignment="1">
      <alignment vertical="top" wrapText="1"/>
    </xf>
    <xf numFmtId="2" fontId="104" fillId="12" borderId="14" xfId="75" applyNumberFormat="1" applyBorder="1" applyAlignment="1">
      <alignment horizontal="right" vertical="top"/>
    </xf>
    <xf numFmtId="0" fontId="100" fillId="12" borderId="14" xfId="14" applyNumberFormat="1" applyBorder="1" applyAlignment="1">
      <alignment vertical="top"/>
    </xf>
    <xf numFmtId="164" fontId="100" fillId="12" borderId="10" xfId="14" applyNumberFormat="1" applyBorder="1" applyAlignment="1">
      <alignment horizontal="right" vertical="top" wrapText="1"/>
    </xf>
    <xf numFmtId="168" fontId="98" fillId="12" borderId="10" xfId="77" applyNumberFormat="1" applyBorder="1" applyAlignment="1">
      <alignment horizontal="right" vertical="center"/>
      <protection hidden="1"/>
    </xf>
    <xf numFmtId="2" fontId="37" fillId="12" borderId="10" xfId="14" applyNumberFormat="1" applyFont="1" applyBorder="1" applyAlignment="1">
      <alignment horizontal="right" vertical="center"/>
    </xf>
    <xf numFmtId="2" fontId="100" fillId="12" borderId="10" xfId="14" applyNumberFormat="1" applyBorder="1" applyAlignment="1">
      <alignment horizontal="right" vertical="center" wrapText="1"/>
    </xf>
    <xf numFmtId="0" fontId="104" fillId="12" borderId="10" xfId="75" applyNumberFormat="1" applyBorder="1" applyAlignment="1">
      <alignment vertical="top" wrapText="1"/>
    </xf>
    <xf numFmtId="0" fontId="104" fillId="12" borderId="10" xfId="75" applyNumberFormat="1" applyBorder="1" applyAlignment="1">
      <alignment vertical="top"/>
    </xf>
    <xf numFmtId="2" fontId="104" fillId="12" borderId="10" xfId="75" applyNumberFormat="1" applyBorder="1" applyAlignment="1">
      <alignment horizontal="right" vertical="top"/>
    </xf>
    <xf numFmtId="168" fontId="104" fillId="12" borderId="10" xfId="75" applyNumberFormat="1" applyBorder="1" applyAlignment="1">
      <alignment horizontal="right" vertical="top" wrapText="1"/>
    </xf>
    <xf numFmtId="1" fontId="100" fillId="12" borderId="10" xfId="14" applyNumberFormat="1" applyBorder="1" applyAlignment="1">
      <alignment horizontal="right" vertical="top" wrapText="1"/>
    </xf>
    <xf numFmtId="0" fontId="104" fillId="12" borderId="14" xfId="75" applyNumberFormat="1" applyBorder="1" applyAlignment="1">
      <alignment horizontal="right" vertical="center"/>
    </xf>
    <xf numFmtId="0" fontId="120" fillId="49" borderId="14" xfId="21" applyNumberFormat="1" applyBorder="1" applyAlignment="1">
      <alignment horizontal="right" vertical="top" wrapText="1"/>
    </xf>
    <xf numFmtId="4" fontId="120" fillId="49" borderId="14" xfId="21" applyNumberFormat="1" applyBorder="1" applyAlignment="1">
      <alignment horizontal="right" vertical="top" wrapText="1"/>
    </xf>
    <xf numFmtId="2" fontId="100" fillId="12" borderId="14" xfId="14" applyNumberFormat="1" applyBorder="1" applyAlignment="1">
      <alignment horizontal="right" vertical="top" wrapText="1"/>
    </xf>
    <xf numFmtId="0" fontId="100" fillId="12" borderId="14" xfId="14" applyNumberFormat="1" applyBorder="1" applyAlignment="1">
      <alignment vertical="center" wrapText="1"/>
    </xf>
    <xf numFmtId="2" fontId="100" fillId="12" borderId="14" xfId="14" applyNumberFormat="1" applyBorder="1" applyAlignment="1">
      <alignment horizontal="right" vertical="center"/>
    </xf>
    <xf numFmtId="168" fontId="100" fillId="12" borderId="14" xfId="14" applyNumberFormat="1" applyBorder="1" applyAlignment="1">
      <alignment horizontal="right" vertical="center" wrapText="1"/>
    </xf>
    <xf numFmtId="4" fontId="100" fillId="12" borderId="14" xfId="14" applyNumberFormat="1" applyBorder="1" applyAlignment="1">
      <alignment horizontal="right" vertical="center" wrapText="1"/>
    </xf>
    <xf numFmtId="0" fontId="100" fillId="12" borderId="14" xfId="14" applyNumberFormat="1" applyBorder="1" applyAlignment="1">
      <alignment horizontal="right" vertical="center" wrapText="1"/>
    </xf>
    <xf numFmtId="3" fontId="112" fillId="16" borderId="8" xfId="16" applyNumberFormat="1" applyAlignment="1">
      <alignment vertical="center"/>
    </xf>
    <xf numFmtId="3" fontId="112" fillId="16" borderId="8" xfId="16" applyNumberFormat="1" applyAlignment="1">
      <alignment horizontal="left" vertical="center"/>
    </xf>
    <xf numFmtId="3" fontId="112" fillId="16" borderId="8" xfId="16" applyNumberFormat="1" applyAlignment="1">
      <alignment horizontal="right" vertical="center"/>
    </xf>
    <xf numFmtId="3" fontId="112" fillId="16" borderId="8" xfId="16" applyNumberFormat="1" applyAlignment="1">
      <alignment horizontal="center" vertical="center"/>
    </xf>
    <xf numFmtId="168" fontId="126" fillId="14" borderId="10" xfId="29" applyNumberFormat="1">
      <alignment horizontal="right" vertical="top" wrapText="1"/>
      <protection locked="0"/>
    </xf>
    <xf numFmtId="168" fontId="126" fillId="54" borderId="25" xfId="6" applyNumberFormat="1" applyAlignment="1">
      <alignment horizontal="right" vertical="top" wrapText="1"/>
      <protection locked="0"/>
    </xf>
    <xf numFmtId="4" fontId="126" fillId="54" borderId="25" xfId="6" applyNumberFormat="1" applyAlignment="1">
      <alignment horizontal="right" vertical="center" wrapText="1"/>
      <protection locked="0"/>
    </xf>
    <xf numFmtId="166" fontId="126" fillId="17" borderId="14" xfId="78" applyBorder="1">
      <alignment horizontal="right" vertical="top" wrapText="1"/>
      <protection locked="0"/>
    </xf>
    <xf numFmtId="166" fontId="126" fillId="17" borderId="14" xfId="78" applyBorder="1" applyAlignment="1">
      <alignment horizontal="right" vertical="top" wrapText="1"/>
      <protection locked="0"/>
    </xf>
    <xf numFmtId="166" fontId="126" fillId="50" borderId="14" xfId="73" applyBorder="1">
      <alignment horizontal="right" vertical="top" wrapText="1"/>
      <protection locked="0"/>
    </xf>
    <xf numFmtId="166" fontId="126" fillId="50" borderId="14" xfId="73" applyBorder="1" applyAlignment="1">
      <alignment horizontal="right" vertical="top" wrapText="1"/>
      <protection locked="0"/>
    </xf>
    <xf numFmtId="165" fontId="126" fillId="50" borderId="14" xfId="73" applyNumberFormat="1" applyBorder="1" applyAlignment="1">
      <alignment horizontal="right" vertical="top" wrapText="1"/>
      <protection locked="0"/>
    </xf>
    <xf numFmtId="166" fontId="120" fillId="49" borderId="14" xfId="21" applyNumberFormat="1" applyBorder="1" applyAlignment="1">
      <alignment horizontal="right" vertical="top" wrapText="1"/>
    </xf>
    <xf numFmtId="168" fontId="126" fillId="50" borderId="10" xfId="73" applyNumberFormat="1" applyBorder="1">
      <alignment horizontal="right" vertical="top" wrapText="1"/>
      <protection locked="0"/>
    </xf>
    <xf numFmtId="168" fontId="126" fillId="50" borderId="10" xfId="73" applyNumberFormat="1" applyBorder="1" applyAlignment="1">
      <alignment horizontal="right" vertical="top" wrapText="1"/>
      <protection locked="0"/>
    </xf>
    <xf numFmtId="167" fontId="126" fillId="17" borderId="14" xfId="78" applyNumberFormat="1" applyBorder="1">
      <alignment horizontal="right" vertical="top" wrapText="1"/>
      <protection locked="0"/>
    </xf>
    <xf numFmtId="3" fontId="126" fillId="17" borderId="14" xfId="78" applyNumberFormat="1" applyBorder="1">
      <alignment horizontal="right" vertical="top" wrapText="1"/>
      <protection locked="0"/>
    </xf>
    <xf numFmtId="4" fontId="126" fillId="17" borderId="14" xfId="78" applyNumberFormat="1" applyBorder="1">
      <alignment horizontal="right" vertical="top" wrapText="1"/>
      <protection locked="0"/>
    </xf>
    <xf numFmtId="168" fontId="126" fillId="17" borderId="14" xfId="78" applyNumberFormat="1" applyBorder="1">
      <alignment horizontal="right" vertical="top" wrapText="1"/>
      <protection locked="0"/>
    </xf>
    <xf numFmtId="171" fontId="100" fillId="12" borderId="14" xfId="14" applyNumberFormat="1" applyBorder="1" applyAlignment="1">
      <alignment horizontal="right" vertical="top"/>
    </xf>
    <xf numFmtId="165" fontId="100" fillId="12" borderId="14" xfId="14" applyNumberFormat="1" applyBorder="1" applyAlignment="1">
      <alignment horizontal="right" vertical="top"/>
    </xf>
    <xf numFmtId="168" fontId="126" fillId="50" borderId="14" xfId="73" applyNumberFormat="1" applyBorder="1">
      <alignment horizontal="right" vertical="top" wrapText="1"/>
      <protection locked="0"/>
    </xf>
    <xf numFmtId="0" fontId="126" fillId="50" borderId="14" xfId="73" applyNumberFormat="1" applyBorder="1" applyAlignment="1">
      <alignment horizontal="right" vertical="top" wrapText="1"/>
      <protection locked="0"/>
    </xf>
    <xf numFmtId="4" fontId="126" fillId="50" borderId="14" xfId="73" applyNumberFormat="1" applyBorder="1" applyAlignment="1">
      <alignment horizontal="right" vertical="top" wrapText="1"/>
      <protection locked="0"/>
    </xf>
    <xf numFmtId="168" fontId="126" fillId="50" borderId="14" xfId="73" applyNumberFormat="1" applyBorder="1" applyAlignment="1">
      <alignment horizontal="right" vertical="top"/>
      <protection locked="0"/>
    </xf>
    <xf numFmtId="9" fontId="126" fillId="17" borderId="14" xfId="78" applyNumberFormat="1" applyBorder="1">
      <alignment horizontal="right" vertical="top" wrapText="1"/>
      <protection locked="0"/>
    </xf>
    <xf numFmtId="166" fontId="126" fillId="17" borderId="14" xfId="78" applyBorder="1" applyAlignment="1">
      <alignment horizontal="right" vertical="center" wrapText="1"/>
      <protection locked="0"/>
    </xf>
    <xf numFmtId="0" fontId="29" fillId="11" borderId="0" xfId="0" applyFont="1" applyAlignment="1">
      <alignment horizontal="left" vertical="center"/>
    </xf>
    <xf numFmtId="166" fontId="120" fillId="49" borderId="14" xfId="21" applyNumberFormat="1" applyBorder="1" applyAlignment="1">
      <alignment horizontal="right" vertical="center" wrapText="1"/>
    </xf>
    <xf numFmtId="166" fontId="100" fillId="12" borderId="14" xfId="14" applyNumberFormat="1" applyBorder="1" applyAlignment="1">
      <alignment horizontal="right" vertical="center" wrapText="1"/>
    </xf>
    <xf numFmtId="171" fontId="100" fillId="12" borderId="14" xfId="14" applyNumberFormat="1" applyBorder="1" applyAlignment="1">
      <alignment horizontal="right" vertical="center"/>
    </xf>
    <xf numFmtId="167" fontId="126" fillId="17" borderId="14" xfId="78" applyNumberFormat="1" applyBorder="1" applyAlignment="1">
      <alignment horizontal="right" vertical="center" wrapText="1"/>
      <protection locked="0"/>
    </xf>
    <xf numFmtId="165" fontId="100" fillId="12" borderId="14" xfId="14" applyNumberFormat="1" applyBorder="1" applyAlignment="1">
      <alignment horizontal="right" vertical="center"/>
    </xf>
    <xf numFmtId="168" fontId="120" fillId="49" borderId="14" xfId="21" applyNumberFormat="1" applyBorder="1" applyAlignment="1">
      <alignment horizontal="right" vertical="center" wrapText="1"/>
    </xf>
    <xf numFmtId="9" fontId="100" fillId="12" borderId="14" xfId="14" applyNumberFormat="1" applyBorder="1" applyAlignment="1">
      <alignment horizontal="right" vertical="center" wrapText="1"/>
    </xf>
    <xf numFmtId="9" fontId="126" fillId="17" borderId="14" xfId="78" applyNumberFormat="1" applyBorder="1" applyAlignment="1">
      <alignment horizontal="right" vertical="center" wrapText="1"/>
      <protection locked="0"/>
    </xf>
    <xf numFmtId="3" fontId="100" fillId="12" borderId="14" xfId="14" applyBorder="1" applyAlignment="1">
      <alignment horizontal="right" vertical="center" wrapText="1"/>
    </xf>
    <xf numFmtId="3" fontId="126" fillId="17" borderId="14" xfId="78" applyNumberFormat="1" applyBorder="1" applyAlignment="1">
      <alignment horizontal="right" vertical="center" wrapText="1"/>
      <protection locked="0"/>
    </xf>
    <xf numFmtId="0" fontId="126" fillId="50" borderId="10" xfId="73" applyNumberFormat="1" applyBorder="1">
      <alignment horizontal="right" vertical="top" wrapText="1"/>
      <protection locked="0"/>
    </xf>
    <xf numFmtId="166" fontId="126" fillId="17" borderId="10" xfId="78" applyBorder="1" applyAlignment="1">
      <alignment horizontal="right" vertical="center" wrapText="1"/>
      <protection locked="0"/>
    </xf>
    <xf numFmtId="0" fontId="126" fillId="50" borderId="10" xfId="73" applyNumberFormat="1" applyBorder="1" applyAlignment="1">
      <alignment horizontal="right" vertical="center" wrapText="1"/>
      <protection locked="0"/>
    </xf>
    <xf numFmtId="166" fontId="126" fillId="17" borderId="10" xfId="78" applyBorder="1" applyAlignment="1">
      <alignment horizontal="right" vertical="top" wrapText="1"/>
      <protection locked="0"/>
    </xf>
    <xf numFmtId="0" fontId="99" fillId="11" borderId="0" xfId="13" applyNumberFormat="1" applyFont="1" applyAlignment="1">
      <alignment horizontal="right" vertical="top"/>
    </xf>
    <xf numFmtId="0" fontId="99" fillId="11" borderId="0" xfId="13" applyNumberFormat="1" applyFont="1" applyAlignment="1">
      <alignment horizontal="right" vertical="top" textRotation="90"/>
    </xf>
    <xf numFmtId="0" fontId="24" fillId="12" borderId="24" xfId="14" applyNumberFormat="1" applyFont="1" applyBorder="1">
      <alignment vertical="top"/>
    </xf>
    <xf numFmtId="0" fontId="24" fillId="12" borderId="24" xfId="14" applyNumberFormat="1" applyFont="1" applyBorder="1" applyAlignment="1">
      <alignment vertical="top" wrapText="1"/>
    </xf>
    <xf numFmtId="2" fontId="24" fillId="12" borderId="24" xfId="14" applyNumberFormat="1" applyFont="1" applyBorder="1" applyAlignment="1">
      <alignment horizontal="right" vertical="top"/>
    </xf>
    <xf numFmtId="4" fontId="59" fillId="12" borderId="24" xfId="14" applyNumberFormat="1" applyFont="1" applyBorder="1" applyAlignment="1">
      <alignment horizontal="right" vertical="center"/>
    </xf>
    <xf numFmtId="3" fontId="24" fillId="12" borderId="24" xfId="14" applyFont="1" applyBorder="1" applyAlignment="1">
      <alignment horizontal="right" vertical="top" wrapText="1"/>
    </xf>
    <xf numFmtId="0" fontId="24" fillId="12" borderId="15" xfId="14" applyNumberFormat="1" applyFont="1" applyBorder="1">
      <alignment vertical="top"/>
    </xf>
    <xf numFmtId="0" fontId="24" fillId="12" borderId="15" xfId="14" applyNumberFormat="1" applyFont="1" applyBorder="1" applyAlignment="1">
      <alignment vertical="top" wrapText="1"/>
    </xf>
    <xf numFmtId="2" fontId="24" fillId="12" borderId="15" xfId="14" applyNumberFormat="1" applyFont="1" applyBorder="1" applyAlignment="1">
      <alignment horizontal="right" vertical="top"/>
    </xf>
    <xf numFmtId="3" fontId="24" fillId="12" borderId="15" xfId="14" applyFont="1" applyBorder="1" applyAlignment="1">
      <alignment horizontal="right" vertical="top" wrapText="1"/>
    </xf>
    <xf numFmtId="0" fontId="94" fillId="11" borderId="14" xfId="70" applyBorder="1" applyAlignment="1">
      <alignment vertical="center"/>
    </xf>
    <xf numFmtId="0" fontId="94" fillId="11" borderId="14" xfId="70" applyBorder="1" applyAlignment="1">
      <alignment vertical="center" wrapText="1"/>
    </xf>
    <xf numFmtId="3" fontId="69" fillId="47" borderId="10" xfId="72" applyAlignment="1">
      <alignment horizontal="left" vertical="center"/>
    </xf>
    <xf numFmtId="0" fontId="18" fillId="11" borderId="0" xfId="0" applyFont="1" applyAlignment="1">
      <alignment horizontal="left" vertical="center"/>
    </xf>
    <xf numFmtId="0" fontId="108" fillId="11" borderId="0" xfId="79" applyNumberFormat="1" applyFill="1" applyAlignment="1">
      <alignment vertical="center"/>
    </xf>
    <xf numFmtId="0" fontId="108" fillId="11" borderId="0" xfId="79" applyNumberFormat="1" applyFill="1" applyAlignment="1">
      <alignment vertical="top"/>
    </xf>
    <xf numFmtId="0" fontId="107" fillId="11" borderId="0" xfId="80" applyNumberFormat="1" applyFill="1" applyAlignment="1" applyProtection="1">
      <alignment horizontal="center" vertical="top"/>
      <protection hidden="1"/>
    </xf>
    <xf numFmtId="0" fontId="107" fillId="11" borderId="0" xfId="80" applyNumberFormat="1" applyFill="1" applyAlignment="1" applyProtection="1">
      <alignment horizontal="center" vertical="center"/>
      <protection hidden="1"/>
    </xf>
    <xf numFmtId="0" fontId="94" fillId="11" borderId="14" xfId="70" applyBorder="1" applyAlignment="1">
      <alignment horizontal="right" vertical="center" wrapText="1"/>
    </xf>
    <xf numFmtId="3" fontId="120" fillId="49" borderId="11" xfId="21" applyNumberFormat="1" applyBorder="1" applyAlignment="1">
      <alignment horizontal="right" vertical="center"/>
    </xf>
    <xf numFmtId="3" fontId="120" fillId="49" borderId="11" xfId="21" applyNumberFormat="1" applyBorder="1" applyAlignment="1">
      <alignment horizontal="right" vertical="center" wrapText="1"/>
    </xf>
    <xf numFmtId="3" fontId="120" fillId="49" borderId="14" xfId="21" applyBorder="1" applyAlignment="1">
      <alignment horizontal="right" vertical="center"/>
    </xf>
    <xf numFmtId="168" fontId="120" fillId="49" borderId="11" xfId="21" applyNumberFormat="1" applyBorder="1" applyAlignment="1">
      <alignment horizontal="right" vertical="center"/>
    </xf>
    <xf numFmtId="3" fontId="120" fillId="49" borderId="14" xfId="21" applyNumberFormat="1" applyBorder="1" applyAlignment="1">
      <alignment horizontal="right" vertical="center"/>
    </xf>
    <xf numFmtId="3" fontId="120" fillId="49" borderId="10" xfId="21" applyBorder="1" applyAlignment="1">
      <alignment horizontal="right" vertical="center" wrapText="1"/>
    </xf>
    <xf numFmtId="9" fontId="120" fillId="49" borderId="11" xfId="21" applyNumberFormat="1" applyBorder="1" applyAlignment="1">
      <alignment horizontal="right" vertical="center"/>
    </xf>
    <xf numFmtId="167" fontId="120" fillId="49" borderId="10" xfId="21" applyNumberFormat="1" applyBorder="1" applyAlignment="1">
      <alignment horizontal="right" vertical="center"/>
    </xf>
    <xf numFmtId="0" fontId="19" fillId="11" borderId="10" xfId="0" applyFont="1" applyBorder="1" applyAlignment="1">
      <alignment horizontal="center" vertical="center"/>
    </xf>
    <xf numFmtId="0" fontId="120" fillId="49" borderId="10" xfId="21" applyNumberFormat="1" applyBorder="1" applyAlignment="1">
      <alignment horizontal="center" vertical="center"/>
    </xf>
    <xf numFmtId="1" fontId="120" fillId="49" borderId="10" xfId="21" applyNumberFormat="1" applyBorder="1" applyAlignment="1">
      <alignment horizontal="right" vertical="center" wrapText="1"/>
    </xf>
    <xf numFmtId="0" fontId="54" fillId="11" borderId="10" xfId="8" applyNumberFormat="1" applyFont="1" applyFill="1" applyBorder="1" applyAlignment="1">
      <alignment horizontal="center" vertical="center"/>
    </xf>
    <xf numFmtId="0" fontId="120" fillId="49" borderId="10" xfId="21" applyNumberFormat="1" applyBorder="1" applyAlignment="1">
      <alignment vertical="center"/>
    </xf>
    <xf numFmtId="3" fontId="120" fillId="49" borderId="10" xfId="21" applyNumberFormat="1" applyBorder="1" applyAlignment="1">
      <alignment horizontal="center" vertical="center"/>
    </xf>
    <xf numFmtId="0" fontId="54" fillId="11" borderId="17" xfId="8" applyNumberFormat="1" applyFont="1" applyFill="1" applyBorder="1" applyAlignment="1">
      <alignment horizontal="center" vertical="center"/>
    </xf>
    <xf numFmtId="0" fontId="54" fillId="11" borderId="14" xfId="8" applyNumberFormat="1" applyFont="1" applyFill="1" applyBorder="1" applyAlignment="1">
      <alignment horizontal="center" vertical="center"/>
    </xf>
    <xf numFmtId="9" fontId="120" fillId="45" borderId="10" xfId="25" applyNumberFormat="1" applyBorder="1" applyAlignment="1">
      <alignment horizontal="right" vertical="center"/>
    </xf>
    <xf numFmtId="9" fontId="19" fillId="11" borderId="0" xfId="0" applyNumberFormat="1" applyFont="1" applyAlignment="1">
      <alignment horizontal="right" vertical="center"/>
    </xf>
    <xf numFmtId="3" fontId="120" fillId="49" borderId="17" xfId="21" applyBorder="1" applyAlignment="1">
      <alignment horizontal="right" vertical="center" wrapText="1"/>
    </xf>
    <xf numFmtId="3" fontId="120" fillId="49" borderId="12" xfId="21" applyNumberFormat="1" applyBorder="1" applyAlignment="1">
      <alignment horizontal="right" vertical="center" wrapText="1"/>
    </xf>
    <xf numFmtId="168" fontId="120" fillId="49" borderId="10" xfId="21" applyNumberFormat="1" applyBorder="1" applyAlignment="1">
      <alignment horizontal="right" vertical="top" wrapText="1"/>
    </xf>
    <xf numFmtId="3" fontId="120" fillId="45" borderId="16" xfId="25" applyNumberFormat="1" applyBorder="1">
      <alignment horizontal="right" vertical="center"/>
    </xf>
    <xf numFmtId="4" fontId="120" fillId="49" borderId="10" xfId="21" applyNumberFormat="1" applyBorder="1" applyAlignment="1">
      <alignment horizontal="center" vertical="center"/>
    </xf>
    <xf numFmtId="3" fontId="120" fillId="20" borderId="0" xfId="68" applyBorder="1" applyAlignment="1">
      <alignment horizontal="right" vertical="center"/>
    </xf>
    <xf numFmtId="0" fontId="48" fillId="11" borderId="0" xfId="81" applyAlignment="1">
      <alignment vertical="top"/>
    </xf>
    <xf numFmtId="0" fontId="110" fillId="11" borderId="0" xfId="0" applyFont="1" applyAlignment="1">
      <alignment horizontal="center" textRotation="90"/>
    </xf>
    <xf numFmtId="0" fontId="108" fillId="11" borderId="0" xfId="79" applyNumberFormat="1" applyFill="1" applyAlignment="1">
      <alignment horizontal="left" vertical="top"/>
    </xf>
    <xf numFmtId="0" fontId="108" fillId="11" borderId="0" xfId="79" applyNumberFormat="1" applyFill="1" applyBorder="1" applyAlignment="1">
      <alignment vertical="center"/>
    </xf>
    <xf numFmtId="0" fontId="108" fillId="11" borderId="0" xfId="79" applyNumberFormat="1" applyFill="1" applyBorder="1" applyAlignment="1">
      <alignment horizontal="center" vertical="center"/>
    </xf>
    <xf numFmtId="0" fontId="112" fillId="16" borderId="8" xfId="16">
      <alignment vertical="top"/>
    </xf>
    <xf numFmtId="0"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horizontal="center" vertical="center"/>
      <protection hidden="1"/>
    </xf>
    <xf numFmtId="3"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vertical="top"/>
      <protection hidden="1"/>
    </xf>
    <xf numFmtId="0" fontId="114" fillId="11" borderId="0" xfId="8" applyNumberFormat="1" applyFont="1" applyFill="1" applyBorder="1" applyAlignment="1">
      <alignment vertical="center"/>
    </xf>
    <xf numFmtId="0" fontId="116" fillId="11" borderId="0" xfId="80" applyNumberFormat="1" applyFont="1" applyFill="1" applyBorder="1" applyAlignment="1" applyProtection="1">
      <alignment horizontal="center" vertical="top"/>
      <protection hidden="1"/>
    </xf>
    <xf numFmtId="0" fontId="116" fillId="11" borderId="0" xfId="80" applyNumberFormat="1" applyFont="1" applyFill="1" applyBorder="1" applyAlignment="1" applyProtection="1">
      <alignment horizontal="center" vertical="center"/>
      <protection hidden="1"/>
    </xf>
    <xf numFmtId="2" fontId="116" fillId="11" borderId="0" xfId="80" applyNumberFormat="1" applyFont="1" applyFill="1" applyBorder="1" applyAlignment="1" applyProtection="1">
      <alignment horizontal="center" vertical="top"/>
      <protection hidden="1"/>
    </xf>
    <xf numFmtId="0" fontId="106" fillId="11" borderId="0" xfId="13" applyNumberFormat="1" applyBorder="1" applyAlignment="1">
      <alignment horizontal="right" vertical="top"/>
    </xf>
    <xf numFmtId="0" fontId="117" fillId="11" borderId="0" xfId="79" applyNumberFormat="1" applyFont="1" applyFill="1" applyBorder="1" applyAlignment="1">
      <alignment horizontal="right" vertical="top"/>
    </xf>
    <xf numFmtId="0" fontId="115" fillId="11" borderId="0" xfId="0" applyFont="1" applyAlignment="1">
      <alignment textRotation="90"/>
    </xf>
    <xf numFmtId="0" fontId="106" fillId="11" borderId="0" xfId="13" applyNumberFormat="1" applyAlignment="1">
      <alignment vertical="top"/>
    </xf>
    <xf numFmtId="0" fontId="108" fillId="11" borderId="0" xfId="79" applyNumberFormat="1" applyFill="1" applyBorder="1" applyAlignment="1">
      <alignment textRotation="90"/>
    </xf>
    <xf numFmtId="0" fontId="61" fillId="11" borderId="0" xfId="0" applyFont="1">
      <alignment vertical="top"/>
    </xf>
    <xf numFmtId="0" fontId="96" fillId="0" borderId="0" xfId="76" applyFill="1" applyAlignment="1">
      <alignment vertical="top" wrapText="1"/>
    </xf>
    <xf numFmtId="0" fontId="94" fillId="11" borderId="0" xfId="70" applyBorder="1" applyAlignment="1">
      <alignment horizontal="left" vertical="center" wrapText="1"/>
    </xf>
    <xf numFmtId="0" fontId="41" fillId="11" borderId="0" xfId="16" applyFont="1" applyFill="1" applyBorder="1" applyAlignment="1">
      <alignment horizontal="left" vertical="center"/>
    </xf>
    <xf numFmtId="3" fontId="100" fillId="12" borderId="10" xfId="83" applyAlignment="1">
      <alignment horizontal="left" vertical="center" wrapText="1"/>
    </xf>
    <xf numFmtId="3" fontId="100" fillId="12" borderId="10" xfId="83" quotePrefix="1" applyAlignment="1">
      <alignment horizontal="left" vertical="center" wrapText="1"/>
    </xf>
    <xf numFmtId="2" fontId="98" fillId="11" borderId="0" xfId="20" applyNumberFormat="1">
      <alignment horizontal="center" vertical="top"/>
      <protection hidden="1"/>
    </xf>
    <xf numFmtId="0" fontId="107" fillId="11" borderId="0" xfId="80" applyNumberFormat="1" applyFill="1" applyBorder="1" applyAlignment="1">
      <alignment vertical="center" textRotation="90"/>
    </xf>
    <xf numFmtId="3" fontId="51" fillId="46" borderId="15" xfId="24" applyBorder="1">
      <alignment horizontal="left" vertical="center"/>
    </xf>
    <xf numFmtId="0" fontId="108" fillId="11" borderId="0" xfId="79" applyNumberFormat="1" applyFill="1" applyAlignment="1">
      <alignment horizontal="right" vertical="center"/>
    </xf>
    <xf numFmtId="0" fontId="17" fillId="11" borderId="0" xfId="0" applyFont="1" applyAlignment="1">
      <alignment horizontal="right" vertical="center"/>
    </xf>
    <xf numFmtId="0" fontId="17" fillId="11" borderId="0" xfId="0" applyFont="1" applyAlignment="1">
      <alignment horizontal="right" vertical="top" textRotation="90"/>
    </xf>
    <xf numFmtId="0" fontId="17" fillId="11" borderId="0" xfId="0" applyFont="1" applyAlignment="1">
      <alignment horizontal="right" vertical="center" textRotation="90"/>
    </xf>
    <xf numFmtId="0" fontId="18" fillId="11" borderId="0" xfId="0" applyFont="1" applyAlignment="1">
      <alignment horizontal="right" vertical="center"/>
    </xf>
    <xf numFmtId="3" fontId="57" fillId="11" borderId="0" xfId="13" applyFont="1" applyAlignment="1">
      <alignment horizontal="right" vertical="center"/>
    </xf>
    <xf numFmtId="3" fontId="57" fillId="11" borderId="0" xfId="13" applyFont="1" applyAlignment="1">
      <alignment horizontal="right" vertical="top"/>
    </xf>
    <xf numFmtId="0" fontId="108" fillId="11" borderId="0" xfId="79" applyNumberFormat="1" applyFont="1" applyFill="1" applyAlignment="1">
      <alignment horizontal="left" vertical="top"/>
    </xf>
    <xf numFmtId="0" fontId="108" fillId="11" borderId="0" xfId="79" applyNumberFormat="1" applyFont="1" applyFill="1" applyAlignment="1">
      <alignment vertical="center"/>
    </xf>
    <xf numFmtId="0" fontId="108" fillId="11" borderId="0" xfId="79" applyNumberFormat="1" applyFont="1" applyFill="1" applyBorder="1" applyAlignment="1">
      <alignment vertical="center"/>
    </xf>
    <xf numFmtId="0" fontId="108" fillId="11" borderId="0" xfId="79" applyNumberFormat="1" applyFont="1" applyFill="1" applyBorder="1" applyAlignment="1">
      <alignment horizontal="center" vertical="center"/>
    </xf>
    <xf numFmtId="0" fontId="108" fillId="11" borderId="0" xfId="79" applyNumberFormat="1" applyFont="1" applyFill="1" applyAlignment="1">
      <alignment vertical="top"/>
    </xf>
    <xf numFmtId="3" fontId="120" fillId="20" borderId="10" xfId="68" applyBorder="1" applyAlignment="1">
      <alignment vertical="center"/>
    </xf>
    <xf numFmtId="168" fontId="67" fillId="11" borderId="0" xfId="8" applyNumberFormat="1" applyFont="1" applyFill="1" applyBorder="1" applyAlignment="1">
      <alignment horizontal="right" vertical="top"/>
    </xf>
    <xf numFmtId="168" fontId="59" fillId="11" borderId="10" xfId="0" applyNumberFormat="1" applyFont="1" applyBorder="1">
      <alignment vertical="top"/>
    </xf>
    <xf numFmtId="168" fontId="65" fillId="11" borderId="0" xfId="0" applyNumberFormat="1" applyFont="1" applyAlignment="1">
      <alignment horizontal="right" vertical="top"/>
    </xf>
    <xf numFmtId="0" fontId="100" fillId="12" borderId="0" xfId="14" applyNumberFormat="1" applyBorder="1" applyAlignment="1">
      <alignment vertical="center"/>
    </xf>
    <xf numFmtId="0" fontId="113" fillId="11" borderId="14" xfId="11" applyNumberFormat="1" applyFill="1" applyBorder="1" applyAlignment="1">
      <alignment horizontal="right" vertical="center" wrapText="1"/>
    </xf>
    <xf numFmtId="175" fontId="76" fillId="49" borderId="14" xfId="21" applyNumberFormat="1" applyFont="1" applyBorder="1" applyAlignment="1">
      <alignment horizontal="right" vertical="center"/>
    </xf>
    <xf numFmtId="175" fontId="59" fillId="11" borderId="0" xfId="0" applyNumberFormat="1" applyFont="1" applyAlignment="1">
      <alignment horizontal="right" vertical="center"/>
    </xf>
    <xf numFmtId="175" fontId="120" fillId="45" borderId="14" xfId="25" applyNumberFormat="1" applyBorder="1" applyAlignment="1">
      <alignment horizontal="right" vertical="center"/>
    </xf>
    <xf numFmtId="175" fontId="59" fillId="11" borderId="14" xfId="0" applyNumberFormat="1" applyFont="1" applyBorder="1" applyAlignment="1">
      <alignment vertical="center"/>
    </xf>
    <xf numFmtId="0" fontId="30" fillId="11" borderId="0" xfId="0" applyFont="1" applyAlignment="1">
      <alignment horizontal="right" vertical="center"/>
    </xf>
    <xf numFmtId="0" fontId="100" fillId="12" borderId="0" xfId="14" applyNumberFormat="1" applyBorder="1">
      <alignment vertical="top"/>
    </xf>
    <xf numFmtId="0" fontId="100" fillId="12" borderId="24" xfId="14" applyNumberFormat="1" applyBorder="1">
      <alignment vertical="top"/>
    </xf>
    <xf numFmtId="0" fontId="100" fillId="12" borderId="24" xfId="14" applyNumberFormat="1" applyBorder="1" applyAlignment="1">
      <alignment vertical="top" wrapText="1"/>
    </xf>
    <xf numFmtId="0" fontId="100" fillId="12" borderId="15" xfId="14" applyNumberFormat="1" applyBorder="1">
      <alignment vertical="top"/>
    </xf>
    <xf numFmtId="3" fontId="120" fillId="49" borderId="14" xfId="21" applyBorder="1" applyAlignment="1">
      <alignment horizontal="right" vertical="top" wrapText="1"/>
    </xf>
    <xf numFmtId="2" fontId="100" fillId="12" borderId="24" xfId="14" applyNumberFormat="1" applyBorder="1" applyAlignment="1">
      <alignment horizontal="right" vertical="top"/>
    </xf>
    <xf numFmtId="4" fontId="100" fillId="12" borderId="24" xfId="14" applyNumberFormat="1" applyBorder="1" applyAlignment="1">
      <alignment horizontal="center" vertical="top" wrapText="1"/>
    </xf>
    <xf numFmtId="0" fontId="126" fillId="14" borderId="10" xfId="29" applyNumberFormat="1" applyAlignment="1">
      <alignment horizontal="right" vertical="center" wrapText="1"/>
      <protection locked="0"/>
    </xf>
    <xf numFmtId="4" fontId="120" fillId="49" borderId="10" xfId="21" applyNumberFormat="1" applyAlignment="1">
      <alignment horizontal="right" vertical="center" wrapText="1"/>
    </xf>
    <xf numFmtId="168" fontId="100" fillId="12" borderId="10" xfId="14" applyNumberFormat="1" applyBorder="1" applyAlignment="1">
      <alignment horizontal="right" vertical="center" wrapText="1"/>
    </xf>
    <xf numFmtId="168" fontId="100" fillId="12" borderId="11" xfId="14" applyNumberFormat="1" applyBorder="1" applyAlignment="1">
      <alignment horizontal="right" vertical="top" wrapText="1"/>
    </xf>
    <xf numFmtId="168" fontId="100" fillId="12" borderId="11" xfId="14" applyNumberFormat="1" applyBorder="1" applyAlignment="1">
      <alignment horizontal="right" vertical="center" wrapText="1"/>
    </xf>
    <xf numFmtId="4" fontId="120" fillId="45" borderId="11" xfId="25" applyNumberFormat="1" applyBorder="1" applyAlignment="1">
      <alignment horizontal="right" vertical="center"/>
    </xf>
    <xf numFmtId="4" fontId="59" fillId="11" borderId="11" xfId="0" applyNumberFormat="1" applyFont="1" applyBorder="1" applyAlignment="1">
      <alignment vertical="center"/>
    </xf>
    <xf numFmtId="0" fontId="94" fillId="11" borderId="0" xfId="70" applyBorder="1" applyAlignment="1">
      <alignment vertical="center"/>
    </xf>
    <xf numFmtId="1" fontId="100" fillId="12" borderId="14" xfId="14" applyNumberFormat="1" applyBorder="1" applyAlignment="1">
      <alignment horizontal="right" vertical="top"/>
    </xf>
    <xf numFmtId="3" fontId="64" fillId="11" borderId="14" xfId="0" applyNumberFormat="1" applyFont="1" applyBorder="1" applyAlignment="1">
      <alignment horizontal="right" vertical="center"/>
    </xf>
    <xf numFmtId="9" fontId="64" fillId="45" borderId="10" xfId="25" applyNumberFormat="1" applyFont="1" applyBorder="1" applyAlignment="1">
      <alignment horizontal="right" vertical="top"/>
    </xf>
    <xf numFmtId="4" fontId="126" fillId="50" borderId="15" xfId="73" applyNumberFormat="1" applyBorder="1" applyAlignment="1">
      <alignment horizontal="right" vertical="center"/>
      <protection locked="0"/>
    </xf>
    <xf numFmtId="0" fontId="100" fillId="12" borderId="11" xfId="14" applyNumberFormat="1" applyBorder="1" applyAlignment="1">
      <alignment vertical="top"/>
    </xf>
    <xf numFmtId="9" fontId="120" fillId="45" borderId="11" xfId="25" applyNumberFormat="1" applyBorder="1" applyAlignment="1">
      <alignment horizontal="right" vertical="top"/>
    </xf>
    <xf numFmtId="168" fontId="59" fillId="11" borderId="11" xfId="0" applyNumberFormat="1" applyFont="1" applyBorder="1" applyAlignment="1">
      <alignment vertical="top"/>
    </xf>
    <xf numFmtId="0" fontId="59" fillId="11" borderId="12" xfId="0" applyFont="1" applyBorder="1" applyAlignment="1">
      <alignment vertical="top"/>
    </xf>
    <xf numFmtId="3" fontId="120" fillId="45" borderId="12" xfId="25" applyNumberFormat="1" applyBorder="1">
      <alignment horizontal="right" vertical="center"/>
    </xf>
    <xf numFmtId="168" fontId="72" fillId="11" borderId="12" xfId="0" applyNumberFormat="1" applyFont="1" applyBorder="1" applyAlignment="1">
      <alignment vertical="center"/>
    </xf>
    <xf numFmtId="9" fontId="120" fillId="45" borderId="10" xfId="25" applyNumberFormat="1" applyBorder="1">
      <alignment horizontal="right" vertical="center"/>
    </xf>
    <xf numFmtId="166" fontId="59" fillId="12" borderId="10" xfId="0" applyNumberFormat="1" applyFont="1" applyFill="1" applyBorder="1" applyAlignment="1">
      <alignment horizontal="right" vertical="center"/>
    </xf>
    <xf numFmtId="166" fontId="59" fillId="0" borderId="0" xfId="14" applyNumberFormat="1" applyFont="1" applyFill="1" applyBorder="1" applyAlignment="1">
      <alignment horizontal="right" vertical="center"/>
    </xf>
    <xf numFmtId="166" fontId="59" fillId="11" borderId="0" xfId="0" applyNumberFormat="1" applyFont="1" applyAlignment="1">
      <alignment vertical="center"/>
    </xf>
    <xf numFmtId="166" fontId="126" fillId="50" borderId="15" xfId="73" applyNumberFormat="1" applyBorder="1" applyAlignment="1">
      <alignment horizontal="right" vertical="center" wrapText="1"/>
      <protection locked="0"/>
    </xf>
    <xf numFmtId="166" fontId="59" fillId="12" borderId="15" xfId="14" applyNumberFormat="1" applyFont="1" applyBorder="1" applyAlignment="1">
      <alignment horizontal="right" vertical="center"/>
    </xf>
    <xf numFmtId="166" fontId="59" fillId="12" borderId="12" xfId="0" applyNumberFormat="1" applyFont="1" applyFill="1" applyBorder="1" applyAlignment="1">
      <alignment horizontal="right" vertical="center"/>
    </xf>
    <xf numFmtId="166" fontId="120" fillId="45" borderId="12" xfId="25" applyNumberFormat="1" applyBorder="1" applyAlignment="1">
      <alignment horizontal="right" vertical="center"/>
    </xf>
    <xf numFmtId="0" fontId="121" fillId="11" borderId="0" xfId="13" applyNumberFormat="1" applyFont="1" applyAlignment="1">
      <alignment horizontal="right" vertical="top"/>
    </xf>
    <xf numFmtId="0" fontId="121" fillId="11" borderId="0" xfId="13" applyNumberFormat="1" applyFont="1" applyAlignment="1">
      <alignment horizontal="right" vertical="center"/>
    </xf>
    <xf numFmtId="2" fontId="104" fillId="12" borderId="14" xfId="75" applyNumberFormat="1" applyBorder="1" applyAlignment="1">
      <alignment horizontal="right" vertical="top" wrapText="1"/>
    </xf>
    <xf numFmtId="3" fontId="69" fillId="47" borderId="10" xfId="72" applyAlignment="1">
      <alignment horizontal="justify" vertical="center"/>
    </xf>
    <xf numFmtId="3" fontId="120" fillId="20" borderId="10" xfId="68" applyBorder="1" applyAlignment="1">
      <alignment horizontal="justify" vertical="center"/>
    </xf>
    <xf numFmtId="3" fontId="67" fillId="19" borderId="10" xfId="68" applyFont="1" applyFill="1" applyBorder="1" applyAlignment="1">
      <alignment horizontal="justify" vertical="center"/>
    </xf>
    <xf numFmtId="3" fontId="68" fillId="52" borderId="10" xfId="68" applyFont="1" applyFill="1" applyBorder="1" applyAlignment="1">
      <alignment horizontal="justify" vertical="center"/>
    </xf>
    <xf numFmtId="3" fontId="126" fillId="54" borderId="25" xfId="6" applyNumberFormat="1" applyAlignment="1">
      <alignment horizontal="justify" vertical="center"/>
      <protection locked="0"/>
    </xf>
    <xf numFmtId="166" fontId="126" fillId="17" borderId="25" xfId="78" applyAlignment="1">
      <alignment horizontal="justify" vertical="center"/>
      <protection locked="0"/>
    </xf>
    <xf numFmtId="3" fontId="126" fillId="14" borderId="10" xfId="29" applyNumberFormat="1" applyAlignment="1">
      <alignment horizontal="justify" vertical="center"/>
      <protection locked="0"/>
    </xf>
    <xf numFmtId="166" fontId="126" fillId="50" borderId="10" xfId="73" applyBorder="1" applyAlignment="1">
      <alignment horizontal="justify" vertical="center"/>
      <protection locked="0"/>
    </xf>
    <xf numFmtId="0" fontId="64" fillId="11" borderId="0" xfId="0" applyFont="1" applyAlignment="1">
      <alignment vertical="top" wrapText="1"/>
    </xf>
    <xf numFmtId="0" fontId="106" fillId="11" borderId="0" xfId="13" applyNumberFormat="1" applyBorder="1" applyAlignment="1">
      <alignment horizontal="right" vertical="center"/>
    </xf>
    <xf numFmtId="3" fontId="106" fillId="11" borderId="0" xfId="13" applyNumberFormat="1" applyBorder="1" applyAlignment="1">
      <alignment horizontal="right" vertical="top"/>
    </xf>
    <xf numFmtId="0" fontId="106" fillId="11" borderId="0" xfId="13" applyNumberFormat="1" applyBorder="1" applyAlignment="1" applyProtection="1">
      <alignment horizontal="right" vertical="center"/>
      <protection hidden="1"/>
    </xf>
    <xf numFmtId="3" fontId="100" fillId="52" borderId="10" xfId="83" quotePrefix="1" applyFill="1" applyAlignment="1">
      <alignment horizontal="left" vertical="center" wrapText="1"/>
    </xf>
    <xf numFmtId="3" fontId="126" fillId="51" borderId="10" xfId="83" quotePrefix="1" applyFont="1" applyFill="1" applyAlignment="1">
      <alignment horizontal="left" vertical="center" wrapText="1"/>
    </xf>
    <xf numFmtId="3" fontId="126" fillId="17" borderId="10" xfId="83" quotePrefix="1" applyFont="1" applyFill="1" applyAlignment="1">
      <alignment horizontal="left" vertical="center" wrapText="1"/>
    </xf>
    <xf numFmtId="3" fontId="126" fillId="19" borderId="10" xfId="83" applyFont="1" applyFill="1" applyAlignment="1">
      <alignment horizontal="left" vertical="center" wrapText="1"/>
    </xf>
    <xf numFmtId="3" fontId="127" fillId="11" borderId="0" xfId="0" applyNumberFormat="1" applyFont="1" applyAlignment="1">
      <alignment horizontal="right" vertical="center"/>
    </xf>
    <xf numFmtId="0" fontId="128" fillId="11" borderId="0" xfId="20" applyNumberFormat="1" applyFont="1">
      <alignment horizontal="center" vertical="top"/>
      <protection hidden="1"/>
    </xf>
    <xf numFmtId="2" fontId="128" fillId="11" borderId="0" xfId="20" applyNumberFormat="1" applyFont="1" applyAlignment="1">
      <alignment horizontal="center" vertical="center"/>
      <protection hidden="1"/>
    </xf>
    <xf numFmtId="3" fontId="128" fillId="11" borderId="0" xfId="20" applyNumberFormat="1" applyFont="1" applyAlignment="1">
      <alignment horizontal="center" vertical="center"/>
      <protection hidden="1"/>
    </xf>
    <xf numFmtId="2" fontId="128" fillId="11" borderId="0" xfId="20" applyFont="1">
      <alignment horizontal="center" vertical="top"/>
      <protection hidden="1"/>
    </xf>
    <xf numFmtId="2" fontId="128" fillId="11" borderId="0" xfId="20" applyNumberFormat="1" applyFont="1">
      <alignment horizontal="center" vertical="top"/>
      <protection hidden="1"/>
    </xf>
    <xf numFmtId="3" fontId="128" fillId="11" borderId="0" xfId="20" applyNumberFormat="1" applyFont="1">
      <alignment horizontal="center" vertical="top"/>
      <protection hidden="1"/>
    </xf>
    <xf numFmtId="0" fontId="128" fillId="11" borderId="0" xfId="20" applyNumberFormat="1" applyFont="1" applyAlignment="1">
      <alignment horizontal="center" vertical="center"/>
      <protection hidden="1"/>
    </xf>
    <xf numFmtId="2" fontId="128" fillId="11" borderId="0" xfId="20" applyFont="1" applyAlignment="1">
      <alignment horizontal="center" vertical="center"/>
      <protection hidden="1"/>
    </xf>
    <xf numFmtId="0" fontId="108" fillId="11" borderId="0" xfId="79" applyNumberFormat="1" applyFont="1" applyFill="1" applyAlignment="1">
      <alignment horizontal="right" vertical="center"/>
    </xf>
    <xf numFmtId="0" fontId="129" fillId="11" borderId="0" xfId="20" applyNumberFormat="1" applyFont="1">
      <alignment horizontal="center" vertical="top"/>
      <protection hidden="1"/>
    </xf>
    <xf numFmtId="0" fontId="54" fillId="11" borderId="0" xfId="0" applyFont="1" applyAlignment="1">
      <alignment vertical="center"/>
    </xf>
    <xf numFmtId="0" fontId="104" fillId="8" borderId="9" xfId="10" applyNumberFormat="1" applyBorder="1" applyAlignment="1">
      <alignment vertical="center"/>
    </xf>
    <xf numFmtId="0" fontId="104" fillId="8" borderId="8" xfId="10" applyNumberFormat="1" applyBorder="1" applyAlignment="1">
      <alignment vertical="center"/>
    </xf>
    <xf numFmtId="180" fontId="104" fillId="8" borderId="8" xfId="10" applyNumberFormat="1" applyBorder="1" applyAlignment="1">
      <alignment horizontal="right" vertical="center"/>
    </xf>
    <xf numFmtId="0" fontId="104" fillId="8" borderId="26" xfId="10" applyNumberFormat="1" applyBorder="1" applyAlignment="1">
      <alignment vertical="center"/>
    </xf>
    <xf numFmtId="3" fontId="56" fillId="12" borderId="0" xfId="8" applyFont="1" applyFill="1" applyBorder="1" applyAlignment="1">
      <alignment horizontal="left" vertical="top"/>
    </xf>
    <xf numFmtId="0" fontId="56" fillId="12" borderId="0" xfId="0" quotePrefix="1" applyFont="1" applyFill="1" applyAlignment="1">
      <alignment horizontal="left" vertical="top"/>
    </xf>
    <xf numFmtId="0" fontId="46" fillId="12" borderId="0" xfId="0" applyFont="1" applyFill="1" applyAlignment="1">
      <alignment vertical="center"/>
    </xf>
    <xf numFmtId="181" fontId="104" fillId="8" borderId="8" xfId="10" applyNumberFormat="1" applyBorder="1" applyAlignment="1">
      <alignment horizontal="right" vertical="center"/>
    </xf>
    <xf numFmtId="9" fontId="0" fillId="11" borderId="0" xfId="0" applyNumberFormat="1">
      <alignment vertical="top"/>
    </xf>
    <xf numFmtId="3" fontId="59" fillId="11" borderId="0" xfId="14" applyFont="1" applyFill="1" applyBorder="1" applyAlignment="1">
      <alignment horizontal="right" vertical="center" wrapText="1"/>
    </xf>
    <xf numFmtId="3" fontId="59" fillId="11" borderId="0" xfId="14" applyFont="1" applyFill="1" applyBorder="1" applyAlignment="1">
      <alignment horizontal="right" vertical="top" wrapText="1"/>
    </xf>
    <xf numFmtId="0" fontId="94" fillId="11" borderId="0" xfId="70" applyBorder="1" applyAlignment="1">
      <alignment vertical="top"/>
    </xf>
    <xf numFmtId="3" fontId="59" fillId="11" borderId="10" xfId="14" applyFont="1" applyFill="1" applyBorder="1" applyAlignment="1">
      <alignment horizontal="right" vertical="top" wrapText="1"/>
    </xf>
    <xf numFmtId="3" fontId="59" fillId="11" borderId="10" xfId="14" applyFont="1" applyFill="1" applyBorder="1" applyAlignment="1">
      <alignment horizontal="right" vertical="center" wrapText="1"/>
    </xf>
    <xf numFmtId="168" fontId="59" fillId="11" borderId="0" xfId="14" applyNumberFormat="1" applyFont="1" applyFill="1" applyBorder="1" applyAlignment="1">
      <alignment horizontal="right" vertical="center" wrapText="1"/>
    </xf>
    <xf numFmtId="168" fontId="59" fillId="11" borderId="10" xfId="14" applyNumberFormat="1" applyFont="1" applyFill="1" applyBorder="1" applyAlignment="1">
      <alignment horizontal="right" vertical="center" wrapText="1"/>
    </xf>
    <xf numFmtId="9" fontId="130" fillId="45" borderId="10" xfId="25" applyNumberFormat="1" applyFont="1" applyBorder="1" applyAlignment="1">
      <alignment horizontal="right" vertical="top"/>
    </xf>
    <xf numFmtId="168" fontId="101" fillId="11" borderId="10" xfId="0" applyNumberFormat="1" applyFont="1" applyBorder="1" applyAlignment="1">
      <alignment vertical="top"/>
    </xf>
    <xf numFmtId="2" fontId="130" fillId="49" borderId="14" xfId="21" applyNumberFormat="1" applyFont="1" applyBorder="1" applyAlignment="1">
      <alignment horizontal="right" vertical="center" wrapText="1"/>
    </xf>
    <xf numFmtId="2" fontId="101" fillId="11" borderId="0" xfId="14" applyNumberFormat="1" applyFont="1" applyFill="1" applyBorder="1" applyAlignment="1">
      <alignment horizontal="right" vertical="center" wrapText="1"/>
    </xf>
    <xf numFmtId="2" fontId="101" fillId="11" borderId="11" xfId="14" applyNumberFormat="1" applyFont="1" applyFill="1" applyBorder="1" applyAlignment="1">
      <alignment horizontal="right" vertical="center" wrapText="1"/>
    </xf>
    <xf numFmtId="0" fontId="98" fillId="11" borderId="0" xfId="20" applyNumberFormat="1" applyAlignment="1">
      <alignment horizontal="center" vertical="top" wrapText="1"/>
      <protection hidden="1"/>
    </xf>
    <xf numFmtId="0" fontId="121" fillId="11" borderId="0" xfId="13" applyNumberFormat="1" applyFont="1" applyAlignment="1">
      <alignment horizontal="right" vertical="top" wrapText="1"/>
    </xf>
    <xf numFmtId="0" fontId="100" fillId="12" borderId="14" xfId="14" applyNumberFormat="1" applyBorder="1" applyAlignment="1">
      <alignment horizontal="center" vertical="top" wrapText="1"/>
    </xf>
    <xf numFmtId="168" fontId="98" fillId="12" borderId="14" xfId="77" applyNumberFormat="1" applyBorder="1" applyAlignment="1">
      <alignment horizontal="right" vertical="top" wrapText="1"/>
      <protection hidden="1"/>
    </xf>
    <xf numFmtId="0" fontId="29" fillId="11" borderId="0" xfId="0" applyFont="1" applyAlignment="1">
      <alignment horizontal="left" vertical="top" wrapText="1"/>
    </xf>
    <xf numFmtId="0" fontId="0" fillId="11" borderId="0" xfId="0" applyAlignment="1">
      <alignment vertical="top" wrapText="1"/>
    </xf>
    <xf numFmtId="177" fontId="69" fillId="47" borderId="10" xfId="72" applyNumberFormat="1" applyAlignment="1">
      <alignment horizontal="left" vertical="center"/>
    </xf>
    <xf numFmtId="0" fontId="44" fillId="11" borderId="11" xfId="0" applyFont="1" applyBorder="1" applyAlignment="1"/>
    <xf numFmtId="3" fontId="50" fillId="48" borderId="15" xfId="69" applyBorder="1">
      <alignment horizontal="left" vertical="center"/>
    </xf>
    <xf numFmtId="177" fontId="69" fillId="47" borderId="10" xfId="72" applyNumberFormat="1" applyAlignment="1">
      <alignment horizontal="left" vertical="center" wrapText="1"/>
    </xf>
    <xf numFmtId="0" fontId="131" fillId="12" borderId="14" xfId="75" applyNumberFormat="1" applyFont="1" applyBorder="1" applyAlignment="1">
      <alignment vertical="center"/>
    </xf>
    <xf numFmtId="0" fontId="17" fillId="11" borderId="0" xfId="0" applyFont="1" applyAlignment="1">
      <alignment horizontal="center" vertical="center"/>
    </xf>
    <xf numFmtId="3" fontId="94" fillId="11" borderId="0" xfId="70" applyNumberFormat="1" applyBorder="1">
      <alignment vertical="center"/>
    </xf>
    <xf numFmtId="0" fontId="29" fillId="11" borderId="0" xfId="0" applyFont="1" applyAlignment="1">
      <alignment horizontal="right" vertical="top" textRotation="90"/>
    </xf>
    <xf numFmtId="0" fontId="30" fillId="11" borderId="0" xfId="0" applyFont="1" applyAlignment="1">
      <alignment horizontal="right" vertical="top"/>
    </xf>
    <xf numFmtId="0" fontId="64" fillId="11" borderId="0" xfId="0" applyFont="1" applyAlignment="1">
      <alignment horizontal="right" vertical="top"/>
    </xf>
    <xf numFmtId="3" fontId="89" fillId="46" borderId="14" xfId="24" applyFont="1" applyBorder="1">
      <alignment horizontal="left" vertical="center"/>
    </xf>
    <xf numFmtId="0" fontId="132" fillId="12" borderId="14" xfId="75" applyNumberFormat="1" applyFont="1" applyBorder="1" applyAlignment="1">
      <alignment vertical="center"/>
    </xf>
    <xf numFmtId="172" fontId="47" fillId="11" borderId="0" xfId="0" quotePrefix="1" applyNumberFormat="1" applyFont="1" applyAlignment="1">
      <alignment vertical="center"/>
    </xf>
    <xf numFmtId="3" fontId="100" fillId="12" borderId="11" xfId="83" applyBorder="1" applyAlignment="1">
      <alignment horizontal="left" vertical="center" wrapText="1"/>
    </xf>
    <xf numFmtId="3" fontId="133" fillId="12" borderId="0" xfId="83" applyFont="1" applyBorder="1" applyAlignment="1">
      <alignment horizontal="left" vertical="center" wrapText="1"/>
    </xf>
    <xf numFmtId="3" fontId="96" fillId="12" borderId="12" xfId="76" applyNumberFormat="1" applyFill="1" applyBorder="1" applyAlignment="1">
      <alignment horizontal="left" vertical="center" wrapText="1"/>
    </xf>
    <xf numFmtId="0" fontId="117" fillId="11" borderId="0" xfId="79" applyNumberFormat="1" applyFont="1" applyFill="1" applyAlignment="1">
      <alignment horizontal="right" vertical="top"/>
    </xf>
    <xf numFmtId="3" fontId="126" fillId="11" borderId="0" xfId="13" applyFont="1" applyAlignment="1">
      <alignment horizontal="right" vertical="top"/>
    </xf>
    <xf numFmtId="0" fontId="100" fillId="12" borderId="11" xfId="14" applyNumberFormat="1" applyBorder="1">
      <alignment vertical="top"/>
    </xf>
    <xf numFmtId="0" fontId="100" fillId="12" borderId="12" xfId="14" applyNumberFormat="1" applyBorder="1">
      <alignment vertical="top"/>
    </xf>
    <xf numFmtId="0" fontId="136" fillId="12" borderId="0" xfId="14" applyNumberFormat="1" applyFont="1" applyBorder="1">
      <alignment vertical="top"/>
    </xf>
    <xf numFmtId="2" fontId="120" fillId="12" borderId="10" xfId="14" applyNumberFormat="1" applyFont="1" applyBorder="1" applyAlignment="1">
      <alignment horizontal="right" vertical="top" wrapText="1"/>
    </xf>
    <xf numFmtId="165" fontId="126" fillId="17" borderId="10" xfId="78" applyNumberFormat="1" applyBorder="1" applyAlignment="1">
      <alignment horizontal="right" vertical="center" wrapText="1"/>
      <protection locked="0"/>
    </xf>
    <xf numFmtId="165" fontId="120" fillId="12" borderId="10" xfId="14" applyNumberFormat="1" applyFont="1" applyBorder="1" applyAlignment="1">
      <alignment horizontal="right" vertical="top" wrapText="1"/>
    </xf>
    <xf numFmtId="165" fontId="135" fillId="12" borderId="10" xfId="14" applyNumberFormat="1" applyFont="1" applyBorder="1" applyAlignment="1">
      <alignment horizontal="right" vertical="top" wrapText="1"/>
    </xf>
    <xf numFmtId="168" fontId="71" fillId="11" borderId="0" xfId="0" applyNumberFormat="1" applyFont="1" applyAlignment="1">
      <alignment vertical="center"/>
    </xf>
    <xf numFmtId="168" fontId="72" fillId="11" borderId="0" xfId="0" applyNumberFormat="1" applyFont="1" applyAlignment="1">
      <alignment vertical="center"/>
    </xf>
    <xf numFmtId="2" fontId="101" fillId="11" borderId="0" xfId="0" applyNumberFormat="1" applyFont="1" applyAlignment="1">
      <alignment vertical="center"/>
    </xf>
    <xf numFmtId="2" fontId="59" fillId="11" borderId="0" xfId="0" applyNumberFormat="1" applyFont="1" applyAlignment="1">
      <alignment vertical="center"/>
    </xf>
    <xf numFmtId="3" fontId="59" fillId="0" borderId="0" xfId="0" applyNumberFormat="1" applyFont="1" applyFill="1">
      <alignment vertical="top"/>
    </xf>
    <xf numFmtId="3" fontId="59" fillId="0" borderId="0" xfId="0" applyNumberFormat="1" applyFont="1" applyFill="1" applyAlignment="1">
      <alignment vertical="top" wrapText="1"/>
    </xf>
    <xf numFmtId="3" fontId="59" fillId="0" borderId="0" xfId="0" applyNumberFormat="1" applyFont="1" applyFill="1" applyAlignment="1">
      <alignment vertical="center" wrapText="1"/>
    </xf>
    <xf numFmtId="168" fontId="77" fillId="11" borderId="0" xfId="0" applyNumberFormat="1" applyFont="1" applyAlignment="1">
      <alignment vertical="center"/>
    </xf>
    <xf numFmtId="3" fontId="112" fillId="16" borderId="0" xfId="16" applyNumberFormat="1" applyBorder="1" applyAlignment="1">
      <alignment horizontal="right" vertical="center"/>
    </xf>
    <xf numFmtId="3" fontId="51" fillId="46" borderId="0" xfId="24" applyBorder="1">
      <alignment horizontal="left" vertical="center"/>
    </xf>
    <xf numFmtId="0" fontId="138" fillId="16" borderId="8" xfId="16" applyFont="1" applyAlignment="1">
      <alignment horizontal="right" vertical="center" textRotation="90"/>
    </xf>
    <xf numFmtId="0" fontId="138" fillId="16" borderId="8" xfId="16" applyFont="1" applyAlignment="1">
      <alignment horizontal="center" vertical="center" textRotation="90"/>
    </xf>
    <xf numFmtId="176" fontId="140" fillId="13" borderId="26" xfId="11" applyNumberFormat="1" applyFont="1" applyFill="1" applyBorder="1" applyAlignment="1">
      <alignment horizontal="right" vertical="center"/>
    </xf>
    <xf numFmtId="0" fontId="139" fillId="16" borderId="8" xfId="16" applyFont="1" applyAlignment="1">
      <alignment horizontal="left" vertical="center"/>
    </xf>
    <xf numFmtId="0" fontId="139" fillId="16" borderId="8" xfId="16" applyFont="1" applyAlignment="1">
      <alignment vertical="center"/>
    </xf>
    <xf numFmtId="0" fontId="138" fillId="16" borderId="8" xfId="16" applyFont="1" applyAlignment="1">
      <alignment horizontal="right" vertical="center"/>
    </xf>
    <xf numFmtId="0" fontId="138" fillId="16" borderId="8" xfId="16" applyFont="1" applyAlignment="1">
      <alignment vertical="center"/>
    </xf>
    <xf numFmtId="0" fontId="141" fillId="11" borderId="14" xfId="30" applyNumberFormat="1" applyFont="1" applyFill="1" applyBorder="1" applyAlignment="1">
      <alignment vertical="center"/>
    </xf>
    <xf numFmtId="0" fontId="121" fillId="11" borderId="0" xfId="0" applyFont="1" applyAlignment="1">
      <alignment horizontal="right" vertical="top"/>
    </xf>
    <xf numFmtId="168" fontId="139" fillId="16" borderId="8" xfId="16" applyNumberFormat="1" applyFont="1" applyAlignment="1">
      <alignment horizontal="right" vertical="center"/>
    </xf>
    <xf numFmtId="166" fontId="64" fillId="11" borderId="0" xfId="0" applyNumberFormat="1" applyFont="1" applyAlignment="1">
      <alignment horizontal="right" vertical="center"/>
    </xf>
    <xf numFmtId="0" fontId="35" fillId="11" borderId="0" xfId="0" applyFont="1" applyAlignment="1">
      <alignment vertical="center"/>
    </xf>
    <xf numFmtId="0" fontId="41" fillId="11" borderId="27" xfId="16" applyFont="1" applyFill="1" applyBorder="1" applyAlignment="1">
      <alignment horizontal="left" vertical="center"/>
    </xf>
    <xf numFmtId="0" fontId="20" fillId="11" borderId="27" xfId="0" applyFont="1" applyBorder="1" applyAlignment="1">
      <alignment vertical="center"/>
    </xf>
    <xf numFmtId="0" fontId="100" fillId="12" borderId="15" xfId="14" applyNumberFormat="1" applyBorder="1" applyAlignment="1">
      <alignment vertical="top" wrapText="1"/>
    </xf>
    <xf numFmtId="0" fontId="142" fillId="11" borderId="0" xfId="13" applyNumberFormat="1" applyFont="1" applyBorder="1" applyAlignment="1">
      <alignment horizontal="right" vertical="top"/>
    </xf>
    <xf numFmtId="0" fontId="108" fillId="11" borderId="0" xfId="80" applyNumberFormat="1" applyFont="1" applyFill="1" applyBorder="1" applyAlignment="1" applyProtection="1">
      <alignment horizontal="center" vertical="top"/>
      <protection hidden="1"/>
    </xf>
    <xf numFmtId="0" fontId="142" fillId="11" borderId="0" xfId="13" applyNumberFormat="1" applyFont="1" applyBorder="1" applyAlignment="1">
      <alignment horizontal="right" vertical="center"/>
    </xf>
    <xf numFmtId="0" fontId="143" fillId="11" borderId="0" xfId="0" applyFont="1" applyAlignment="1">
      <alignment vertical="center"/>
    </xf>
    <xf numFmtId="0" fontId="143" fillId="11" borderId="0" xfId="0" applyFont="1" applyAlignment="1">
      <alignment horizontal="left" vertical="center"/>
    </xf>
    <xf numFmtId="0" fontId="143" fillId="11" borderId="0" xfId="0" applyFont="1" applyAlignment="1">
      <alignment horizontal="right" vertical="center"/>
    </xf>
    <xf numFmtId="0" fontId="143" fillId="11" borderId="0" xfId="0" applyFont="1">
      <alignment vertical="top"/>
    </xf>
    <xf numFmtId="3" fontId="0" fillId="11" borderId="0" xfId="0" applyNumberFormat="1" applyAlignment="1">
      <alignment horizontal="left" vertical="center"/>
    </xf>
    <xf numFmtId="3" fontId="88" fillId="2" borderId="0" xfId="22" applyAlignment="1">
      <alignment horizontal="right"/>
    </xf>
    <xf numFmtId="0" fontId="59" fillId="11" borderId="0" xfId="0" applyFont="1" applyAlignment="1"/>
    <xf numFmtId="3" fontId="89" fillId="11" borderId="0" xfId="23" applyAlignment="1">
      <alignment horizontal="left"/>
    </xf>
    <xf numFmtId="3" fontId="89" fillId="11" borderId="13" xfId="23" applyBorder="1" applyAlignment="1">
      <alignment horizontal="left"/>
    </xf>
    <xf numFmtId="0" fontId="100" fillId="12" borderId="29" xfId="14" applyNumberFormat="1" applyBorder="1" applyAlignment="1">
      <alignment horizontal="right" vertical="center" indent="1"/>
    </xf>
    <xf numFmtId="166" fontId="126" fillId="50" borderId="30" xfId="73" applyBorder="1" applyAlignment="1">
      <alignment vertical="top" wrapText="1"/>
      <protection locked="0"/>
    </xf>
    <xf numFmtId="0" fontId="100" fillId="12" borderId="31" xfId="14" applyNumberFormat="1" applyBorder="1" applyAlignment="1">
      <alignment vertical="center"/>
    </xf>
    <xf numFmtId="0" fontId="100" fillId="12" borderId="33" xfId="14" applyNumberFormat="1" applyBorder="1" applyAlignment="1">
      <alignment vertical="center"/>
    </xf>
    <xf numFmtId="182" fontId="120" fillId="49" borderId="34" xfId="21" applyNumberFormat="1" applyBorder="1" applyAlignment="1">
      <alignment horizontal="left" vertical="center" indent="1"/>
    </xf>
    <xf numFmtId="0" fontId="24" fillId="12" borderId="36" xfId="14" applyNumberFormat="1" applyFont="1" applyBorder="1" applyAlignment="1">
      <alignment vertical="center"/>
    </xf>
    <xf numFmtId="0" fontId="24" fillId="12" borderId="39" xfId="14" applyNumberFormat="1" applyFont="1" applyBorder="1" applyAlignment="1">
      <alignment vertical="center"/>
    </xf>
    <xf numFmtId="0" fontId="145" fillId="11" borderId="0" xfId="0" applyNumberFormat="1" applyFont="1" applyAlignment="1">
      <alignment horizontal="justify" vertical="center"/>
    </xf>
    <xf numFmtId="0" fontId="24" fillId="12" borderId="41" xfId="14" applyNumberFormat="1" applyFont="1" applyBorder="1">
      <alignment vertical="top"/>
    </xf>
    <xf numFmtId="0" fontId="108" fillId="11" borderId="0" xfId="79" applyNumberFormat="1" applyFont="1" applyFill="1" applyBorder="1" applyAlignment="1">
      <alignment textRotation="90"/>
    </xf>
    <xf numFmtId="0" fontId="107" fillId="11" borderId="0" xfId="80" applyNumberFormat="1" applyFill="1" applyBorder="1" applyAlignment="1">
      <alignment textRotation="90"/>
    </xf>
    <xf numFmtId="0" fontId="24" fillId="12" borderId="28" xfId="14" applyNumberFormat="1" applyFont="1" applyBorder="1" applyAlignment="1">
      <alignment vertical="center"/>
    </xf>
    <xf numFmtId="0" fontId="24" fillId="12" borderId="31" xfId="14" applyNumberFormat="1" applyFont="1" applyBorder="1" applyAlignment="1">
      <alignment vertical="center"/>
    </xf>
    <xf numFmtId="0" fontId="24" fillId="12" borderId="33" xfId="14" applyNumberFormat="1" applyFont="1" applyBorder="1" applyAlignment="1">
      <alignment vertical="center"/>
    </xf>
    <xf numFmtId="0" fontId="146" fillId="16" borderId="8" xfId="16" applyFont="1" applyAlignment="1">
      <alignment horizontal="center" vertical="center" textRotation="90"/>
    </xf>
    <xf numFmtId="0" fontId="38" fillId="11" borderId="0" xfId="20" applyNumberFormat="1" applyFont="1" applyAlignment="1">
      <alignment horizontal="right" vertical="top"/>
      <protection hidden="1"/>
    </xf>
    <xf numFmtId="2" fontId="38" fillId="11" borderId="0" xfId="20" applyFont="1" applyAlignment="1">
      <alignment horizontal="right" vertical="top"/>
      <protection hidden="1"/>
    </xf>
    <xf numFmtId="0" fontId="38" fillId="11" borderId="0" xfId="20" applyNumberFormat="1" applyFont="1" applyAlignment="1">
      <alignment horizontal="right" vertical="center"/>
      <protection hidden="1"/>
    </xf>
    <xf numFmtId="3" fontId="149" fillId="16" borderId="8" xfId="16" applyNumberFormat="1" applyFont="1" applyAlignment="1">
      <alignment vertical="center"/>
    </xf>
    <xf numFmtId="0" fontId="104" fillId="8" borderId="31" xfId="10" applyNumberFormat="1" applyBorder="1" applyAlignment="1">
      <alignment horizontal="left" vertical="center"/>
    </xf>
    <xf numFmtId="0" fontId="88" fillId="2" borderId="0" xfId="22" applyNumberFormat="1" applyBorder="1">
      <alignment horizontal="right" vertical="center"/>
    </xf>
    <xf numFmtId="0" fontId="147" fillId="11" borderId="0" xfId="79" applyNumberFormat="1" applyFont="1" applyFill="1" applyAlignment="1">
      <alignment vertical="center"/>
    </xf>
    <xf numFmtId="0" fontId="90" fillId="11" borderId="0" xfId="0" applyFont="1" applyAlignment="1">
      <alignment vertical="top"/>
    </xf>
    <xf numFmtId="0" fontId="150" fillId="0" borderId="0" xfId="13" applyNumberFormat="1" applyFont="1" applyFill="1" applyAlignment="1">
      <alignment horizontal="left" vertical="top"/>
    </xf>
    <xf numFmtId="0" fontId="90" fillId="11" borderId="0" xfId="0" applyFont="1" applyAlignment="1">
      <alignment vertical="center"/>
    </xf>
    <xf numFmtId="0" fontId="90" fillId="11" borderId="0" xfId="0" applyFont="1">
      <alignment vertical="top"/>
    </xf>
    <xf numFmtId="165" fontId="0" fillId="11" borderId="0" xfId="0" applyNumberFormat="1">
      <alignment vertical="top"/>
    </xf>
    <xf numFmtId="0" fontId="100" fillId="12" borderId="10" xfId="14" applyNumberFormat="1" applyBorder="1" applyAlignment="1">
      <alignment horizontal="right" vertical="top"/>
    </xf>
    <xf numFmtId="3" fontId="93" fillId="11" borderId="0" xfId="27" applyNumberFormat="1" applyBorder="1" applyAlignment="1">
      <alignment horizontal="center" vertical="center"/>
    </xf>
    <xf numFmtId="0" fontId="100" fillId="12" borderId="10" xfId="14" applyNumberFormat="1" applyBorder="1" applyAlignment="1">
      <alignment horizontal="center" vertical="top"/>
    </xf>
    <xf numFmtId="2" fontId="100" fillId="12" borderId="10" xfId="14" applyNumberFormat="1" applyBorder="1" applyAlignment="1">
      <alignment horizontal="center" vertical="top"/>
    </xf>
    <xf numFmtId="0" fontId="100" fillId="12" borderId="10" xfId="14" applyNumberFormat="1" applyBorder="1" applyAlignment="1">
      <alignment horizontal="right" vertical="center"/>
    </xf>
    <xf numFmtId="166" fontId="126" fillId="54" borderId="14" xfId="6" applyBorder="1" applyAlignment="1">
      <alignment horizontal="right" vertical="center" wrapText="1"/>
      <protection locked="0"/>
    </xf>
    <xf numFmtId="166" fontId="126" fillId="54" borderId="14" xfId="6" applyBorder="1" applyAlignment="1">
      <alignment horizontal="right" vertical="top" wrapText="1"/>
      <protection locked="0"/>
    </xf>
    <xf numFmtId="9" fontId="126" fillId="54" borderId="14" xfId="6" applyNumberFormat="1" applyBorder="1" applyAlignment="1">
      <alignment horizontal="right" vertical="center" wrapText="1"/>
      <protection locked="0"/>
    </xf>
    <xf numFmtId="168" fontId="126" fillId="54" borderId="14" xfId="6" applyNumberFormat="1" applyBorder="1" applyAlignment="1">
      <alignment horizontal="right" vertical="center" wrapText="1"/>
      <protection locked="0"/>
    </xf>
    <xf numFmtId="3" fontId="59" fillId="0" borderId="0" xfId="0" applyNumberFormat="1" applyFont="1" applyFill="1" applyAlignment="1">
      <alignment horizontal="right" vertical="center" wrapText="1"/>
    </xf>
    <xf numFmtId="168" fontId="120" fillId="49" borderId="10" xfId="21" applyNumberFormat="1" applyBorder="1" applyAlignment="1">
      <alignment vertical="center"/>
    </xf>
    <xf numFmtId="165" fontId="126" fillId="50" borderId="10" xfId="73" applyNumberFormat="1" applyBorder="1" applyAlignment="1">
      <alignment horizontal="right" vertical="top" wrapText="1"/>
      <protection locked="0"/>
    </xf>
    <xf numFmtId="2" fontId="126" fillId="50" borderId="10" xfId="73" applyNumberFormat="1" applyBorder="1" applyAlignment="1">
      <alignment horizontal="right" vertical="top" wrapText="1"/>
      <protection locked="0"/>
    </xf>
    <xf numFmtId="168" fontId="98" fillId="12" borderId="10" xfId="77" applyNumberFormat="1" applyBorder="1" applyAlignment="1">
      <alignment horizontal="right" vertical="top"/>
      <protection hidden="1"/>
    </xf>
    <xf numFmtId="3" fontId="98" fillId="12" borderId="10" xfId="77" applyNumberFormat="1" applyBorder="1" applyAlignment="1">
      <alignment horizontal="right" vertical="top" wrapText="1"/>
      <protection hidden="1"/>
    </xf>
    <xf numFmtId="0" fontId="30" fillId="11" borderId="0" xfId="0" applyFont="1" applyAlignment="1">
      <alignment vertical="top"/>
    </xf>
    <xf numFmtId="9" fontId="126" fillId="17" borderId="14" xfId="14" applyNumberFormat="1" applyFont="1" applyFill="1" applyBorder="1" applyAlignment="1" applyProtection="1">
      <alignment horizontal="right" vertical="top" wrapText="1"/>
      <protection locked="0"/>
    </xf>
    <xf numFmtId="166" fontId="126" fillId="17" borderId="14" xfId="14" applyNumberFormat="1" applyFont="1" applyFill="1" applyBorder="1" applyAlignment="1" applyProtection="1">
      <alignment horizontal="right" vertical="top" wrapText="1"/>
      <protection locked="0"/>
    </xf>
    <xf numFmtId="2" fontId="17" fillId="12" borderId="14" xfId="14" applyNumberFormat="1" applyFont="1" applyBorder="1" applyAlignment="1" applyProtection="1">
      <alignment horizontal="right" vertical="top"/>
      <protection locked="0"/>
    </xf>
    <xf numFmtId="164" fontId="120" fillId="49" borderId="10" xfId="21" applyNumberFormat="1" applyBorder="1" applyAlignment="1">
      <alignment horizontal="right" vertical="center"/>
    </xf>
    <xf numFmtId="3" fontId="140" fillId="11" borderId="0" xfId="0" applyNumberFormat="1" applyFont="1" applyAlignment="1">
      <alignment horizontal="right"/>
    </xf>
    <xf numFmtId="3" fontId="154" fillId="45" borderId="10" xfId="0" applyNumberFormat="1" applyFont="1" applyFill="1" applyBorder="1" applyAlignment="1">
      <alignment horizontal="right" vertical="center"/>
    </xf>
    <xf numFmtId="0" fontId="154" fillId="11" borderId="10" xfId="0" applyFont="1" applyBorder="1">
      <alignment vertical="top"/>
    </xf>
    <xf numFmtId="3" fontId="154" fillId="49" borderId="10" xfId="0" applyNumberFormat="1" applyFont="1" applyFill="1" applyBorder="1" applyAlignment="1">
      <alignment horizontal="right" vertical="center"/>
    </xf>
    <xf numFmtId="3" fontId="154" fillId="49" borderId="10" xfId="0" applyNumberFormat="1" applyFont="1" applyFill="1" applyBorder="1" applyAlignment="1">
      <alignment horizontal="right"/>
    </xf>
    <xf numFmtId="0" fontId="154" fillId="45" borderId="10" xfId="0" applyFont="1" applyFill="1" applyBorder="1" applyAlignment="1">
      <alignment horizontal="right" vertical="center"/>
    </xf>
    <xf numFmtId="0" fontId="154" fillId="49" borderId="10" xfId="0" applyFont="1" applyFill="1" applyBorder="1" applyAlignment="1">
      <alignment vertical="center"/>
    </xf>
    <xf numFmtId="0" fontId="154" fillId="49" borderId="10" xfId="0" applyFont="1" applyFill="1" applyBorder="1" applyAlignment="1">
      <alignment horizontal="right" vertical="center"/>
    </xf>
    <xf numFmtId="0" fontId="156" fillId="11" borderId="0" xfId="79" applyNumberFormat="1" applyFont="1" applyFill="1" applyAlignment="1">
      <alignment vertical="center"/>
    </xf>
    <xf numFmtId="0" fontId="156" fillId="11" borderId="0" xfId="79" applyNumberFormat="1" applyFont="1" applyFill="1" applyBorder="1" applyAlignment="1">
      <alignment vertical="center"/>
    </xf>
    <xf numFmtId="0" fontId="156" fillId="11" borderId="0" xfId="79" applyNumberFormat="1" applyFont="1" applyFill="1" applyBorder="1" applyAlignment="1">
      <alignment horizontal="center" vertical="center"/>
    </xf>
    <xf numFmtId="0" fontId="156" fillId="11" borderId="0" xfId="79" applyNumberFormat="1" applyFont="1" applyFill="1" applyAlignment="1">
      <alignment vertical="top"/>
    </xf>
    <xf numFmtId="3" fontId="70" fillId="0" borderId="23" xfId="0" applyNumberFormat="1" applyFont="1" applyFill="1" applyBorder="1" applyAlignment="1">
      <alignment vertical="center"/>
    </xf>
    <xf numFmtId="3" fontId="69" fillId="0" borderId="23" xfId="0" applyNumberFormat="1" applyFont="1" applyFill="1" applyBorder="1" applyAlignment="1">
      <alignment vertical="top"/>
    </xf>
    <xf numFmtId="0" fontId="107" fillId="11" borderId="0" xfId="80" applyNumberFormat="1" applyFill="1" applyBorder="1" applyAlignment="1" applyProtection="1">
      <alignment horizontal="center"/>
      <protection hidden="1"/>
    </xf>
    <xf numFmtId="0" fontId="106" fillId="11" borderId="0" xfId="13" applyNumberFormat="1" applyAlignment="1">
      <alignment horizontal="right"/>
    </xf>
    <xf numFmtId="0" fontId="98" fillId="11" borderId="0" xfId="20" applyNumberFormat="1" applyAlignment="1">
      <alignment horizontal="center"/>
      <protection hidden="1"/>
    </xf>
    <xf numFmtId="0" fontId="109" fillId="11" borderId="0" xfId="17" applyAlignment="1"/>
    <xf numFmtId="3" fontId="127" fillId="11" borderId="0" xfId="0" applyNumberFormat="1" applyFont="1" applyAlignment="1">
      <alignment horizontal="left"/>
    </xf>
    <xf numFmtId="0" fontId="0" fillId="11" borderId="0" xfId="0" applyAlignment="1"/>
    <xf numFmtId="0" fontId="139" fillId="11" borderId="0" xfId="0" applyFont="1" applyAlignment="1">
      <alignment horizontal="right"/>
    </xf>
    <xf numFmtId="0" fontId="94" fillId="11" borderId="0" xfId="70" applyBorder="1" applyAlignment="1"/>
    <xf numFmtId="3" fontId="74" fillId="11" borderId="0" xfId="0" applyNumberFormat="1" applyFont="1" applyAlignment="1"/>
    <xf numFmtId="3" fontId="87" fillId="11" borderId="0" xfId="0" applyNumberFormat="1" applyFont="1" applyAlignment="1">
      <alignment horizontal="right"/>
    </xf>
    <xf numFmtId="2" fontId="116" fillId="11" borderId="0" xfId="80" applyNumberFormat="1" applyFont="1" applyFill="1" applyBorder="1" applyAlignment="1" applyProtection="1">
      <alignment horizontal="center" vertical="center"/>
      <protection hidden="1"/>
    </xf>
    <xf numFmtId="9" fontId="120" fillId="45" borderId="11" xfId="25" applyNumberFormat="1" applyBorder="1" applyAlignment="1">
      <alignment horizontal="right" vertical="center"/>
    </xf>
    <xf numFmtId="0" fontId="100" fillId="12" borderId="0" xfId="14" applyNumberFormat="1" applyBorder="1" applyAlignment="1">
      <alignment horizontal="left" vertical="center"/>
    </xf>
    <xf numFmtId="9" fontId="120" fillId="45" borderId="0" xfId="25" applyNumberFormat="1" applyBorder="1" applyAlignment="1">
      <alignment horizontal="right" vertical="center"/>
    </xf>
    <xf numFmtId="4" fontId="120" fillId="45" borderId="0" xfId="25" applyNumberFormat="1" applyBorder="1" applyAlignment="1">
      <alignment horizontal="right" vertical="center"/>
    </xf>
    <xf numFmtId="0" fontId="159" fillId="12" borderId="12" xfId="75" applyNumberFormat="1" applyFont="1" applyBorder="1" applyAlignment="1">
      <alignment vertical="center"/>
    </xf>
    <xf numFmtId="0" fontId="159" fillId="12" borderId="12" xfId="14" applyNumberFormat="1" applyFont="1" applyBorder="1" applyAlignment="1">
      <alignment vertical="center"/>
    </xf>
    <xf numFmtId="0" fontId="159" fillId="12" borderId="12" xfId="14" applyNumberFormat="1" applyFont="1" applyBorder="1" applyAlignment="1">
      <alignment horizontal="left" vertical="center"/>
    </xf>
    <xf numFmtId="2" fontId="72" fillId="11" borderId="0" xfId="14" applyNumberFormat="1" applyFont="1" applyFill="1" applyBorder="1" applyAlignment="1">
      <alignment horizontal="left" vertical="center" wrapText="1"/>
    </xf>
    <xf numFmtId="9" fontId="159" fillId="45" borderId="12" xfId="25" applyNumberFormat="1" applyFont="1" applyBorder="1" applyAlignment="1">
      <alignment horizontal="right" vertical="center"/>
    </xf>
    <xf numFmtId="2" fontId="72" fillId="11" borderId="0" xfId="0" applyNumberFormat="1" applyFont="1" applyAlignment="1">
      <alignment vertical="center"/>
    </xf>
    <xf numFmtId="4" fontId="159" fillId="45" borderId="12" xfId="25" applyNumberFormat="1" applyFont="1" applyBorder="1" applyAlignment="1">
      <alignment horizontal="right" vertical="center"/>
    </xf>
    <xf numFmtId="2" fontId="72" fillId="11" borderId="0" xfId="14" applyNumberFormat="1" applyFont="1" applyFill="1" applyBorder="1" applyAlignment="1">
      <alignment horizontal="right" vertical="center" wrapText="1"/>
    </xf>
    <xf numFmtId="3" fontId="155" fillId="11" borderId="0" xfId="0" applyNumberFormat="1" applyFont="1" applyAlignment="1">
      <alignment horizontal="left" indent="1"/>
    </xf>
    <xf numFmtId="3" fontId="154" fillId="49" borderId="10" xfId="0" applyNumberFormat="1" applyFont="1" applyFill="1" applyBorder="1" applyAlignment="1">
      <alignment horizontal="left" vertical="center" indent="1"/>
    </xf>
    <xf numFmtId="168" fontId="154" fillId="49" borderId="10" xfId="0" applyNumberFormat="1" applyFont="1" applyFill="1" applyBorder="1" applyAlignment="1">
      <alignment horizontal="left" vertical="center" indent="1"/>
    </xf>
    <xf numFmtId="3" fontId="89" fillId="11" borderId="0" xfId="23" applyAlignment="1">
      <alignment horizontal="left" indent="1"/>
    </xf>
    <xf numFmtId="3" fontId="51" fillId="46" borderId="46" xfId="24" applyBorder="1">
      <alignment horizontal="left" vertical="center"/>
    </xf>
    <xf numFmtId="3" fontId="51" fillId="46" borderId="47" xfId="24" applyBorder="1">
      <alignment horizontal="left" vertical="center"/>
    </xf>
    <xf numFmtId="3" fontId="51" fillId="46" borderId="48" xfId="24" applyBorder="1">
      <alignment horizontal="left" vertical="center"/>
    </xf>
    <xf numFmtId="3" fontId="120" fillId="20" borderId="49" xfId="68" applyBorder="1" applyAlignment="1">
      <alignment horizontal="right" vertical="top"/>
    </xf>
    <xf numFmtId="3" fontId="120" fillId="20" borderId="50" xfId="68" applyBorder="1" applyAlignment="1">
      <alignment horizontal="right" vertical="top"/>
    </xf>
    <xf numFmtId="0" fontId="113" fillId="11" borderId="51" xfId="11" applyNumberFormat="1" applyFill="1" applyBorder="1" applyAlignment="1">
      <alignment horizontal="right" vertical="center" wrapText="1"/>
    </xf>
    <xf numFmtId="0" fontId="113" fillId="11" borderId="52" xfId="11" applyNumberFormat="1" applyFill="1" applyBorder="1" applyAlignment="1">
      <alignment horizontal="right" vertical="center" wrapText="1"/>
    </xf>
    <xf numFmtId="0" fontId="126" fillId="50" borderId="49" xfId="73" applyNumberFormat="1" applyBorder="1">
      <alignment horizontal="right" vertical="top" wrapText="1"/>
      <protection locked="0"/>
    </xf>
    <xf numFmtId="0" fontId="126" fillId="50" borderId="50" xfId="73" applyNumberFormat="1" applyBorder="1">
      <alignment horizontal="right" vertical="top" wrapText="1"/>
      <protection locked="0"/>
    </xf>
    <xf numFmtId="168" fontId="104" fillId="12" borderId="49" xfId="75" applyNumberFormat="1" applyBorder="1" applyAlignment="1">
      <alignment horizontal="right" vertical="center" wrapText="1"/>
    </xf>
    <xf numFmtId="168" fontId="104" fillId="12" borderId="50" xfId="75" applyNumberFormat="1" applyBorder="1" applyAlignment="1">
      <alignment horizontal="right" vertical="center" wrapText="1"/>
    </xf>
    <xf numFmtId="2" fontId="120" fillId="12" borderId="49" xfId="14" applyNumberFormat="1" applyFont="1" applyBorder="1" applyAlignment="1">
      <alignment horizontal="right" vertical="top" wrapText="1"/>
    </xf>
    <xf numFmtId="2" fontId="120" fillId="12" borderId="50" xfId="14" applyNumberFormat="1" applyFont="1" applyBorder="1" applyAlignment="1">
      <alignment horizontal="right" vertical="top" wrapText="1"/>
    </xf>
    <xf numFmtId="165" fontId="120" fillId="12" borderId="50" xfId="14" applyNumberFormat="1" applyFont="1" applyBorder="1" applyAlignment="1">
      <alignment horizontal="right" vertical="top" wrapText="1"/>
    </xf>
    <xf numFmtId="168" fontId="104" fillId="12" borderId="53" xfId="75" applyNumberFormat="1" applyBorder="1" applyAlignment="1">
      <alignment horizontal="right" vertical="center" wrapText="1"/>
    </xf>
    <xf numFmtId="168" fontId="104" fillId="12" borderId="54" xfId="75" applyNumberFormat="1" applyBorder="1" applyAlignment="1">
      <alignment horizontal="right" vertical="center" wrapText="1"/>
    </xf>
    <xf numFmtId="168" fontId="104" fillId="12" borderId="55" xfId="75" applyNumberFormat="1" applyBorder="1" applyAlignment="1">
      <alignment horizontal="right" vertical="center" wrapText="1"/>
    </xf>
    <xf numFmtId="164" fontId="126" fillId="50" borderId="10" xfId="73" applyNumberFormat="1" applyBorder="1" applyAlignment="1">
      <alignment horizontal="right" vertical="top" wrapText="1"/>
      <protection locked="0"/>
    </xf>
    <xf numFmtId="0" fontId="126" fillId="50" borderId="10" xfId="73" applyNumberFormat="1" applyBorder="1" applyAlignment="1">
      <alignment horizontal="right" vertical="top" wrapText="1"/>
      <protection locked="0"/>
    </xf>
    <xf numFmtId="4" fontId="126" fillId="50" borderId="10" xfId="73" applyNumberFormat="1" applyBorder="1" applyAlignment="1">
      <alignment horizontal="right" vertical="top" wrapText="1"/>
      <protection locked="0"/>
    </xf>
    <xf numFmtId="4" fontId="126" fillId="50" borderId="10" xfId="73" applyNumberFormat="1" applyBorder="1">
      <alignment horizontal="right" vertical="top" wrapText="1"/>
      <protection locked="0"/>
    </xf>
    <xf numFmtId="1" fontId="126" fillId="50" borderId="10" xfId="73" applyNumberFormat="1" applyBorder="1" applyAlignment="1">
      <alignment horizontal="right" vertical="top" wrapText="1"/>
      <protection locked="0"/>
    </xf>
    <xf numFmtId="1" fontId="126" fillId="50" borderId="10" xfId="73" applyNumberFormat="1" applyBorder="1">
      <alignment horizontal="right" vertical="top" wrapText="1"/>
      <protection locked="0"/>
    </xf>
    <xf numFmtId="1" fontId="100" fillId="12" borderId="10" xfId="14" applyNumberFormat="1" applyBorder="1" applyAlignment="1">
      <alignment horizontal="right" vertical="top"/>
    </xf>
    <xf numFmtId="1" fontId="120" fillId="12" borderId="49" xfId="14" applyNumberFormat="1" applyFont="1" applyBorder="1" applyAlignment="1">
      <alignment horizontal="right" vertical="top" wrapText="1"/>
    </xf>
    <xf numFmtId="1" fontId="120" fillId="12" borderId="56" xfId="14" applyNumberFormat="1" applyFont="1" applyBorder="1" applyAlignment="1">
      <alignment horizontal="right" vertical="top" wrapText="1"/>
    </xf>
    <xf numFmtId="1" fontId="120" fillId="12" borderId="16" xfId="14" applyNumberFormat="1" applyFont="1" applyBorder="1" applyAlignment="1">
      <alignment horizontal="right" vertical="top" wrapText="1"/>
    </xf>
    <xf numFmtId="1" fontId="120" fillId="12" borderId="57" xfId="14" applyNumberFormat="1" applyFont="1" applyBorder="1" applyAlignment="1">
      <alignment horizontal="right" vertical="top" wrapText="1"/>
    </xf>
    <xf numFmtId="1" fontId="120" fillId="12" borderId="10" xfId="14" applyNumberFormat="1" applyFont="1" applyBorder="1" applyAlignment="1">
      <alignment horizontal="right" vertical="top" wrapText="1"/>
    </xf>
    <xf numFmtId="1" fontId="120" fillId="12" borderId="50" xfId="14" applyNumberFormat="1" applyFont="1" applyBorder="1" applyAlignment="1">
      <alignment horizontal="right" vertical="top" wrapText="1"/>
    </xf>
    <xf numFmtId="9" fontId="120" fillId="49" borderId="14" xfId="21" applyNumberFormat="1" applyBorder="1" applyAlignment="1">
      <alignment horizontal="right" vertical="top" wrapText="1"/>
    </xf>
    <xf numFmtId="3" fontId="100" fillId="12" borderId="11" xfId="83" quotePrefix="1" applyBorder="1" applyAlignment="1">
      <alignment horizontal="left" vertical="center" wrapText="1"/>
    </xf>
    <xf numFmtId="0" fontId="0" fillId="11" borderId="0" xfId="0" applyAlignment="1">
      <alignment horizontal="right"/>
    </xf>
    <xf numFmtId="0" fontId="126" fillId="17" borderId="10" xfId="78" applyNumberFormat="1" applyBorder="1" applyAlignment="1">
      <alignment horizontal="center" vertical="center" wrapText="1"/>
      <protection locked="0"/>
    </xf>
    <xf numFmtId="182" fontId="120" fillId="49" borderId="10" xfId="21" applyNumberFormat="1" applyBorder="1" applyAlignment="1">
      <alignment horizontal="left" vertical="center" indent="1"/>
    </xf>
    <xf numFmtId="183" fontId="120" fillId="49" borderId="32" xfId="21" applyNumberFormat="1" applyBorder="1" applyAlignment="1">
      <alignment horizontal="left" vertical="center" indent="1"/>
    </xf>
    <xf numFmtId="183" fontId="161" fillId="49" borderId="35" xfId="21" applyNumberFormat="1" applyFont="1" applyBorder="1" applyAlignment="1">
      <alignment horizontal="center" vertical="center"/>
    </xf>
    <xf numFmtId="1" fontId="101" fillId="12" borderId="10" xfId="14" applyNumberFormat="1" applyFont="1" applyBorder="1" applyAlignment="1">
      <alignment horizontal="right" vertical="top" wrapText="1"/>
    </xf>
    <xf numFmtId="3" fontId="126" fillId="17" borderId="14" xfId="78" applyNumberFormat="1" applyBorder="1" applyAlignment="1">
      <alignment horizontal="right" vertical="top" wrapText="1"/>
      <protection locked="0"/>
    </xf>
    <xf numFmtId="3" fontId="126" fillId="17" borderId="52" xfId="78" applyNumberFormat="1" applyBorder="1" applyAlignment="1">
      <alignment horizontal="right" vertical="top" wrapText="1"/>
      <protection locked="0"/>
    </xf>
    <xf numFmtId="3" fontId="100" fillId="12" borderId="16" xfId="14" applyNumberFormat="1" applyBorder="1" applyAlignment="1">
      <alignment horizontal="right" vertical="top" wrapText="1"/>
    </xf>
    <xf numFmtId="3" fontId="126" fillId="17" borderId="16" xfId="78" applyNumberFormat="1" applyBorder="1" applyAlignment="1">
      <alignment horizontal="right" vertical="top" wrapText="1"/>
      <protection locked="0"/>
    </xf>
    <xf numFmtId="3" fontId="126" fillId="17" borderId="57" xfId="78" applyNumberFormat="1" applyBorder="1" applyAlignment="1">
      <alignment horizontal="right" vertical="top" wrapText="1"/>
      <protection locked="0"/>
    </xf>
    <xf numFmtId="0" fontId="107" fillId="11" borderId="0" xfId="79" applyNumberFormat="1" applyFont="1" applyFill="1" applyAlignment="1">
      <alignment horizontal="left" vertical="top"/>
    </xf>
    <xf numFmtId="3" fontId="117" fillId="11" borderId="0" xfId="13" applyFont="1" applyAlignment="1">
      <alignment horizontal="right" vertical="top"/>
    </xf>
    <xf numFmtId="0" fontId="162" fillId="11" borderId="0" xfId="0" applyFont="1" applyAlignment="1">
      <alignment horizontal="right" vertical="center"/>
    </xf>
    <xf numFmtId="0" fontId="162" fillId="11" borderId="0" xfId="0" applyFont="1" applyAlignment="1">
      <alignment vertical="center"/>
    </xf>
    <xf numFmtId="0" fontId="163" fillId="11" borderId="0" xfId="8" applyNumberFormat="1" applyFont="1" applyFill="1" applyBorder="1" applyAlignment="1">
      <alignment vertical="center"/>
    </xf>
    <xf numFmtId="0" fontId="143" fillId="11" borderId="0" xfId="0" applyFont="1" applyAlignment="1">
      <alignment vertical="top"/>
    </xf>
    <xf numFmtId="0" fontId="164" fillId="13" borderId="0" xfId="16" applyFont="1" applyFill="1" applyBorder="1" applyAlignment="1">
      <alignment horizontal="right" vertical="center" textRotation="90"/>
    </xf>
    <xf numFmtId="0" fontId="165" fillId="13" borderId="0" xfId="80" applyNumberFormat="1" applyFont="1" applyFill="1" applyBorder="1" applyAlignment="1">
      <alignment textRotation="90"/>
    </xf>
    <xf numFmtId="0" fontId="166" fillId="13" borderId="0" xfId="79" applyNumberFormat="1" applyFont="1" applyFill="1" applyBorder="1" applyAlignment="1">
      <alignment textRotation="90"/>
    </xf>
    <xf numFmtId="0" fontId="165" fillId="13" borderId="0" xfId="80" applyNumberFormat="1" applyFont="1" applyFill="1" applyBorder="1" applyAlignment="1">
      <alignment vertical="center" textRotation="90"/>
    </xf>
    <xf numFmtId="0" fontId="166" fillId="13" borderId="0" xfId="80" applyNumberFormat="1" applyFont="1" applyFill="1" applyBorder="1" applyAlignment="1">
      <alignment textRotation="90"/>
    </xf>
    <xf numFmtId="0" fontId="165" fillId="13" borderId="0" xfId="80" applyNumberFormat="1" applyFont="1" applyFill="1" applyBorder="1" applyAlignment="1">
      <alignment vertical="top" textRotation="90"/>
    </xf>
    <xf numFmtId="0" fontId="165" fillId="13" borderId="0" xfId="80" applyNumberFormat="1" applyFont="1" applyFill="1" applyBorder="1" applyAlignment="1">
      <alignment horizontal="center" textRotation="90"/>
    </xf>
    <xf numFmtId="0" fontId="165" fillId="0" borderId="0" xfId="80" applyNumberFormat="1" applyFont="1" applyFill="1" applyBorder="1" applyAlignment="1">
      <alignment textRotation="90"/>
    </xf>
    <xf numFmtId="0" fontId="165" fillId="11" borderId="0" xfId="80" applyNumberFormat="1" applyFont="1" applyFill="1" applyBorder="1" applyAlignment="1">
      <alignment vertical="top"/>
    </xf>
    <xf numFmtId="0" fontId="165" fillId="13" borderId="0" xfId="79" applyNumberFormat="1" applyFont="1" applyFill="1" applyBorder="1" applyAlignment="1">
      <alignment textRotation="90"/>
    </xf>
    <xf numFmtId="0" fontId="107" fillId="11" borderId="0" xfId="79" applyNumberFormat="1" applyFont="1" applyFill="1" applyAlignment="1">
      <alignment horizontal="right" vertical="center"/>
    </xf>
    <xf numFmtId="0" fontId="167" fillId="11" borderId="0" xfId="20" applyNumberFormat="1" applyFont="1">
      <alignment horizontal="center" vertical="top"/>
      <protection hidden="1"/>
    </xf>
    <xf numFmtId="0" fontId="107" fillId="11" borderId="0" xfId="79" applyNumberFormat="1" applyFont="1" applyFill="1" applyBorder="1" applyAlignment="1">
      <alignment vertical="center"/>
    </xf>
    <xf numFmtId="0" fontId="107" fillId="11" borderId="0" xfId="79" applyNumberFormat="1" applyFont="1" applyFill="1" applyBorder="1" applyAlignment="1">
      <alignment horizontal="center" vertical="center"/>
    </xf>
    <xf numFmtId="0" fontId="107" fillId="11" borderId="0" xfId="79" applyNumberFormat="1" applyFont="1" applyFill="1" applyAlignment="1">
      <alignment vertical="top"/>
    </xf>
    <xf numFmtId="0" fontId="107" fillId="11" borderId="0" xfId="79" applyNumberFormat="1" applyFont="1" applyFill="1" applyAlignment="1">
      <alignment vertical="center"/>
    </xf>
    <xf numFmtId="0" fontId="107" fillId="11" borderId="0" xfId="79" applyNumberFormat="1" applyFont="1" applyFill="1" applyBorder="1" applyAlignment="1">
      <alignment textRotation="90"/>
    </xf>
    <xf numFmtId="0" fontId="168" fillId="11" borderId="0" xfId="0" applyFont="1" applyAlignment="1">
      <alignment horizontal="center" textRotation="90"/>
    </xf>
    <xf numFmtId="0" fontId="108" fillId="11" borderId="0" xfId="79" applyNumberFormat="1" applyFont="1" applyFill="1" applyAlignment="1">
      <alignment horizontal="center" vertical="center"/>
    </xf>
    <xf numFmtId="0" fontId="38" fillId="11" borderId="0" xfId="20" applyNumberFormat="1" applyFont="1">
      <alignment horizontal="center" vertical="top"/>
      <protection hidden="1"/>
    </xf>
    <xf numFmtId="2" fontId="38" fillId="11" borderId="0" xfId="20" applyFont="1">
      <alignment horizontal="center" vertical="top"/>
      <protection hidden="1"/>
    </xf>
    <xf numFmtId="2" fontId="148" fillId="53" borderId="0" xfId="0" applyNumberFormat="1" applyFont="1" applyFill="1" applyAlignment="1" applyProtection="1">
      <alignment horizontal="center" vertical="top"/>
      <protection hidden="1"/>
    </xf>
    <xf numFmtId="0" fontId="38" fillId="11" borderId="0" xfId="20" applyNumberFormat="1" applyFont="1" applyAlignment="1">
      <alignment horizontal="center" vertical="center"/>
      <protection hidden="1"/>
    </xf>
    <xf numFmtId="0" fontId="38" fillId="11" borderId="0" xfId="20" applyNumberFormat="1" applyFont="1" applyAlignment="1">
      <alignment horizontal="center" vertical="top" wrapText="1"/>
      <protection hidden="1"/>
    </xf>
    <xf numFmtId="2" fontId="38" fillId="11" borderId="0" xfId="20" applyFont="1" applyAlignment="1">
      <alignment horizontal="center" vertical="center"/>
      <protection hidden="1"/>
    </xf>
    <xf numFmtId="0" fontId="169" fillId="11" borderId="0" xfId="8" applyNumberFormat="1" applyFont="1" applyFill="1" applyBorder="1" applyAlignment="1">
      <alignment horizontal="center" vertical="center"/>
    </xf>
    <xf numFmtId="0" fontId="162" fillId="11" borderId="0" xfId="8" applyNumberFormat="1" applyFont="1" applyFill="1" applyBorder="1" applyAlignment="1">
      <alignment horizontal="center" vertical="center"/>
    </xf>
    <xf numFmtId="0" fontId="22" fillId="11" borderId="10" xfId="0" applyFont="1" applyBorder="1" applyAlignment="1">
      <alignment vertical="center"/>
    </xf>
    <xf numFmtId="0" fontId="0" fillId="11" borderId="10" xfId="0" applyBorder="1">
      <alignment vertical="top"/>
    </xf>
    <xf numFmtId="0" fontId="19" fillId="13" borderId="10" xfId="0" applyFont="1" applyFill="1" applyBorder="1" applyAlignment="1">
      <alignment horizontal="right" vertical="center"/>
    </xf>
    <xf numFmtId="0" fontId="0" fillId="11" borderId="10" xfId="0" applyBorder="1" applyAlignment="1">
      <alignment vertical="center"/>
    </xf>
    <xf numFmtId="0" fontId="139" fillId="12" borderId="10" xfId="0" applyFont="1" applyFill="1" applyBorder="1" applyAlignment="1">
      <alignment horizontal="right" vertical="center"/>
    </xf>
    <xf numFmtId="0" fontId="172" fillId="11" borderId="10" xfId="0" applyFont="1" applyBorder="1" applyAlignment="1">
      <alignment vertical="center"/>
    </xf>
    <xf numFmtId="2" fontId="19" fillId="11" borderId="10" xfId="0" applyNumberFormat="1" applyFont="1" applyBorder="1" applyAlignment="1">
      <alignment horizontal="right" vertical="center"/>
    </xf>
    <xf numFmtId="0" fontId="19" fillId="11" borderId="10" xfId="0" applyFont="1" applyBorder="1" applyAlignment="1">
      <alignment horizontal="right" vertical="center"/>
    </xf>
    <xf numFmtId="165" fontId="19" fillId="11" borderId="10" xfId="0" applyNumberFormat="1" applyFont="1" applyBorder="1" applyAlignment="1">
      <alignment horizontal="right" vertical="center"/>
    </xf>
    <xf numFmtId="165" fontId="0" fillId="11" borderId="10" xfId="0" applyNumberFormat="1" applyBorder="1" applyAlignment="1">
      <alignment horizontal="right" vertical="center"/>
    </xf>
    <xf numFmtId="0" fontId="19" fillId="11" borderId="10" xfId="0" applyFont="1" applyBorder="1">
      <alignment vertical="top"/>
    </xf>
    <xf numFmtId="2" fontId="19" fillId="55" borderId="10" xfId="0" applyNumberFormat="1" applyFont="1" applyFill="1" applyBorder="1" applyAlignment="1">
      <alignment horizontal="right" vertical="center"/>
    </xf>
    <xf numFmtId="0" fontId="19" fillId="55" borderId="10" xfId="0" applyFont="1" applyFill="1" applyBorder="1" applyAlignment="1">
      <alignment horizontal="right" vertical="center"/>
    </xf>
    <xf numFmtId="0" fontId="173" fillId="11" borderId="0" xfId="0" applyFont="1">
      <alignment vertical="top"/>
    </xf>
    <xf numFmtId="183" fontId="160" fillId="49" borderId="34" xfId="21" applyNumberFormat="1" applyFont="1" applyBorder="1" applyAlignment="1" applyProtection="1">
      <alignment horizontal="left" vertical="center" indent="1"/>
      <protection locked="0"/>
    </xf>
    <xf numFmtId="168" fontId="156" fillId="11" borderId="0" xfId="79" applyNumberFormat="1" applyFont="1" applyFill="1" applyBorder="1" applyAlignment="1">
      <alignment vertical="center"/>
    </xf>
    <xf numFmtId="0" fontId="126" fillId="11" borderId="0" xfId="13" applyNumberFormat="1" applyFont="1" applyAlignment="1">
      <alignment horizontal="right" vertical="top"/>
    </xf>
    <xf numFmtId="0" fontId="126" fillId="11" borderId="0" xfId="13" applyNumberFormat="1" applyFont="1" applyAlignment="1">
      <alignment horizontal="right" vertical="top" wrapText="1"/>
    </xf>
    <xf numFmtId="166" fontId="126" fillId="17" borderId="16" xfId="78" applyBorder="1">
      <alignment horizontal="right" vertical="top" wrapText="1"/>
      <protection locked="0"/>
    </xf>
    <xf numFmtId="166" fontId="126" fillId="17" borderId="16" xfId="78" applyBorder="1" applyAlignment="1">
      <alignment horizontal="right" vertical="center" wrapText="1"/>
      <protection locked="0"/>
    </xf>
    <xf numFmtId="3" fontId="174" fillId="12" borderId="14" xfId="14" applyFont="1" applyBorder="1" applyAlignment="1">
      <alignment horizontal="right" vertical="top" wrapText="1"/>
    </xf>
    <xf numFmtId="0" fontId="100" fillId="12" borderId="59" xfId="14" applyNumberFormat="1" applyBorder="1" applyAlignment="1">
      <alignment vertical="center"/>
    </xf>
    <xf numFmtId="168" fontId="100" fillId="56" borderId="14" xfId="14" applyNumberFormat="1" applyFill="1" applyBorder="1" applyAlignment="1">
      <alignment horizontal="right" vertical="top" wrapText="1"/>
    </xf>
    <xf numFmtId="1" fontId="100" fillId="56" borderId="14" xfId="14" applyNumberFormat="1" applyFill="1" applyBorder="1" applyAlignment="1">
      <alignment horizontal="right" vertical="top"/>
    </xf>
    <xf numFmtId="4" fontId="100" fillId="56" borderId="14" xfId="14" applyNumberFormat="1" applyFill="1" applyBorder="1" applyAlignment="1">
      <alignment horizontal="right" vertical="top" wrapText="1"/>
    </xf>
    <xf numFmtId="4" fontId="100" fillId="56" borderId="14" xfId="14" applyNumberFormat="1" applyFill="1" applyBorder="1">
      <alignment vertical="top"/>
    </xf>
    <xf numFmtId="4" fontId="120" fillId="56" borderId="14" xfId="21" applyNumberFormat="1" applyFill="1" applyBorder="1">
      <alignment vertical="top"/>
    </xf>
    <xf numFmtId="168" fontId="104" fillId="56" borderId="14" xfId="75" applyNumberFormat="1" applyFill="1" applyBorder="1" applyAlignment="1">
      <alignment horizontal="right" vertical="top" wrapText="1"/>
    </xf>
    <xf numFmtId="166" fontId="126" fillId="14" borderId="10" xfId="29" applyAlignment="1">
      <alignment horizontal="right" vertical="top" wrapText="1"/>
      <protection locked="0"/>
    </xf>
    <xf numFmtId="1" fontId="126" fillId="54" borderId="25" xfId="6" applyNumberFormat="1" applyAlignment="1">
      <alignment horizontal="right" vertical="center" wrapText="1"/>
      <protection locked="0"/>
    </xf>
    <xf numFmtId="1" fontId="126" fillId="54" borderId="25" xfId="6" applyNumberFormat="1" applyAlignment="1">
      <alignment horizontal="right" vertical="top"/>
      <protection locked="0"/>
    </xf>
    <xf numFmtId="166" fontId="144" fillId="52" borderId="14" xfId="6" applyFont="1" applyFill="1" applyBorder="1" applyAlignment="1">
      <alignment horizontal="right" vertical="center" wrapText="1"/>
      <protection locked="0"/>
    </xf>
    <xf numFmtId="2" fontId="120" fillId="49" borderId="58" xfId="21" applyNumberFormat="1" applyBorder="1" applyAlignment="1">
      <alignment horizontal="right" vertical="center" wrapText="1"/>
    </xf>
    <xf numFmtId="2" fontId="120" fillId="49" borderId="23" xfId="21" applyNumberFormat="1" applyBorder="1" applyAlignment="1">
      <alignment horizontal="right" vertical="center" wrapText="1"/>
    </xf>
    <xf numFmtId="4" fontId="126" fillId="49" borderId="23" xfId="73" applyNumberFormat="1" applyFill="1" applyBorder="1" applyAlignment="1">
      <alignment horizontal="right" vertical="center" wrapText="1"/>
      <protection locked="0"/>
    </xf>
    <xf numFmtId="2" fontId="159" fillId="49" borderId="60" xfId="21" applyNumberFormat="1" applyFont="1" applyBorder="1" applyAlignment="1">
      <alignment horizontal="right" vertical="center" wrapText="1"/>
    </xf>
    <xf numFmtId="4" fontId="120" fillId="45" borderId="17" xfId="25" applyNumberFormat="1" applyBorder="1" applyAlignment="1">
      <alignment horizontal="right" vertical="center"/>
    </xf>
    <xf numFmtId="2" fontId="159" fillId="49" borderId="23" xfId="21" applyNumberFormat="1" applyFont="1" applyBorder="1" applyAlignment="1">
      <alignment horizontal="right" vertical="center" wrapText="1"/>
    </xf>
    <xf numFmtId="4" fontId="30" fillId="11" borderId="0" xfId="8" applyNumberFormat="1" applyFont="1" applyFill="1" applyBorder="1" applyAlignment="1">
      <alignment horizontal="center" vertical="center"/>
    </xf>
    <xf numFmtId="0" fontId="19" fillId="11" borderId="0" xfId="0" applyFont="1" applyAlignment="1">
      <alignment horizontal="center" vertical="center" wrapText="1"/>
    </xf>
    <xf numFmtId="0" fontId="100" fillId="12" borderId="14" xfId="14" applyNumberFormat="1" applyBorder="1" applyAlignment="1">
      <alignment horizontal="right" vertical="top"/>
    </xf>
    <xf numFmtId="0" fontId="100" fillId="12" borderId="0" xfId="14" applyNumberFormat="1" applyBorder="1" applyAlignment="1">
      <alignment vertical="top"/>
    </xf>
    <xf numFmtId="0" fontId="104" fillId="12" borderId="14" xfId="75" applyNumberFormat="1" applyBorder="1" applyAlignment="1">
      <alignment horizontal="left" vertical="center" indent="2"/>
    </xf>
    <xf numFmtId="3" fontId="93" fillId="11" borderId="14" xfId="27" applyNumberFormat="1" applyBorder="1" applyAlignment="1">
      <alignment vertical="center"/>
    </xf>
    <xf numFmtId="3" fontId="100" fillId="12" borderId="14" xfId="14" applyNumberFormat="1" applyBorder="1">
      <alignment vertical="top"/>
    </xf>
    <xf numFmtId="1" fontId="100" fillId="12" borderId="14" xfId="14" applyNumberFormat="1" applyBorder="1" applyAlignment="1">
      <alignment horizontal="right" vertical="top" wrapText="1"/>
    </xf>
    <xf numFmtId="0" fontId="100" fillId="12" borderId="0" xfId="14" applyNumberFormat="1" applyBorder="1" applyAlignment="1">
      <alignment horizontal="left" vertical="top"/>
    </xf>
    <xf numFmtId="3" fontId="126" fillId="54" borderId="14" xfId="6" applyNumberFormat="1" applyBorder="1" applyAlignment="1">
      <alignment horizontal="right" vertical="top" wrapText="1"/>
      <protection locked="0"/>
    </xf>
    <xf numFmtId="168" fontId="139" fillId="49" borderId="23" xfId="21" applyNumberFormat="1" applyFont="1" applyBorder="1" applyAlignment="1">
      <alignment horizontal="right" vertical="center"/>
    </xf>
    <xf numFmtId="0" fontId="100" fillId="12" borderId="24" xfId="14" applyNumberFormat="1" applyBorder="1" applyAlignment="1">
      <alignment vertical="top"/>
    </xf>
    <xf numFmtId="0" fontId="100" fillId="12" borderId="24" xfId="14" applyNumberFormat="1" applyBorder="1" applyAlignment="1">
      <alignment horizontal="right" vertical="top"/>
    </xf>
    <xf numFmtId="0" fontId="104" fillId="12" borderId="15" xfId="75" applyNumberFormat="1" applyBorder="1" applyAlignment="1">
      <alignment vertical="center"/>
    </xf>
    <xf numFmtId="0" fontId="104" fillId="12" borderId="15" xfId="75" applyNumberFormat="1" applyBorder="1" applyAlignment="1">
      <alignment horizontal="right" vertical="center"/>
    </xf>
    <xf numFmtId="0" fontId="100" fillId="12" borderId="61" xfId="14" applyNumberFormat="1" applyBorder="1" applyAlignment="1">
      <alignment vertical="top"/>
    </xf>
    <xf numFmtId="0" fontId="100" fillId="12" borderId="61" xfId="14" applyNumberFormat="1" applyBorder="1" applyAlignment="1">
      <alignment horizontal="right" vertical="top"/>
    </xf>
    <xf numFmtId="0" fontId="100" fillId="12" borderId="62" xfId="14" applyNumberFormat="1" applyBorder="1" applyAlignment="1">
      <alignment horizontal="right" vertical="top"/>
    </xf>
    <xf numFmtId="0" fontId="100" fillId="12" borderId="63" xfId="14" applyNumberFormat="1" applyBorder="1" applyAlignment="1">
      <alignment horizontal="right" vertical="top"/>
    </xf>
    <xf numFmtId="0" fontId="100" fillId="12" borderId="64" xfId="14" applyNumberFormat="1" applyBorder="1" applyAlignment="1">
      <alignment vertical="top"/>
    </xf>
    <xf numFmtId="0" fontId="100" fillId="12" borderId="64" xfId="14" applyNumberFormat="1" applyBorder="1" applyAlignment="1">
      <alignment horizontal="right" vertical="top"/>
    </xf>
    <xf numFmtId="0" fontId="100" fillId="12" borderId="65" xfId="14" applyNumberFormat="1" applyBorder="1" applyAlignment="1">
      <alignment horizontal="right" vertical="top"/>
    </xf>
    <xf numFmtId="0" fontId="100" fillId="12" borderId="66" xfId="14" applyNumberFormat="1" applyBorder="1" applyAlignment="1">
      <alignment vertical="top"/>
    </xf>
    <xf numFmtId="0" fontId="100" fillId="12" borderId="67" xfId="14" applyNumberFormat="1" applyBorder="1" applyAlignment="1">
      <alignment vertical="top"/>
    </xf>
    <xf numFmtId="0" fontId="100" fillId="12" borderId="68" xfId="14" applyNumberFormat="1" applyBorder="1" applyAlignment="1">
      <alignment vertical="top"/>
    </xf>
    <xf numFmtId="0" fontId="100" fillId="49" borderId="23" xfId="14" applyNumberFormat="1" applyFill="1" applyBorder="1" applyAlignment="1">
      <alignment horizontal="center" vertical="center"/>
    </xf>
    <xf numFmtId="168" fontId="139" fillId="45" borderId="23" xfId="25" applyNumberFormat="1" applyFont="1" applyBorder="1" applyAlignment="1">
      <alignment horizontal="right" vertical="center"/>
    </xf>
    <xf numFmtId="0" fontId="140" fillId="0" borderId="0" xfId="0" applyFont="1" applyFill="1" applyAlignment="1">
      <alignment vertical="center"/>
    </xf>
    <xf numFmtId="0" fontId="140" fillId="0" borderId="23" xfId="0" applyFont="1" applyFill="1" applyBorder="1" applyAlignment="1">
      <alignment vertical="center"/>
    </xf>
    <xf numFmtId="0" fontId="100" fillId="12" borderId="23" xfId="14" applyNumberFormat="1" applyBorder="1" applyAlignment="1">
      <alignment horizontal="right" vertical="center"/>
    </xf>
    <xf numFmtId="0" fontId="175" fillId="11" borderId="0" xfId="0" applyFont="1" applyAlignment="1">
      <alignment horizontal="right" vertical="top"/>
    </xf>
    <xf numFmtId="0" fontId="175" fillId="11" borderId="0" xfId="0" applyFont="1" applyAlignment="1">
      <alignment horizontal="left" vertical="top"/>
    </xf>
    <xf numFmtId="0" fontId="176" fillId="12" borderId="14" xfId="75" applyNumberFormat="1" applyFont="1" applyBorder="1" applyAlignment="1">
      <alignment horizontal="left" vertical="center"/>
    </xf>
    <xf numFmtId="0" fontId="100" fillId="12" borderId="69" xfId="14" applyNumberFormat="1" applyBorder="1" applyAlignment="1">
      <alignment vertical="top"/>
    </xf>
    <xf numFmtId="0" fontId="100" fillId="12" borderId="15" xfId="14" applyNumberFormat="1" applyBorder="1" applyAlignment="1">
      <alignment vertical="top"/>
    </xf>
    <xf numFmtId="0" fontId="100" fillId="12" borderId="15" xfId="14" applyNumberFormat="1" applyBorder="1" applyAlignment="1">
      <alignment horizontal="right" vertical="top"/>
    </xf>
    <xf numFmtId="0" fontId="100" fillId="12" borderId="70" xfId="14" applyNumberFormat="1" applyBorder="1" applyAlignment="1">
      <alignment horizontal="right" vertical="top"/>
    </xf>
    <xf numFmtId="4" fontId="126" fillId="54" borderId="16" xfId="6" applyNumberFormat="1" applyBorder="1" applyAlignment="1">
      <alignment horizontal="right" vertical="center" wrapText="1"/>
      <protection locked="0"/>
    </xf>
    <xf numFmtId="184" fontId="126" fillId="50" borderId="10" xfId="73" applyNumberFormat="1" applyBorder="1" applyAlignment="1">
      <alignment horizontal="right" vertical="top" wrapText="1"/>
      <protection locked="0"/>
    </xf>
    <xf numFmtId="184" fontId="126" fillId="50" borderId="10" xfId="73" applyNumberFormat="1" applyBorder="1">
      <alignment horizontal="right" vertical="top" wrapText="1"/>
      <protection locked="0"/>
    </xf>
    <xf numFmtId="4" fontId="120" fillId="49" borderId="12" xfId="21" applyNumberFormat="1" applyBorder="1" applyAlignment="1">
      <alignment horizontal="right" vertical="center" wrapText="1"/>
    </xf>
    <xf numFmtId="0" fontId="59" fillId="11" borderId="14" xfId="11" applyNumberFormat="1" applyFont="1" applyFill="1" applyBorder="1" applyAlignment="1">
      <alignment horizontal="left" vertical="center" wrapText="1"/>
    </xf>
    <xf numFmtId="0" fontId="178" fillId="11" borderId="0" xfId="0" applyFont="1" applyAlignment="1">
      <alignment horizontal="left" vertical="center"/>
    </xf>
    <xf numFmtId="0" fontId="179" fillId="11" borderId="14" xfId="11" applyNumberFormat="1" applyFont="1" applyFill="1" applyBorder="1" applyAlignment="1">
      <alignment horizontal="left" vertical="center" wrapText="1"/>
    </xf>
    <xf numFmtId="168" fontId="180" fillId="11" borderId="10" xfId="27" applyNumberFormat="1" applyFont="1" applyBorder="1" applyAlignment="1">
      <alignment horizontal="left" vertical="center"/>
    </xf>
    <xf numFmtId="2" fontId="180" fillId="11" borderId="10" xfId="27" applyNumberFormat="1" applyFont="1" applyBorder="1" applyAlignment="1">
      <alignment horizontal="left" vertical="center"/>
    </xf>
    <xf numFmtId="0" fontId="181" fillId="11" borderId="10" xfId="27" applyNumberFormat="1" applyFont="1" applyBorder="1" applyAlignment="1">
      <alignment horizontal="right" vertical="center"/>
    </xf>
    <xf numFmtId="0" fontId="182" fillId="16" borderId="8" xfId="16" applyFont="1" applyAlignment="1">
      <alignment horizontal="right" vertical="center" textRotation="90"/>
    </xf>
    <xf numFmtId="0" fontId="183" fillId="11" borderId="0" xfId="13" applyNumberFormat="1" applyFont="1" applyAlignment="1">
      <alignment horizontal="right" vertical="top"/>
    </xf>
    <xf numFmtId="0" fontId="183" fillId="11" borderId="0" xfId="13" applyNumberFormat="1" applyFont="1" applyAlignment="1">
      <alignment horizontal="right" vertical="top" textRotation="90"/>
    </xf>
    <xf numFmtId="0" fontId="184" fillId="11" borderId="0" xfId="0" applyFont="1" applyAlignment="1">
      <alignment horizontal="left" vertical="top"/>
    </xf>
    <xf numFmtId="0" fontId="185" fillId="11" borderId="0" xfId="79" applyNumberFormat="1" applyFont="1" applyFill="1" applyAlignment="1">
      <alignment horizontal="left" vertical="top"/>
    </xf>
    <xf numFmtId="3" fontId="186" fillId="16" borderId="8" xfId="16" applyNumberFormat="1" applyFont="1" applyAlignment="1">
      <alignment vertical="center"/>
    </xf>
    <xf numFmtId="168" fontId="131" fillId="12" borderId="14" xfId="75" applyNumberFormat="1" applyFont="1" applyBorder="1" applyAlignment="1">
      <alignment horizontal="right" vertical="top" wrapText="1"/>
    </xf>
    <xf numFmtId="168" fontId="131" fillId="12" borderId="10" xfId="75" applyNumberFormat="1" applyFont="1" applyBorder="1" applyAlignment="1">
      <alignment horizontal="right" vertical="top" wrapText="1"/>
    </xf>
    <xf numFmtId="0" fontId="131" fillId="12" borderId="10" xfId="75" applyNumberFormat="1" applyFont="1" applyBorder="1" applyAlignment="1">
      <alignment vertical="top" wrapText="1"/>
    </xf>
    <xf numFmtId="3" fontId="188" fillId="12" borderId="0" xfId="76" applyNumberFormat="1" applyFont="1" applyFill="1" applyBorder="1" applyAlignment="1">
      <alignment horizontal="left" vertical="center" wrapText="1"/>
    </xf>
    <xf numFmtId="3" fontId="188" fillId="12" borderId="10" xfId="76" quotePrefix="1" applyNumberFormat="1" applyFont="1" applyFill="1" applyBorder="1" applyAlignment="1">
      <alignment horizontal="left" vertical="center" wrapText="1"/>
    </xf>
    <xf numFmtId="166" fontId="126" fillId="54" borderId="29" xfId="6" applyBorder="1" applyAlignment="1">
      <alignment horizontal="left" vertical="center" wrapText="1"/>
      <protection locked="0"/>
    </xf>
    <xf numFmtId="166" fontId="126" fillId="54" borderId="30" xfId="6" applyBorder="1" applyAlignment="1">
      <alignment horizontal="left" vertical="center" wrapText="1"/>
      <protection locked="0"/>
    </xf>
    <xf numFmtId="3" fontId="50" fillId="48" borderId="10" xfId="69">
      <alignment horizontal="left" vertical="center"/>
    </xf>
    <xf numFmtId="0" fontId="118" fillId="11" borderId="0" xfId="0" applyFont="1" applyAlignment="1">
      <alignment horizontal="center" textRotation="90"/>
    </xf>
    <xf numFmtId="4" fontId="126" fillId="14" borderId="17" xfId="29" applyNumberFormat="1" applyBorder="1" applyAlignment="1">
      <alignment horizontal="left" vertical="center" wrapText="1" indent="1"/>
      <protection locked="0"/>
    </xf>
    <xf numFmtId="166" fontId="126" fillId="54" borderId="10" xfId="6" applyBorder="1" applyAlignment="1">
      <alignment horizontal="left" vertical="top" wrapText="1"/>
      <protection locked="0"/>
    </xf>
    <xf numFmtId="166" fontId="126" fillId="54" borderId="32" xfId="6" applyBorder="1" applyAlignment="1">
      <alignment horizontal="left" vertical="top" wrapText="1"/>
      <protection locked="0"/>
    </xf>
    <xf numFmtId="166" fontId="126" fillId="54" borderId="34" xfId="6" applyBorder="1" applyAlignment="1">
      <alignment horizontal="left" vertical="center" wrapText="1"/>
      <protection locked="0"/>
    </xf>
    <xf numFmtId="166" fontId="126" fillId="54" borderId="35" xfId="6" applyBorder="1" applyAlignment="1">
      <alignment horizontal="left" vertical="center" wrapText="1"/>
      <protection locked="0"/>
    </xf>
    <xf numFmtId="166" fontId="137" fillId="12" borderId="28" xfId="14" applyNumberFormat="1" applyFont="1" applyBorder="1" applyAlignment="1">
      <alignment horizontal="left" vertical="top" wrapText="1"/>
    </xf>
    <xf numFmtId="166" fontId="137" fillId="12" borderId="29" xfId="14" applyNumberFormat="1" applyFont="1" applyBorder="1" applyAlignment="1">
      <alignment horizontal="left" vertical="top" wrapText="1"/>
    </xf>
    <xf numFmtId="166" fontId="126" fillId="50" borderId="10" xfId="73" applyBorder="1" applyAlignment="1">
      <alignment horizontal="left" vertical="center" wrapText="1"/>
      <protection locked="0"/>
    </xf>
    <xf numFmtId="166" fontId="126" fillId="50" borderId="32" xfId="73" applyBorder="1" applyAlignment="1">
      <alignment horizontal="left" vertical="center" wrapText="1"/>
      <protection locked="0"/>
    </xf>
    <xf numFmtId="0" fontId="144" fillId="11" borderId="0" xfId="0" applyFont="1" applyAlignment="1">
      <alignment horizontal="center" textRotation="90"/>
    </xf>
    <xf numFmtId="166" fontId="120" fillId="49" borderId="10" xfId="21" applyNumberFormat="1" applyBorder="1" applyAlignment="1">
      <alignment horizontal="left" vertical="center" wrapText="1"/>
    </xf>
    <xf numFmtId="166" fontId="120" fillId="49" borderId="32" xfId="21" applyNumberFormat="1" applyBorder="1" applyAlignment="1">
      <alignment horizontal="left" vertical="center" wrapText="1"/>
    </xf>
    <xf numFmtId="166" fontId="126" fillId="50" borderId="34" xfId="73" applyNumberFormat="1" applyBorder="1" applyAlignment="1">
      <alignment horizontal="left" vertical="center" wrapText="1"/>
      <protection locked="0"/>
    </xf>
    <xf numFmtId="166" fontId="126" fillId="50" borderId="35" xfId="73" applyNumberFormat="1" applyBorder="1" applyAlignment="1">
      <alignment horizontal="left" vertical="center" wrapText="1"/>
      <protection locked="0"/>
    </xf>
    <xf numFmtId="166" fontId="126" fillId="17" borderId="10" xfId="78" applyBorder="1" applyAlignment="1">
      <alignment horizontal="left" vertical="center"/>
      <protection locked="0"/>
    </xf>
    <xf numFmtId="166" fontId="126" fillId="17" borderId="32" xfId="78" applyBorder="1" applyAlignment="1">
      <alignment horizontal="left" vertical="center"/>
      <protection locked="0"/>
    </xf>
    <xf numFmtId="0" fontId="120" fillId="11" borderId="0" xfId="0" applyFont="1" applyAlignment="1">
      <alignment horizontal="right" textRotation="90"/>
    </xf>
    <xf numFmtId="166" fontId="137" fillId="12" borderId="30" xfId="14" applyNumberFormat="1" applyFont="1" applyBorder="1" applyAlignment="1">
      <alignment horizontal="left" vertical="top" wrapText="1"/>
    </xf>
    <xf numFmtId="166" fontId="100" fillId="12" borderId="10" xfId="14" applyNumberFormat="1" applyBorder="1" applyAlignment="1">
      <alignment horizontal="left" vertical="center" wrapText="1"/>
    </xf>
    <xf numFmtId="166" fontId="100" fillId="12" borderId="40" xfId="14" applyNumberFormat="1" applyBorder="1" applyAlignment="1">
      <alignment horizontal="left" vertical="center" wrapText="1"/>
    </xf>
    <xf numFmtId="166" fontId="126" fillId="14" borderId="42" xfId="29" applyNumberFormat="1" applyBorder="1" applyAlignment="1">
      <alignment horizontal="left" vertical="top" wrapText="1"/>
      <protection locked="0"/>
    </xf>
    <xf numFmtId="166" fontId="126" fillId="14" borderId="43" xfId="29" applyNumberFormat="1" applyBorder="1" applyAlignment="1">
      <alignment horizontal="left" vertical="top" wrapText="1"/>
      <protection locked="0"/>
    </xf>
    <xf numFmtId="166" fontId="100" fillId="12" borderId="37" xfId="14" applyNumberFormat="1" applyBorder="1" applyAlignment="1">
      <alignment horizontal="left" vertical="center" wrapText="1"/>
    </xf>
    <xf numFmtId="166" fontId="100" fillId="12" borderId="38" xfId="14" applyNumberFormat="1" applyBorder="1" applyAlignment="1">
      <alignment horizontal="left" vertical="center" wrapText="1"/>
    </xf>
    <xf numFmtId="0" fontId="187" fillId="11" borderId="0" xfId="0" applyFont="1" applyAlignment="1">
      <alignment horizontal="center" textRotation="90"/>
    </xf>
    <xf numFmtId="3" fontId="152" fillId="46" borderId="24" xfId="24" applyFont="1" applyBorder="1" applyAlignment="1">
      <alignment horizontal="center" vertical="center"/>
    </xf>
    <xf numFmtId="3" fontId="93" fillId="11" borderId="10" xfId="27" applyNumberFormat="1" applyBorder="1" applyAlignment="1">
      <alignment horizontal="center" vertical="center"/>
    </xf>
    <xf numFmtId="3" fontId="93" fillId="11" borderId="12" xfId="27" applyNumberFormat="1" applyBorder="1" applyAlignment="1">
      <alignment horizontal="center" vertical="center"/>
    </xf>
    <xf numFmtId="166" fontId="126" fillId="54" borderId="44" xfId="6" applyBorder="1" applyAlignment="1">
      <alignment horizontal="center" vertical="center" wrapText="1"/>
      <protection locked="0"/>
    </xf>
    <xf numFmtId="166" fontId="126" fillId="54" borderId="45" xfId="6" applyBorder="1" applyAlignment="1">
      <alignment horizontal="center" vertical="center" wrapText="1"/>
      <protection locked="0"/>
    </xf>
    <xf numFmtId="166" fontId="126" fillId="54" borderId="25" xfId="6" applyAlignment="1">
      <alignment horizontal="center" vertical="center" wrapText="1"/>
      <protection locked="0"/>
    </xf>
    <xf numFmtId="3" fontId="126" fillId="54" borderId="25" xfId="6" applyNumberFormat="1" applyAlignment="1">
      <alignment horizontal="center" vertical="center" wrapText="1"/>
      <protection locked="0"/>
    </xf>
    <xf numFmtId="0" fontId="144" fillId="12" borderId="58" xfId="14" applyNumberFormat="1" applyFont="1" applyBorder="1" applyAlignment="1">
      <alignment horizontal="center" vertical="center"/>
    </xf>
    <xf numFmtId="0" fontId="144" fillId="11" borderId="58" xfId="0" applyFont="1" applyBorder="1" applyAlignment="1">
      <alignment horizontal="center" vertical="center"/>
    </xf>
    <xf numFmtId="0" fontId="177" fillId="12" borderId="58" xfId="14" applyNumberFormat="1" applyFont="1" applyBorder="1" applyAlignment="1">
      <alignment horizontal="center" vertical="center"/>
    </xf>
    <xf numFmtId="0" fontId="177" fillId="11" borderId="58" xfId="0" applyFont="1" applyBorder="1" applyAlignment="1">
      <alignment horizontal="center" vertical="center"/>
    </xf>
    <xf numFmtId="0" fontId="153" fillId="20" borderId="0" xfId="0" applyFont="1" applyFill="1" applyAlignment="1">
      <alignment horizontal="center" vertical="center"/>
    </xf>
    <xf numFmtId="3" fontId="126" fillId="54" borderId="44" xfId="6" applyNumberFormat="1" applyBorder="1" applyAlignment="1">
      <alignment horizontal="center" vertical="center" wrapText="1"/>
      <protection locked="0"/>
    </xf>
    <xf numFmtId="3" fontId="126" fillId="54" borderId="45" xfId="6" applyNumberFormat="1" applyBorder="1" applyAlignment="1">
      <alignment horizontal="center" vertical="center" wrapText="1"/>
      <protection locked="0"/>
    </xf>
    <xf numFmtId="4" fontId="126" fillId="54" borderId="44" xfId="6" applyNumberFormat="1" applyBorder="1" applyAlignment="1">
      <alignment horizontal="center" vertical="center" wrapText="1"/>
      <protection locked="0"/>
    </xf>
    <xf numFmtId="4" fontId="126" fillId="54" borderId="45" xfId="6" applyNumberFormat="1" applyBorder="1" applyAlignment="1">
      <alignment horizontal="center" vertical="center" wrapText="1"/>
      <protection locked="0"/>
    </xf>
    <xf numFmtId="166" fontId="126" fillId="54" borderId="14" xfId="6" applyBorder="1" applyAlignment="1">
      <alignment horizontal="center" vertical="center" wrapText="1"/>
      <protection locked="0"/>
    </xf>
  </cellXfs>
  <cellStyles count="90">
    <cellStyle name="20% - Accent1" xfId="47" builtinId="30" hidden="1"/>
    <cellStyle name="20% - Accent2" xfId="51" builtinId="34" hidden="1"/>
    <cellStyle name="20% - Accent3" xfId="54" builtinId="38" hidden="1"/>
    <cellStyle name="20% - Accent4" xfId="58" builtinId="42" hidden="1"/>
    <cellStyle name="20% - Accent5" xfId="1" builtinId="46" hidden="1" customBuiltin="1"/>
    <cellStyle name="20% - Accent6" xfId="64" builtinId="50" hidden="1"/>
    <cellStyle name="40% - Accent1" xfId="48" builtinId="31" hidden="1"/>
    <cellStyle name="40% - Accent2" xfId="2" builtinId="35" hidden="1" customBuiltin="1"/>
    <cellStyle name="40% - Accent3" xfId="55" builtinId="39" hidden="1"/>
    <cellStyle name="40% - Accent4" xfId="59" builtinId="43" hidden="1"/>
    <cellStyle name="40% - Accent5" xfId="61" builtinId="47" hidden="1"/>
    <cellStyle name="40% - Accent6" xfId="65" builtinId="51" hidden="1"/>
    <cellStyle name="60% - Accent1" xfId="49" builtinId="32" hidden="1"/>
    <cellStyle name="60% - Accent2" xfId="52" builtinId="36" hidden="1"/>
    <cellStyle name="60% - Accent3" xfId="56" builtinId="40" hidden="1"/>
    <cellStyle name="60% - Accent4" xfId="60" builtinId="44" hidden="1"/>
    <cellStyle name="60% - Accent5" xfId="62" builtinId="48" hidden="1"/>
    <cellStyle name="60% - Accent6" xfId="66" builtinId="52" hidden="1"/>
    <cellStyle name="Accent1" xfId="46" builtinId="29" hidden="1"/>
    <cellStyle name="Accent2" xfId="50" builtinId="33" hidden="1"/>
    <cellStyle name="Accent3" xfId="53" builtinId="37" hidden="1"/>
    <cellStyle name="Accent4" xfId="57" builtinId="41" hidden="1"/>
    <cellStyle name="Accent5" xfId="3" builtinId="45" hidden="1" customBuiltin="1"/>
    <cellStyle name="Accent6" xfId="63" builtinId="49" hidden="1"/>
    <cellStyle name="Berekening" xfId="28" builtinId="22" hidden="1" customBuiltin="1"/>
    <cellStyle name="CELHOOGTE" xfId="30" xr:uid="{C2FA12FA-8D76-4368-9C66-60CAFDB982DA}"/>
    <cellStyle name="Controlecel" xfId="4" builtinId="23" hidden="1" customBuiltin="1"/>
    <cellStyle name="Gekoppelde cel" xfId="43" builtinId="24" hidden="1"/>
    <cellStyle name="Gevolgde hyperlink" xfId="15" builtinId="9" hidden="1"/>
    <cellStyle name="Goed" xfId="39" builtinId="26" hidden="1"/>
    <cellStyle name="Hyperlink" xfId="5" builtinId="8" hidden="1" customBuiltin="1"/>
    <cellStyle name="Hyperlink" xfId="76" builtinId="8"/>
    <cellStyle name="Hyperlink 2" xfId="86" xr:uid="{D24CA1D7-794B-4760-8E60-6339886F4095}"/>
    <cellStyle name="info" xfId="20" xr:uid="{00000000-0005-0000-0000-00002B000000}"/>
    <cellStyle name="info_in tabel" xfId="77" xr:uid="{AE6E0ED2-D974-4B1C-9D29-BC21543E5AD2}"/>
    <cellStyle name="invoer_optioneel" xfId="29" xr:uid="{0572773F-94FC-4E16-AA05-8A89C72EF59D}"/>
    <cellStyle name="invoer_optioneel_energiepost" xfId="73" xr:uid="{AFED46DF-529A-4297-A53A-C3DBA6D2FEBA}"/>
    <cellStyle name="invoer_verplicht" xfId="6" xr:uid="{00000000-0005-0000-0000-00002C000000}"/>
    <cellStyle name="invoer_verplicht_energie" xfId="78" xr:uid="{2D2C3A42-1067-49AD-BC62-23D8C3551712}"/>
    <cellStyle name="Komma" xfId="31" builtinId="3" hidden="1"/>
    <cellStyle name="Komma [0]" xfId="32" builtinId="6" hidden="1"/>
    <cellStyle name="Kop 1" xfId="35" builtinId="16" hidden="1"/>
    <cellStyle name="Kop 2" xfId="36" builtinId="17" hidden="1"/>
    <cellStyle name="Kop 3" xfId="37" builtinId="18" hidden="1"/>
    <cellStyle name="Kop 4" xfId="38" builtinId="19" hidden="1"/>
    <cellStyle name="KOP_GEBOUW_UT" xfId="26" xr:uid="{6D76F259-6C70-451E-A66B-1D618FB9E56B}"/>
    <cellStyle name="KOP_GEBOUW_WON" xfId="8" xr:uid="{00000000-0005-0000-0000-000035000000}"/>
    <cellStyle name="KOP_RES_energieposten" xfId="27" xr:uid="{41054D35-7C26-455A-8E59-92E19DCCC44A}"/>
    <cellStyle name="KOP_RES_gebouwen" xfId="70" xr:uid="{11A4069B-5A71-468C-B8CE-68C7AD628CA4}"/>
    <cellStyle name="KOP_RES_UT" xfId="7" xr:uid="{00000000-0005-0000-0000-000030000000}"/>
    <cellStyle name="Kopregel" xfId="9" xr:uid="{00000000-0005-0000-0000-000036000000}"/>
    <cellStyle name="markeren_startcel_VERSCHUIVING" xfId="74" xr:uid="{ADB5BDD0-E69A-4C83-B181-E236FA3C7102}"/>
    <cellStyle name="Neutraal" xfId="41" builtinId="28" hidden="1"/>
    <cellStyle name="Notitie" xfId="44" builtinId="10" hidden="1"/>
    <cellStyle name="onderschrift" xfId="11" xr:uid="{00000000-0005-0000-0000-00003A000000}"/>
    <cellStyle name="Ongeldig" xfId="40" builtinId="27" hidden="1"/>
    <cellStyle name="Procent" xfId="12" builtinId="5" hidden="1"/>
    <cellStyle name="rijhhoogte 1" xfId="79" xr:uid="{81178B03-87BA-4916-AB83-24B1926E644C}"/>
    <cellStyle name="rijhoogte 12" xfId="80" xr:uid="{969C9B20-0EE2-4632-ACDC-36F2F62F24A8}"/>
    <cellStyle name="Standaard" xfId="0" builtinId="0" customBuiltin="1"/>
    <cellStyle name="Standaard 2" xfId="84" xr:uid="{E877107D-AB1B-4A2E-8DE3-A7B9B3D67CEF}"/>
    <cellStyle name="Standaard 3" xfId="85" xr:uid="{3839277D-B334-441E-92FB-19995E4AE7ED}"/>
    <cellStyle name="Standaard 4" xfId="87" xr:uid="{F46EF0C7-38FF-4F20-9B45-67EFD9A673A2}"/>
    <cellStyle name="Tabelkop_energiepost_tekst" xfId="68" xr:uid="{27891AC3-A1A2-4266-B0C4-A2CE8D0D88C7}"/>
    <cellStyle name="Tabelkop_energiepost_tekst_som" xfId="67" xr:uid="{C326AB71-2CDE-4B1A-A1DA-140AC5C518E6}"/>
    <cellStyle name="Tabelkop_energiepost_titel" xfId="24" xr:uid="{00000000-0005-0000-0000-00004D000000}"/>
    <cellStyle name="Tabelkop_gebouwen_tekst" xfId="72" xr:uid="{57CDC742-69C4-4F0A-8DB9-D318C579C47A}"/>
    <cellStyle name="Tabelkop_gebouwen_tekst_som" xfId="71" xr:uid="{4F7731E3-FE83-45CC-93A0-1AA1FCF7D24C}"/>
    <cellStyle name="Tabelkop_gebouwen_titel" xfId="69" xr:uid="{49FA699A-6578-4C02-8B2B-0C1480F4533D}"/>
    <cellStyle name="tabeltekst" xfId="14" xr:uid="{00000000-0005-0000-0000-000048000000}"/>
    <cellStyle name="tabeltekst - resultaat" xfId="21" xr:uid="{00000000-0005-0000-0000-000049000000}"/>
    <cellStyle name="tabeltekst - resultaat 2" xfId="89" xr:uid="{BBBBE6A7-DA43-410E-BDD4-925249002AF6}"/>
    <cellStyle name="tabeltekst - totaalresultaat" xfId="25" xr:uid="{E4E49BEC-0DB8-428D-96A3-1CCAC0120040}"/>
    <cellStyle name="tabeltekst 2" xfId="88" xr:uid="{97087640-3BB2-4482-AF16-FD2D1EB40BCB}"/>
    <cellStyle name="tabeltekst_toelichting_tabel" xfId="75" xr:uid="{C83CB404-A0DC-492F-86C3-5872ADEDB5A9}"/>
    <cellStyle name="Tabeltitel" xfId="22" xr:uid="{00000000-0005-0000-0000-00004B000000}"/>
    <cellStyle name="Tabeltitel 2" xfId="23" xr:uid="{00000000-0005-0000-0000-00004C000000}"/>
    <cellStyle name="tekst selectie" xfId="13" xr:uid="{00000000-0005-0000-0000-00003E000000}"/>
    <cellStyle name="TITEL" xfId="16" xr:uid="{00000000-0005-0000-0000-00004E000000}"/>
    <cellStyle name="Titel 2" xfId="17" xr:uid="{00000000-0005-0000-0000-00004F000000}"/>
    <cellStyle name="Titel 2 gebouwen" xfId="81" xr:uid="{A63C4897-BFFD-4483-9B3F-5B5CDA756A68}"/>
    <cellStyle name="TITEL navigatiebalk" xfId="82" xr:uid="{6CCF8BF4-2858-4C82-B8F5-5B9EB111CFCF}"/>
    <cellStyle name="toelichting" xfId="83" xr:uid="{66E5F37E-1F07-4790-B7DD-D0AE86ABFF58}"/>
    <cellStyle name="Totaal" xfId="45" builtinId="25" hidden="1"/>
    <cellStyle name="tov referentie" xfId="10" xr:uid="{00000000-0005-0000-0000-000038000000}"/>
    <cellStyle name="Uitvoer" xfId="42" builtinId="21" hidden="1"/>
    <cellStyle name="Valuta" xfId="33" builtinId="4" hidden="1"/>
    <cellStyle name="Valuta [0]" xfId="34" builtinId="7" hidden="1"/>
    <cellStyle name="Verklarende tekst" xfId="18" builtinId="53" hidden="1" customBuiltin="1"/>
    <cellStyle name="Waarschuwingstekst" xfId="19" builtinId="11" hidden="1" customBuiltin="1"/>
  </cellStyles>
  <dxfs count="1187">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border>
        <vertical/>
        <horizontal/>
      </border>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ill>
        <patternFill>
          <bgColor theme="9"/>
        </patternFill>
      </fill>
    </dxf>
    <dxf>
      <font>
        <color theme="0"/>
      </font>
      <fill>
        <patternFill>
          <bgColor rgb="FFFF0000"/>
        </patternFill>
      </fill>
    </dxf>
    <dxf>
      <font>
        <color theme="0"/>
      </font>
      <fill>
        <patternFill>
          <bgColor rgb="FFFF0000"/>
        </patternFill>
      </fill>
    </dxf>
    <dxf>
      <fill>
        <patternFill>
          <bgColor rgb="FFFFFFC8"/>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1"/>
      </font>
      <fill>
        <patternFill>
          <bgColor rgb="FFFFFFC8"/>
        </patternFill>
      </fill>
    </dxf>
    <dxf>
      <font>
        <color theme="0" tint="-4.9989318521683403E-2"/>
      </font>
      <fill>
        <patternFill>
          <bgColor theme="0" tint="-4.9989318521683403E-2"/>
        </patternFill>
      </fill>
    </dxf>
    <dxf>
      <font>
        <color theme="1"/>
      </font>
      <fill>
        <patternFill>
          <bgColor rgb="FFFFFFC8"/>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b val="0"/>
        <i val="0"/>
        <color auto="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dxf>
    <dxf>
      <font>
        <color theme="4" tint="0.79998168889431442"/>
      </font>
    </dxf>
    <dxf>
      <font>
        <color rgb="FFFFEB9C"/>
      </font>
    </dxf>
    <dxf>
      <font>
        <color rgb="FFFFEB9C"/>
      </font>
    </dxf>
    <dxf>
      <font>
        <color theme="0" tint="-4.9989318521683403E-2"/>
      </font>
      <fill>
        <patternFill>
          <bgColor theme="0" tint="-4.9989318521683403E-2"/>
        </patternFill>
      </fill>
    </dxf>
    <dxf>
      <font>
        <color theme="4" tint="0.79998168889431442"/>
      </font>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theme="4" tint="0.79998168889431442"/>
      </font>
    </dxf>
    <dxf>
      <font>
        <color theme="4" tint="0.79998168889431442"/>
      </font>
    </dxf>
    <dxf>
      <font>
        <color theme="0" tint="-4.9989318521683403E-2"/>
      </font>
    </dxf>
    <dxf>
      <font>
        <color theme="4" tint="0.79998168889431442"/>
      </font>
    </dxf>
    <dxf>
      <font>
        <color theme="0"/>
      </font>
      <fill>
        <patternFill>
          <bgColor rgb="FFFF0000"/>
        </patternFill>
      </fill>
    </dxf>
    <dxf>
      <font>
        <b/>
        <i val="0"/>
      </font>
    </dxf>
    <dxf>
      <font>
        <color theme="0" tint="-4.9989318521683403E-2"/>
      </font>
    </dxf>
    <dxf>
      <font>
        <color theme="4" tint="0.79998168889431442"/>
      </font>
    </dxf>
    <dxf>
      <font>
        <color rgb="FFFF0000"/>
      </font>
      <fill>
        <patternFill>
          <bgColor theme="0"/>
        </patternFill>
      </fill>
    </dxf>
    <dxf>
      <font>
        <color theme="1"/>
      </font>
      <fill>
        <patternFill>
          <bgColor rgb="FFFFFF9B"/>
        </patternFill>
      </fill>
    </dxf>
    <dxf>
      <font>
        <color theme="0"/>
      </font>
      <fill>
        <patternFill>
          <bgColor rgb="FFFF0000"/>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FF0000"/>
      </font>
    </dxf>
    <dxf>
      <font>
        <color rgb="FF00B05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theme="9"/>
        </patternFill>
      </fill>
    </dxf>
    <dxf>
      <font>
        <color theme="0" tint="-4.9989318521683403E-2"/>
      </font>
      <fill>
        <patternFill>
          <bgColor rgb="FFF7F7F7"/>
        </patternFill>
      </fill>
    </dxf>
    <dxf>
      <font>
        <color theme="0" tint="-4.9989318521683403E-2"/>
      </font>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ill>
        <patternFill>
          <bgColor theme="9"/>
        </patternFill>
      </fill>
    </dxf>
  </dxfs>
  <tableStyles count="1" defaultTableStyle="TableStyleMedium2" defaultPivotStyle="PivotStyleLight16">
    <tableStyle name="Invisible" pivot="0" table="0" count="0" xr9:uid="{6C3891FF-ED58-41A1-970F-12B2EAACA75C}"/>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275937"/>
      <rgbColor rgb="0039870C"/>
      <rgbColor rgb="00F7FBE1"/>
      <rgbColor rgb="00FFFF99"/>
      <rgbColor rgb="00333399"/>
      <rgbColor rgb="003366FF"/>
      <rgbColor rgb="00474B5D"/>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7F7F7"/>
      <color rgb="FF006C50"/>
      <color rgb="FFFFFF9B"/>
      <color rgb="FFBFBFBF"/>
      <color rgb="FFFFFFC8"/>
      <color rgb="FF026A68"/>
      <color rgb="FF039B97"/>
      <color rgb="FFE6E6E6"/>
      <color rgb="FF017559"/>
      <color rgb="FF3983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3829015647854E-2"/>
          <c:y val="0.15750972094537311"/>
          <c:w val="0.8825532113829283"/>
          <c:h val="0.57786930479843868"/>
        </c:manualLayout>
      </c:layout>
      <c:barChart>
        <c:barDir val="bar"/>
        <c:grouping val="stacked"/>
        <c:varyColors val="0"/>
        <c:ser>
          <c:idx val="1"/>
          <c:order val="0"/>
          <c:tx>
            <c:strRef>
              <c:f>resultaten!$E$148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resultaten!$M$148:$R$148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78C-4D36-B5AA-AEF49772145A}"/>
            </c:ext>
          </c:extLst>
        </c:ser>
        <c:ser>
          <c:idx val="2"/>
          <c:order val="1"/>
          <c:tx>
            <c:strRef>
              <c:f>resultaten!$E$149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resultaten!$M$149:$R$149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8C-4D36-B5AA-AEF49772145A}"/>
            </c:ext>
          </c:extLst>
        </c:ser>
        <c:ser>
          <c:idx val="3"/>
          <c:order val="2"/>
          <c:tx>
            <c:strRef>
              <c:f>resultaten!$E$150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resultaten!$M$150:$R$150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8C-4D36-B5AA-AEF49772145A}"/>
            </c:ext>
          </c:extLst>
        </c:ser>
        <c:ser>
          <c:idx val="0"/>
          <c:order val="3"/>
          <c:tx>
            <c:strRef>
              <c:f>resultaten!$E$151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resultaten!$M$151:$R$151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8C-4D36-B5AA-AEF49772145A}"/>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86347031048603E-2"/>
          <c:y val="0.15750972094537311"/>
          <c:w val="0.87916050570014626"/>
          <c:h val="0.57786930479843868"/>
        </c:manualLayout>
      </c:layout>
      <c:barChart>
        <c:barDir val="bar"/>
        <c:grouping val="stacked"/>
        <c:varyColors val="0"/>
        <c:ser>
          <c:idx val="1"/>
          <c:order val="0"/>
          <c:tx>
            <c:strRef>
              <c:f>resultaten!$E$78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resultaten!$M$78:$R$78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DA7-4309-A1A1-24AD6C5A61F4}"/>
            </c:ext>
          </c:extLst>
        </c:ser>
        <c:ser>
          <c:idx val="2"/>
          <c:order val="1"/>
          <c:tx>
            <c:strRef>
              <c:f>resultaten!$E$79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resultaten!$M$79:$R$79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DA7-4309-A1A1-24AD6C5A61F4}"/>
            </c:ext>
          </c:extLst>
        </c:ser>
        <c:ser>
          <c:idx val="3"/>
          <c:order val="2"/>
          <c:tx>
            <c:strRef>
              <c:f>resultaten!$E$80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resultaten!$M$80:$R$80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DA7-4309-A1A1-24AD6C5A61F4}"/>
            </c:ext>
          </c:extLst>
        </c:ser>
        <c:ser>
          <c:idx val="0"/>
          <c:order val="3"/>
          <c:tx>
            <c:strRef>
              <c:f>resultaten!$E$81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resultaten!$M$81:$R$81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DA7-4309-A1A1-24AD6C5A61F4}"/>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5053785865720061"/>
          <c:y val="5.551288440037750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366948943855592E-2"/>
          <c:y val="3.2401600442401181E-2"/>
          <c:w val="0.91396869176663653"/>
          <c:h val="0.83987962368769142"/>
        </c:manualLayout>
      </c:layout>
      <c:bar3DChart>
        <c:barDir val="col"/>
        <c:grouping val="standard"/>
        <c:varyColors val="0"/>
        <c:ser>
          <c:idx val="0"/>
          <c:order val="0"/>
          <c:tx>
            <c:strRef>
              <c:f>'Energiebehoefte algemeen'!$B$13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algemeen'!$D$13:$K$13</c:f>
              <c:numCache>
                <c:formatCode>0</c:formatCode>
                <c:ptCount val="8"/>
                <c:pt idx="0">
                  <c:v>67.010127806979099</c:v>
                </c:pt>
                <c:pt idx="1">
                  <c:v>37.780239476893207</c:v>
                </c:pt>
                <c:pt idx="2">
                  <c:v>28.786427683020619</c:v>
                </c:pt>
                <c:pt idx="3">
                  <c:v>24.289521786084329</c:v>
                </c:pt>
                <c:pt idx="4">
                  <c:v>18.668389414913971</c:v>
                </c:pt>
                <c:pt idx="5">
                  <c:v>17.544162940679897</c:v>
                </c:pt>
                <c:pt idx="6">
                  <c:v>16.419936466445826</c:v>
                </c:pt>
                <c:pt idx="7">
                  <c:v>14.171483517977681</c:v>
                </c:pt>
              </c:numCache>
            </c:numRef>
          </c:val>
          <c:extLst>
            <c:ext xmlns:c16="http://schemas.microsoft.com/office/drawing/2014/chart" uri="{C3380CC4-5D6E-409C-BE32-E72D297353CC}">
              <c16:uniqueId val="{00000000-4C73-472B-BD23-61EA90FAE709}"/>
            </c:ext>
          </c:extLst>
        </c:ser>
        <c:ser>
          <c:idx val="1"/>
          <c:order val="1"/>
          <c:tx>
            <c:strRef>
              <c:f>'Energiebehoefte algemeen'!$B$14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algemeen'!$D$14:$K$14</c:f>
              <c:numCache>
                <c:formatCode>0</c:formatCode>
                <c:ptCount val="8"/>
                <c:pt idx="0">
                  <c:v>100.74267546894367</c:v>
                </c:pt>
                <c:pt idx="1">
                  <c:v>54.96474488959214</c:v>
                </c:pt>
                <c:pt idx="2">
                  <c:v>40.879227788253203</c:v>
                </c:pt>
                <c:pt idx="3">
                  <c:v>33.836469237583742</c:v>
                </c:pt>
                <c:pt idx="4">
                  <c:v>25.033021049246912</c:v>
                </c:pt>
                <c:pt idx="5">
                  <c:v>23.272331411579543</c:v>
                </c:pt>
                <c:pt idx="6">
                  <c:v>21.511641773912178</c:v>
                </c:pt>
                <c:pt idx="7">
                  <c:v>17.990262498577444</c:v>
                </c:pt>
              </c:numCache>
            </c:numRef>
          </c:val>
          <c:extLst>
            <c:ext xmlns:c16="http://schemas.microsoft.com/office/drawing/2014/chart" uri="{C3380CC4-5D6E-409C-BE32-E72D297353CC}">
              <c16:uniqueId val="{00000001-4C73-472B-BD23-61EA90FAE709}"/>
            </c:ext>
          </c:extLst>
        </c:ser>
        <c:ser>
          <c:idx val="2"/>
          <c:order val="2"/>
          <c:tx>
            <c:strRef>
              <c:f>'Energiebehoefte algemeen'!$B$15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algemeen'!$D$15:$K$15</c:f>
              <c:numCache>
                <c:formatCode>0</c:formatCode>
                <c:ptCount val="8"/>
                <c:pt idx="0">
                  <c:v>135.7159025711</c:v>
                </c:pt>
                <c:pt idx="1">
                  <c:v>72.781294545407633</c:v>
                </c:pt>
                <c:pt idx="2">
                  <c:v>53.41679976827151</c:v>
                </c:pt>
                <c:pt idx="3">
                  <c:v>43.734552379703452</c:v>
                </c:pt>
                <c:pt idx="4">
                  <c:v>31.631743143993383</c:v>
                </c:pt>
                <c:pt idx="5">
                  <c:v>29.211181296851372</c:v>
                </c:pt>
                <c:pt idx="6">
                  <c:v>26.790619449709361</c:v>
                </c:pt>
                <c:pt idx="7">
                  <c:v>21.949495755425328</c:v>
                </c:pt>
              </c:numCache>
            </c:numRef>
          </c:val>
          <c:extLst>
            <c:ext xmlns:c16="http://schemas.microsoft.com/office/drawing/2014/chart" uri="{C3380CC4-5D6E-409C-BE32-E72D297353CC}">
              <c16:uniqueId val="{00000002-4C73-472B-BD23-61EA90FAE709}"/>
            </c:ext>
          </c:extLst>
        </c:ser>
        <c:ser>
          <c:idx val="3"/>
          <c:order val="3"/>
          <c:tx>
            <c:strRef>
              <c:f>'Energiebehoefte algemeen'!$B$16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algemeen'!$D$16:$K$16</c:f>
              <c:numCache>
                <c:formatCode>0</c:formatCode>
                <c:ptCount val="8"/>
                <c:pt idx="0">
                  <c:v>208.34514565406488</c:v>
                </c:pt>
                <c:pt idx="1">
                  <c:v>109.78109762540861</c:v>
                </c:pt>
                <c:pt idx="2">
                  <c:v>79.453698231975906</c:v>
                </c:pt>
                <c:pt idx="3">
                  <c:v>64.289998535259542</c:v>
                </c:pt>
                <c:pt idx="4">
                  <c:v>45.335373914364112</c:v>
                </c:pt>
                <c:pt idx="5">
                  <c:v>41.544448990185025</c:v>
                </c:pt>
                <c:pt idx="6">
                  <c:v>37.753524066005944</c:v>
                </c:pt>
                <c:pt idx="7">
                  <c:v>30.171674217647762</c:v>
                </c:pt>
              </c:numCache>
            </c:numRef>
          </c:val>
          <c:extLst>
            <c:ext xmlns:c16="http://schemas.microsoft.com/office/drawing/2014/chart" uri="{C3380CC4-5D6E-409C-BE32-E72D297353CC}">
              <c16:uniqueId val="{00000003-4C73-472B-BD23-61EA90FAE709}"/>
            </c:ext>
          </c:extLst>
        </c:ser>
        <c:ser>
          <c:idx val="4"/>
          <c:order val="4"/>
          <c:tx>
            <c:strRef>
              <c:f>'Energiebehoefte algemeen'!$B$17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algemeen'!$D$17:$K$17</c:f>
              <c:numCache>
                <c:formatCode>0</c:formatCode>
                <c:ptCount val="8"/>
                <c:pt idx="0">
                  <c:v>283.64568441124675</c:v>
                </c:pt>
                <c:pt idx="1">
                  <c:v>148.14174944510503</c:v>
                </c:pt>
                <c:pt idx="2">
                  <c:v>106.4482309939845</c:v>
                </c:pt>
                <c:pt idx="3">
                  <c:v>85.601471768424233</c:v>
                </c:pt>
                <c:pt idx="4">
                  <c:v>59.543022736473894</c:v>
                </c:pt>
                <c:pt idx="5">
                  <c:v>54.331332930083832</c:v>
                </c:pt>
                <c:pt idx="6">
                  <c:v>49.11964312369377</c:v>
                </c:pt>
                <c:pt idx="7">
                  <c:v>38.696263510913639</c:v>
                </c:pt>
              </c:numCache>
            </c:numRef>
          </c:val>
          <c:extLst>
            <c:ext xmlns:c16="http://schemas.microsoft.com/office/drawing/2014/chart" uri="{C3380CC4-5D6E-409C-BE32-E72D297353CC}">
              <c16:uniqueId val="{00000004-4C73-472B-BD23-61EA90FAE709}"/>
            </c:ext>
          </c:extLst>
        </c:ser>
        <c:ser>
          <c:idx val="5"/>
          <c:order val="5"/>
          <c:tx>
            <c:strRef>
              <c:f>'Energiebehoefte algemeen'!$B$18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algemeen'!$D$18:$K$18</c:f>
              <c:numCache>
                <c:formatCode>0</c:formatCode>
                <c:ptCount val="8"/>
                <c:pt idx="0">
                  <c:v>360.99706596394589</c:v>
                </c:pt>
                <c:pt idx="1">
                  <c:v>187.54717023610272</c:v>
                </c:pt>
                <c:pt idx="2">
                  <c:v>134.17797155061248</c:v>
                </c:pt>
                <c:pt idx="3">
                  <c:v>107.4933722078674</c:v>
                </c:pt>
                <c:pt idx="4">
                  <c:v>74.137623029436014</c:v>
                </c:pt>
                <c:pt idx="5">
                  <c:v>67.466473193749735</c:v>
                </c:pt>
                <c:pt idx="6">
                  <c:v>60.795323358063456</c:v>
                </c:pt>
                <c:pt idx="7">
                  <c:v>47.453023686690898</c:v>
                </c:pt>
              </c:numCache>
            </c:numRef>
          </c:val>
          <c:extLst>
            <c:ext xmlns:c16="http://schemas.microsoft.com/office/drawing/2014/chart" uri="{C3380CC4-5D6E-409C-BE32-E72D297353CC}">
              <c16:uniqueId val="{00000005-4C73-472B-BD23-61EA90FAE709}"/>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90340674557127454"/>
          <c:y val="0.41724378451755173"/>
          <c:w val="5.5056384801484969E-2"/>
          <c:h val="0.243859995805077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k</a:t>
            </a:r>
            <a:r>
              <a:rPr lang="nl-NL" sz="1600">
                <a:solidFill>
                  <a:schemeClr val="bg1">
                    <a:lumMod val="50000"/>
                  </a:schemeClr>
                </a:solidFill>
              </a:rPr>
              <a:t>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46918327760391"/>
          <c:y val="8.332711901641440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'Energiebehoefte algemeen'!$X$13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algemeen'!$Z$13:$AG$13</c:f>
              <c:numCache>
                <c:formatCode>0.0</c:formatCode>
                <c:ptCount val="8"/>
                <c:pt idx="0">
                  <c:v>5.5998898762744531</c:v>
                </c:pt>
                <c:pt idx="1">
                  <c:v>6.5526983265669259</c:v>
                </c:pt>
                <c:pt idx="2">
                  <c:v>7.0661850198799101</c:v>
                </c:pt>
                <c:pt idx="3">
                  <c:v>7.4183744682197172</c:v>
                </c:pt>
                <c:pt idx="4">
                  <c:v>8.0354115167074625</c:v>
                </c:pt>
                <c:pt idx="5">
                  <c:v>8.1984706899088842</c:v>
                </c:pt>
                <c:pt idx="6">
                  <c:v>8.3821028040625727</c:v>
                </c:pt>
                <c:pt idx="7">
                  <c:v>8.8366674610384663</c:v>
                </c:pt>
              </c:numCache>
            </c:numRef>
          </c:val>
          <c:extLst>
            <c:ext xmlns:c16="http://schemas.microsoft.com/office/drawing/2014/chart" uri="{C3380CC4-5D6E-409C-BE32-E72D297353CC}">
              <c16:uniqueId val="{00000000-EB12-4DF1-9A06-BF8B9A9AD314}"/>
            </c:ext>
          </c:extLst>
        </c:ser>
        <c:ser>
          <c:idx val="1"/>
          <c:order val="1"/>
          <c:tx>
            <c:strRef>
              <c:f>'Energiebehoefte algemeen'!$X$14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algemeen'!$Z$14:$AG$14</c:f>
              <c:numCache>
                <c:formatCode>0.0</c:formatCode>
                <c:ptCount val="8"/>
                <c:pt idx="0">
                  <c:v>3.5532474574152815</c:v>
                </c:pt>
                <c:pt idx="1">
                  <c:v>4.5060559077077542</c:v>
                </c:pt>
                <c:pt idx="2">
                  <c:v>5.0195426010207385</c:v>
                </c:pt>
                <c:pt idx="3">
                  <c:v>5.3717320493605456</c:v>
                </c:pt>
                <c:pt idx="4">
                  <c:v>5.9887690978482908</c:v>
                </c:pt>
                <c:pt idx="5">
                  <c:v>6.1518282710497125</c:v>
                </c:pt>
                <c:pt idx="6">
                  <c:v>6.335460385203401</c:v>
                </c:pt>
                <c:pt idx="7">
                  <c:v>6.7900250421792947</c:v>
                </c:pt>
              </c:numCache>
            </c:numRef>
          </c:val>
          <c:extLst>
            <c:ext xmlns:c16="http://schemas.microsoft.com/office/drawing/2014/chart" uri="{C3380CC4-5D6E-409C-BE32-E72D297353CC}">
              <c16:uniqueId val="{00000001-EB12-4DF1-9A06-BF8B9A9AD314}"/>
            </c:ext>
          </c:extLst>
        </c:ser>
        <c:ser>
          <c:idx val="2"/>
          <c:order val="2"/>
          <c:tx>
            <c:strRef>
              <c:f>'Energiebehoefte algemeen'!$X$15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algemeen'!$Z$15:$AG$15</c:f>
              <c:numCache>
                <c:formatCode>0.0</c:formatCode>
                <c:ptCount val="8"/>
                <c:pt idx="0">
                  <c:v>2.194111388953278</c:v>
                </c:pt>
                <c:pt idx="1">
                  <c:v>3.1469198392457507</c:v>
                </c:pt>
                <c:pt idx="2">
                  <c:v>3.6604065325587349</c:v>
                </c:pt>
                <c:pt idx="3">
                  <c:v>4.0125959808985421</c:v>
                </c:pt>
                <c:pt idx="4">
                  <c:v>4.6296330293862873</c:v>
                </c:pt>
                <c:pt idx="5">
                  <c:v>4.792692202587709</c:v>
                </c:pt>
                <c:pt idx="6">
                  <c:v>4.9763243167413975</c:v>
                </c:pt>
                <c:pt idx="7">
                  <c:v>5.4308889737172912</c:v>
                </c:pt>
              </c:numCache>
            </c:numRef>
          </c:val>
          <c:extLst>
            <c:ext xmlns:c16="http://schemas.microsoft.com/office/drawing/2014/chart" uri="{C3380CC4-5D6E-409C-BE32-E72D297353CC}">
              <c16:uniqueId val="{00000002-EB12-4DF1-9A06-BF8B9A9AD314}"/>
            </c:ext>
          </c:extLst>
        </c:ser>
        <c:ser>
          <c:idx val="3"/>
          <c:order val="3"/>
          <c:tx>
            <c:strRef>
              <c:f>'Energiebehoefte algemeen'!$X$16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algemeen'!$Z$16:$AG$16</c:f>
              <c:numCache>
                <c:formatCode>0.0</c:formatCode>
                <c:ptCount val="8"/>
                <c:pt idx="0">
                  <c:v>1</c:v>
                </c:pt>
                <c:pt idx="1">
                  <c:v>1.3535387462125215</c:v>
                </c:pt>
                <c:pt idx="2">
                  <c:v>1.8670254395255057</c:v>
                </c:pt>
                <c:pt idx="3">
                  <c:v>2.2192148878653128</c:v>
                </c:pt>
                <c:pt idx="4">
                  <c:v>2.8362519363530581</c:v>
                </c:pt>
                <c:pt idx="5">
                  <c:v>2.9993111095544798</c:v>
                </c:pt>
                <c:pt idx="6">
                  <c:v>3.1829432237081683</c:v>
                </c:pt>
                <c:pt idx="7">
                  <c:v>3.6375078806840619</c:v>
                </c:pt>
              </c:numCache>
            </c:numRef>
          </c:val>
          <c:extLst>
            <c:ext xmlns:c16="http://schemas.microsoft.com/office/drawing/2014/chart" uri="{C3380CC4-5D6E-409C-BE32-E72D297353CC}">
              <c16:uniqueId val="{00000003-EB12-4DF1-9A06-BF8B9A9AD314}"/>
            </c:ext>
          </c:extLst>
        </c:ser>
        <c:ser>
          <c:idx val="4"/>
          <c:order val="4"/>
          <c:tx>
            <c:strRef>
              <c:f>'Energiebehoefte algemeen'!$X$17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algemeen'!$Z$17:$AG$17</c:f>
              <c:numCache>
                <c:formatCode>0.0</c:formatCode>
                <c:ptCount val="8"/>
                <c:pt idx="0">
                  <c:v>1</c:v>
                </c:pt>
                <c:pt idx="1">
                  <c:v>1</c:v>
                </c:pt>
                <c:pt idx="2">
                  <c:v>1</c:v>
                </c:pt>
                <c:pt idx="3">
                  <c:v>1.0282648198031339</c:v>
                </c:pt>
                <c:pt idx="4">
                  <c:v>1.6453018682908791</c:v>
                </c:pt>
                <c:pt idx="5">
                  <c:v>1.8083610414923008</c:v>
                </c:pt>
                <c:pt idx="6">
                  <c:v>1.9919931556459893</c:v>
                </c:pt>
                <c:pt idx="7">
                  <c:v>2.446557812621883</c:v>
                </c:pt>
              </c:numCache>
            </c:numRef>
          </c:val>
          <c:extLst>
            <c:ext xmlns:c16="http://schemas.microsoft.com/office/drawing/2014/chart" uri="{C3380CC4-5D6E-409C-BE32-E72D297353CC}">
              <c16:uniqueId val="{00000004-EB12-4DF1-9A06-BF8B9A9AD314}"/>
            </c:ext>
          </c:extLst>
        </c:ser>
        <c:ser>
          <c:idx val="5"/>
          <c:order val="5"/>
          <c:tx>
            <c:strRef>
              <c:f>'Energiebehoefte algemeen'!$X$18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algemeen'!$Z$18:$AG$18</c:f>
              <c:numCache>
                <c:formatCode>0.0</c:formatCode>
                <c:ptCount val="8"/>
                <c:pt idx="0">
                  <c:v>1</c:v>
                </c:pt>
                <c:pt idx="1">
                  <c:v>1</c:v>
                </c:pt>
                <c:pt idx="2">
                  <c:v>1</c:v>
                </c:pt>
                <c:pt idx="3">
                  <c:v>1</c:v>
                </c:pt>
                <c:pt idx="4">
                  <c:v>1</c:v>
                </c:pt>
                <c:pt idx="5">
                  <c:v>1</c:v>
                </c:pt>
                <c:pt idx="6">
                  <c:v>1.1121529622892652</c:v>
                </c:pt>
                <c:pt idx="7">
                  <c:v>1.5667176192651588</c:v>
                </c:pt>
              </c:numCache>
            </c:numRef>
          </c:val>
          <c:extLst>
            <c:ext xmlns:c16="http://schemas.microsoft.com/office/drawing/2014/chart" uri="{C3380CC4-5D6E-409C-BE32-E72D297353CC}">
              <c16:uniqueId val="{00000005-EB12-4DF1-9A06-BF8B9A9AD314}"/>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947532454081869"/>
          <c:y val="0.33688018248565582"/>
          <c:w val="5.505637729863206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 koudebehoefte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1231088093470183"/>
          <c:y val="7.169245195936038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'Energiebehoefte algemeen'!$X$13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algemeen'!$AK$13:$AR$13</c:f>
              <c:numCache>
                <c:formatCode>0.0</c:formatCode>
                <c:ptCount val="8"/>
                <c:pt idx="0">
                  <c:v>4.3061171932729785</c:v>
                </c:pt>
                <c:pt idx="1">
                  <c:v>5.0640658501302527</c:v>
                </c:pt>
                <c:pt idx="2">
                  <c:v>4.8363927020020059</c:v>
                </c:pt>
                <c:pt idx="3">
                  <c:v>5.7850343417130397</c:v>
                </c:pt>
                <c:pt idx="4">
                  <c:v>5.2010373705713526</c:v>
                </c:pt>
                <c:pt idx="5">
                  <c:v>5.7585614046717302</c:v>
                </c:pt>
                <c:pt idx="6">
                  <c:v>8.1984706899088842</c:v>
                </c:pt>
                <c:pt idx="7">
                  <c:v>6.1461073541452915</c:v>
                </c:pt>
              </c:numCache>
            </c:numRef>
          </c:val>
          <c:extLst>
            <c:ext xmlns:c16="http://schemas.microsoft.com/office/drawing/2014/chart" uri="{C3380CC4-5D6E-409C-BE32-E72D297353CC}">
              <c16:uniqueId val="{00000000-D70F-4FEE-A2DA-6CAF755AC361}"/>
            </c:ext>
          </c:extLst>
        </c:ser>
        <c:ser>
          <c:idx val="1"/>
          <c:order val="1"/>
          <c:tx>
            <c:strRef>
              <c:f>'Energiebehoefte algemeen'!$X$14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algemeen'!$AK$14:$AR$14</c:f>
              <c:numCache>
                <c:formatCode>0.0</c:formatCode>
                <c:ptCount val="8"/>
                <c:pt idx="0">
                  <c:v>3.3335249456411411</c:v>
                </c:pt>
                <c:pt idx="1">
                  <c:v>3.9482595433884216</c:v>
                </c:pt>
                <c:pt idx="2">
                  <c:v>3.7701905050466324</c:v>
                </c:pt>
                <c:pt idx="3">
                  <c:v>4.4798035919165748</c:v>
                </c:pt>
                <c:pt idx="4">
                  <c:v>4.0450413197414399</c:v>
                </c:pt>
                <c:pt idx="5">
                  <c:v>4.429837286460077</c:v>
                </c:pt>
                <c:pt idx="6">
                  <c:v>6.1518282710497125</c:v>
                </c:pt>
                <c:pt idx="7">
                  <c:v>4.6993493217842879</c:v>
                </c:pt>
              </c:numCache>
            </c:numRef>
          </c:val>
          <c:extLst>
            <c:ext xmlns:c16="http://schemas.microsoft.com/office/drawing/2014/chart" uri="{C3380CC4-5D6E-409C-BE32-E72D297353CC}">
              <c16:uniqueId val="{00000001-D70F-4FEE-A2DA-6CAF755AC361}"/>
            </c:ext>
          </c:extLst>
        </c:ser>
        <c:ser>
          <c:idx val="2"/>
          <c:order val="2"/>
          <c:tx>
            <c:strRef>
              <c:f>'Energiebehoefte algemeen'!$X$15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algemeen'!$AK$15:$AR$15</c:f>
              <c:numCache>
                <c:formatCode>0.0</c:formatCode>
                <c:ptCount val="8"/>
                <c:pt idx="0">
                  <c:v>2.6435739251190107</c:v>
                </c:pt>
                <c:pt idx="1">
                  <c:v>3.1636381801200217</c:v>
                </c:pt>
                <c:pt idx="2">
                  <c:v>3.0199213506944647</c:v>
                </c:pt>
                <c:pt idx="3">
                  <c:v>3.5540955432752206</c:v>
                </c:pt>
                <c:pt idx="4">
                  <c:v>3.2315390363450796</c:v>
                </c:pt>
                <c:pt idx="5">
                  <c:v>3.5141469938766141</c:v>
                </c:pt>
                <c:pt idx="6">
                  <c:v>4.792692202587709</c:v>
                </c:pt>
                <c:pt idx="7">
                  <c:v>3.7054741920140568</c:v>
                </c:pt>
              </c:numCache>
            </c:numRef>
          </c:val>
          <c:extLst>
            <c:ext xmlns:c16="http://schemas.microsoft.com/office/drawing/2014/chart" uri="{C3380CC4-5D6E-409C-BE32-E72D297353CC}">
              <c16:uniqueId val="{00000002-D70F-4FEE-A2DA-6CAF755AC361}"/>
            </c:ext>
          </c:extLst>
        </c:ser>
        <c:ser>
          <c:idx val="3"/>
          <c:order val="3"/>
          <c:tx>
            <c:strRef>
              <c:f>'Energiebehoefte algemeen'!$X$16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algemeen'!$AK$16:$AR$16</c:f>
              <c:numCache>
                <c:formatCode>0.0</c:formatCode>
                <c:ptCount val="8"/>
                <c:pt idx="0">
                  <c:v>1.6713034512847962</c:v>
                </c:pt>
                <c:pt idx="1">
                  <c:v>2.0676274815384135</c:v>
                </c:pt>
                <c:pt idx="2">
                  <c:v>1.9711576188710227</c:v>
                </c:pt>
                <c:pt idx="3">
                  <c:v>2.2499016450292082</c:v>
                </c:pt>
                <c:pt idx="4">
                  <c:v>2.0943197176014472</c:v>
                </c:pt>
                <c:pt idx="5">
                  <c:v>2.2605307796725134</c:v>
                </c:pt>
                <c:pt idx="6">
                  <c:v>2.9993111095544798</c:v>
                </c:pt>
                <c:pt idx="7">
                  <c:v>2.3491149765405535</c:v>
                </c:pt>
              </c:numCache>
            </c:numRef>
          </c:val>
          <c:extLst>
            <c:ext xmlns:c16="http://schemas.microsoft.com/office/drawing/2014/chart" uri="{C3380CC4-5D6E-409C-BE32-E72D297353CC}">
              <c16:uniqueId val="{00000003-D70F-4FEE-A2DA-6CAF755AC361}"/>
            </c:ext>
          </c:extLst>
        </c:ser>
        <c:ser>
          <c:idx val="4"/>
          <c:order val="4"/>
          <c:tx>
            <c:strRef>
              <c:f>'Energiebehoefte algemeen'!$X$17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algemeen'!$AK$17:$AR$17</c:f>
              <c:numCache>
                <c:formatCode>0.0</c:formatCode>
                <c:ptCount val="8"/>
                <c:pt idx="0">
                  <c:v>1</c:v>
                </c:pt>
                <c:pt idx="1">
                  <c:v>1.2969261480884073</c:v>
                </c:pt>
                <c:pt idx="2">
                  <c:v>1.2331596289612365</c:v>
                </c:pt>
                <c:pt idx="3">
                  <c:v>1.3249289620134412</c:v>
                </c:pt>
                <c:pt idx="4">
                  <c:v>1.294031073140868</c:v>
                </c:pt>
                <c:pt idx="5">
                  <c:v>1.396601102895807</c:v>
                </c:pt>
                <c:pt idx="6">
                  <c:v>1.8083610414923008</c:v>
                </c:pt>
                <c:pt idx="7">
                  <c:v>1.4173408573438646</c:v>
                </c:pt>
              </c:numCache>
            </c:numRef>
          </c:val>
          <c:extLst>
            <c:ext xmlns:c16="http://schemas.microsoft.com/office/drawing/2014/chart" uri="{C3380CC4-5D6E-409C-BE32-E72D297353CC}">
              <c16:uniqueId val="{00000004-D70F-4FEE-A2DA-6CAF755AC361}"/>
            </c:ext>
          </c:extLst>
        </c:ser>
        <c:ser>
          <c:idx val="5"/>
          <c:order val="5"/>
          <c:tx>
            <c:strRef>
              <c:f>'Energiebehoefte algemeen'!$X$18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algemeen'!$AK$18:$AR$18</c:f>
              <c:numCache>
                <c:formatCode>0.0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5-D70F-4FEE-A2DA-6CAF755AC361}"/>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967594102512334"/>
          <c:y val="0.28118338813076715"/>
          <c:w val="5.2287269564677198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873117366667011"/>
          <c:y val="4.376925102243072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2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149293066924594E-2"/>
          <c:y val="0.11750335802142502"/>
          <c:w val="0.85073467351423993"/>
          <c:h val="0.73051381071624288"/>
        </c:manualLayout>
      </c:layout>
      <c:bar3DChart>
        <c:barDir val="col"/>
        <c:grouping val="standard"/>
        <c:varyColors val="0"/>
        <c:ser>
          <c:idx val="0"/>
          <c:order val="0"/>
          <c:tx>
            <c:strRef>
              <c:f>'Energiebehoefte algemeen'!$M$13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algemeen'!$P$13:$V$13</c:f>
              <c:numCache>
                <c:formatCode>0</c:formatCode>
                <c:ptCount val="7"/>
                <c:pt idx="0">
                  <c:v>36.046827233495129</c:v>
                </c:pt>
                <c:pt idx="1">
                  <c:v>34.513210660997856</c:v>
                </c:pt>
                <c:pt idx="2">
                  <c:v>25.463113370887722</c:v>
                </c:pt>
                <c:pt idx="3">
                  <c:v>18.47353599584579</c:v>
                </c:pt>
                <c:pt idx="4">
                  <c:v>27.453207418450805</c:v>
                </c:pt>
                <c:pt idx="5">
                  <c:v>16.419936466445826</c:v>
                </c:pt>
                <c:pt idx="6">
                  <c:v>8.1869593185580758</c:v>
                </c:pt>
              </c:numCache>
            </c:numRef>
          </c:val>
          <c:extLst>
            <c:ext xmlns:c16="http://schemas.microsoft.com/office/drawing/2014/chart" uri="{C3380CC4-5D6E-409C-BE32-E72D297353CC}">
              <c16:uniqueId val="{00000000-352D-4688-8ECF-97E9F4D228EA}"/>
            </c:ext>
          </c:extLst>
        </c:ser>
        <c:ser>
          <c:idx val="1"/>
          <c:order val="1"/>
          <c:tx>
            <c:strRef>
              <c:f>'Energiebehoefte algemeen'!$M$14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algemeen'!$P$14:$V$14</c:f>
              <c:numCache>
                <c:formatCode>0</c:formatCode>
                <c:ptCount val="7"/>
                <c:pt idx="0">
                  <c:v>41.069633458398414</c:v>
                </c:pt>
                <c:pt idx="1">
                  <c:v>39.619100068731115</c:v>
                </c:pt>
                <c:pt idx="2">
                  <c:v>30.583708171020945</c:v>
                </c:pt>
                <c:pt idx="3">
                  <c:v>23.599181340152832</c:v>
                </c:pt>
                <c:pt idx="4">
                  <c:v>32.512942154514185</c:v>
                </c:pt>
                <c:pt idx="5">
                  <c:v>21.511641773912178</c:v>
                </c:pt>
                <c:pt idx="6">
                  <c:v>13.254268539908418</c:v>
                </c:pt>
              </c:numCache>
            </c:numRef>
          </c:val>
          <c:extLst>
            <c:ext xmlns:c16="http://schemas.microsoft.com/office/drawing/2014/chart" uri="{C3380CC4-5D6E-409C-BE32-E72D297353CC}">
              <c16:uniqueId val="{00000001-352D-4688-8ECF-97E9F4D228EA}"/>
            </c:ext>
          </c:extLst>
        </c:ser>
        <c:ser>
          <c:idx val="2"/>
          <c:order val="2"/>
          <c:tx>
            <c:strRef>
              <c:f>'Energiebehoefte algemeen'!$M$15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algemeen'!$P$15:$V$15</c:f>
              <c:numCache>
                <c:formatCode>0</c:formatCode>
                <c:ptCount val="7"/>
                <c:pt idx="0">
                  <c:v>46.218434847593258</c:v>
                </c:pt>
                <c:pt idx="1">
                  <c:v>44.849988483061793</c:v>
                </c:pt>
                <c:pt idx="2">
                  <c:v>35.854359938432069</c:v>
                </c:pt>
                <c:pt idx="3">
                  <c:v>28.893689548189652</c:v>
                </c:pt>
                <c:pt idx="4">
                  <c:v>37.725901728980915</c:v>
                </c:pt>
                <c:pt idx="5">
                  <c:v>26.790619449709361</c:v>
                </c:pt>
                <c:pt idx="6">
                  <c:v>18.542287302155703</c:v>
                </c:pt>
              </c:numCache>
            </c:numRef>
          </c:val>
          <c:extLst>
            <c:ext xmlns:c16="http://schemas.microsoft.com/office/drawing/2014/chart" uri="{C3380CC4-5D6E-409C-BE32-E72D297353CC}">
              <c16:uniqueId val="{00000002-352D-4688-8ECF-97E9F4D228EA}"/>
            </c:ext>
          </c:extLst>
        </c:ser>
        <c:ser>
          <c:idx val="3"/>
          <c:order val="3"/>
          <c:tx>
            <c:strRef>
              <c:f>'Energiebehoefte algemeen'!$M$16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algemeen'!$P$16:$V$16</c:f>
              <c:numCache>
                <c:formatCode>0</c:formatCode>
                <c:ptCount val="7"/>
                <c:pt idx="0">
                  <c:v>56.785169023091541</c:v>
                </c:pt>
                <c:pt idx="1">
                  <c:v>55.578599377604277</c:v>
                </c:pt>
                <c:pt idx="2">
                  <c:v>46.71761574396136</c:v>
                </c:pt>
                <c:pt idx="3">
                  <c:v>39.846389707376019</c:v>
                </c:pt>
                <c:pt idx="4">
                  <c:v>48.480907173755398</c:v>
                </c:pt>
                <c:pt idx="5">
                  <c:v>37.753524066005944</c:v>
                </c:pt>
                <c:pt idx="6">
                  <c:v>29.598945494293343</c:v>
                </c:pt>
              </c:numCache>
            </c:numRef>
          </c:val>
          <c:extLst>
            <c:ext xmlns:c16="http://schemas.microsoft.com/office/drawing/2014/chart" uri="{C3380CC4-5D6E-409C-BE32-E72D297353CC}">
              <c16:uniqueId val="{00000003-352D-4688-8ECF-97E9F4D228EA}"/>
            </c:ext>
          </c:extLst>
        </c:ser>
        <c:ser>
          <c:idx val="4"/>
          <c:order val="4"/>
          <c:tx>
            <c:strRef>
              <c:f>'Energiebehoefte algemeen'!$M$17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algemeen'!$P$17:$V$17</c:f>
              <c:numCache>
                <c:formatCode>0</c:formatCode>
                <c:ptCount val="7"/>
                <c:pt idx="0">
                  <c:v>67.616965665436794</c:v>
                </c:pt>
                <c:pt idx="1">
                  <c:v>66.569861026383023</c:v>
                </c:pt>
                <c:pt idx="2">
                  <c:v>57.899214883530568</c:v>
                </c:pt>
                <c:pt idx="3">
                  <c:v>51.159923320735714</c:v>
                </c:pt>
                <c:pt idx="4">
                  <c:v>59.56160834316087</c:v>
                </c:pt>
                <c:pt idx="5">
                  <c:v>49.11964312369377</c:v>
                </c:pt>
                <c:pt idx="6">
                  <c:v>41.137182734964135</c:v>
                </c:pt>
              </c:numCache>
            </c:numRef>
          </c:val>
          <c:extLst>
            <c:ext xmlns:c16="http://schemas.microsoft.com/office/drawing/2014/chart" uri="{C3380CC4-5D6E-409C-BE32-E72D297353CC}">
              <c16:uniqueId val="{00000004-352D-4688-8ECF-97E9F4D228EA}"/>
            </c:ext>
          </c:extLst>
        </c:ser>
        <c:ser>
          <c:idx val="5"/>
          <c:order val="5"/>
          <c:tx>
            <c:strRef>
              <c:f>'Energiebehoefte algemeen'!$M$18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algemeen'!$P$18:$V$18</c:f>
              <c:numCache>
                <c:formatCode>0</c:formatCode>
                <c:ptCount val="7"/>
                <c:pt idx="0">
                  <c:v>78.650228614347469</c:v>
                </c:pt>
                <c:pt idx="1">
                  <c:v>77.760652006609092</c:v>
                </c:pt>
                <c:pt idx="2">
                  <c:v>69.323658189145107</c:v>
                </c:pt>
                <c:pt idx="3">
                  <c:v>62.749574662227118</c:v>
                </c:pt>
                <c:pt idx="4">
                  <c:v>70.89097120281032</c:v>
                </c:pt>
                <c:pt idx="5">
                  <c:v>60.795323358063456</c:v>
                </c:pt>
                <c:pt idx="6">
                  <c:v>53.047279296013265</c:v>
                </c:pt>
              </c:numCache>
            </c:numRef>
          </c:val>
          <c:extLst>
            <c:ext xmlns:c16="http://schemas.microsoft.com/office/drawing/2014/chart" uri="{C3380CC4-5D6E-409C-BE32-E72D297353CC}">
              <c16:uniqueId val="{00000005-352D-4688-8ECF-97E9F4D228EA}"/>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192000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8675420220417256"/>
          <c:y val="0.344144981749337"/>
          <c:w val="5.3125549409258073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G$6" lockText="1"/>
</file>

<file path=xl/ctrlProps/ctrlProp2.xml><?xml version="1.0" encoding="utf-8"?>
<formControlPr xmlns="http://schemas.microsoft.com/office/spreadsheetml/2009/9/main" objectType="CheckBox" fmlaLink="$G$6" lockText="1"/>
</file>

<file path=xl/ctrlProps/ctrlProp3.xml><?xml version="1.0" encoding="utf-8"?>
<formControlPr xmlns="http://schemas.microsoft.com/office/spreadsheetml/2009/9/main" objectType="CheckBox" fmlaLink="$G$6" lockText="1"/>
</file>

<file path=xl/ctrlProps/ctrlProp4.xml><?xml version="1.0" encoding="utf-8"?>
<formControlPr xmlns="http://schemas.microsoft.com/office/spreadsheetml/2009/9/main" objectType="CheckBox" fmlaLink="$G$6" lockText="1"/>
</file>

<file path=xl/ctrlProps/ctrlProp5.xml><?xml version="1.0" encoding="utf-8"?>
<formControlPr xmlns="http://schemas.microsoft.com/office/spreadsheetml/2009/9/main" objectType="CheckBox" fmlaLink="$G$6" lockText="1"/>
</file>

<file path=xl/ctrlProps/ctrlProp6.xml><?xml version="1.0" encoding="utf-8"?>
<formControlPr xmlns="http://schemas.microsoft.com/office/spreadsheetml/2009/9/main" objectType="CheckBox" fmlaLink="$G$6" lockText="1"/>
</file>

<file path=xl/drawings/_rels/drawing1.xml.rels><?xml version="1.0" encoding="UTF-8" standalone="yes"?>
<Relationships xmlns="http://schemas.openxmlformats.org/package/2006/relationships"><Relationship Id="rId3" Type="http://schemas.openxmlformats.org/officeDocument/2006/relationships/hyperlink" Target="#'woningen|utiliteit'!A1"/><Relationship Id="rId2" Type="http://schemas.openxmlformats.org/officeDocument/2006/relationships/image" Target="../media/image1.png"/><Relationship Id="rId1" Type="http://schemas.openxmlformats.org/officeDocument/2006/relationships/hyperlink" Target="http://www.rvo.nl/subsidies-regelingen/uniforme-maatlat-gebouwde-omgeving-new"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variant 4'!A1"/><Relationship Id="rId3" Type="http://schemas.openxmlformats.org/officeDocument/2006/relationships/hyperlink" Target="#handleiding!A1"/><Relationship Id="rId7" Type="http://schemas.openxmlformats.org/officeDocument/2006/relationships/hyperlink" Target="#'variant 3'!A1"/><Relationship Id="rId12" Type="http://schemas.openxmlformats.org/officeDocument/2006/relationships/hyperlink" Target="#bibliotheek!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variant 2'!A1"/><Relationship Id="rId11" Type="http://schemas.openxmlformats.org/officeDocument/2006/relationships/hyperlink" Target="#resultaten!A1"/><Relationship Id="rId5" Type="http://schemas.openxmlformats.org/officeDocument/2006/relationships/hyperlink" Target="#'variant 1'!A1"/><Relationship Id="rId10" Type="http://schemas.openxmlformats.org/officeDocument/2006/relationships/hyperlink" Target="#'variant 6'!A1"/><Relationship Id="rId4" Type="http://schemas.openxmlformats.org/officeDocument/2006/relationships/hyperlink" Target="#'woningen|utiliteit'!A1"/><Relationship Id="rId9" Type="http://schemas.openxmlformats.org/officeDocument/2006/relationships/hyperlink" Target="#'variant 5'!A1"/></Relationships>
</file>

<file path=xl/drawings/_rels/drawing1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11" Type="http://schemas.openxmlformats.org/officeDocument/2006/relationships/image" Target="../media/image2.png"/><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4.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5.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6.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7.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8.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9.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drawing1.xml><?xml version="1.0" encoding="utf-8"?>
<xdr:wsDr xmlns:xdr="http://schemas.openxmlformats.org/drawingml/2006/spreadsheetDrawing" xmlns:a="http://schemas.openxmlformats.org/drawingml/2006/main">
  <xdr:twoCellAnchor editAs="oneCell">
    <xdr:from>
      <xdr:col>3</xdr:col>
      <xdr:colOff>145733</xdr:colOff>
      <xdr:row>1</xdr:row>
      <xdr:rowOff>190046</xdr:rowOff>
    </xdr:from>
    <xdr:to>
      <xdr:col>4</xdr:col>
      <xdr:colOff>1685925</xdr:colOff>
      <xdr:row>5</xdr:row>
      <xdr:rowOff>142875</xdr:rowOff>
    </xdr:to>
    <xdr:pic>
      <xdr:nvPicPr>
        <xdr:cNvPr id="890342" name="Afbeelding 1">
          <a:hlinkClick xmlns:r="http://schemas.openxmlformats.org/officeDocument/2006/relationships" r:id="rId1"/>
          <a:extLst>
            <a:ext uri="{FF2B5EF4-FFF2-40B4-BE49-F238E27FC236}">
              <a16:creationId xmlns:a16="http://schemas.microsoft.com/office/drawing/2014/main" id="{00000000-0008-0000-0000-0000E6950D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444" b="23858"/>
        <a:stretch/>
      </xdr:blipFill>
      <xdr:spPr bwMode="auto">
        <a:xfrm>
          <a:off x="545783" y="456746"/>
          <a:ext cx="1721167" cy="819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5248275</xdr:colOff>
      <xdr:row>2</xdr:row>
      <xdr:rowOff>0</xdr:rowOff>
    </xdr:from>
    <xdr:to>
      <xdr:col>5</xdr:col>
      <xdr:colOff>0</xdr:colOff>
      <xdr:row>4</xdr:row>
      <xdr:rowOff>180974</xdr:rowOff>
    </xdr:to>
    <xdr:sp macro="" textlink="">
      <xdr:nvSpPr>
        <xdr:cNvPr id="4" name="Rectangle 3">
          <a:hlinkClick xmlns:r="http://schemas.openxmlformats.org/officeDocument/2006/relationships" r:id="rId3" tooltip="Naar de invoer van de woningen en utiliteitsgebouwen in het gebied."/>
          <a:extLst>
            <a:ext uri="{FF2B5EF4-FFF2-40B4-BE49-F238E27FC236}">
              <a16:creationId xmlns:a16="http://schemas.microsoft.com/office/drawing/2014/main" id="{00000000-0008-0000-0000-000004000000}"/>
            </a:ext>
          </a:extLst>
        </xdr:cNvPr>
        <xdr:cNvSpPr>
          <a:spLocks noChangeArrowheads="1"/>
        </xdr:cNvSpPr>
      </xdr:nvSpPr>
      <xdr:spPr bwMode="auto">
        <a:xfrm>
          <a:off x="5429250" y="466725"/>
          <a:ext cx="1581150" cy="647699"/>
        </a:xfrm>
        <a:prstGeom prst="rect">
          <a:avLst/>
        </a:prstGeom>
        <a:gradFill flip="none" rotWithShape="1">
          <a:gsLst>
            <a:gs pos="6000">
              <a:schemeClr val="bg1">
                <a:lumMod val="95000"/>
              </a:schemeClr>
            </a:gs>
            <a:gs pos="0">
              <a:schemeClr val="bg1"/>
            </a:gs>
            <a:gs pos="90036">
              <a:schemeClr val="bg1">
                <a:lumMod val="85000"/>
              </a:schemeClr>
            </a:gs>
            <a:gs pos="100000">
              <a:schemeClr val="bg1">
                <a:lumMod val="65000"/>
              </a:schemeClr>
            </a:gs>
          </a:gsLst>
          <a:lin ang="5400000" scaled="1"/>
          <a:tileRect/>
        </a:gradFill>
        <a:ln w="635">
          <a:solidFill>
            <a:schemeClr val="bg1">
              <a:lumMod val="65000"/>
            </a:schemeClr>
          </a:solidFill>
        </a:ln>
        <a:effectLst>
          <a:outerShdw blurRad="50800" dist="38100" dir="2700000" algn="tl" rotWithShape="0">
            <a:prstClr val="black">
              <a:alpha val="40000"/>
            </a:prstClr>
          </a:outerShdw>
        </a:effectLst>
      </xdr:spPr>
      <xdr:txBody>
        <a:bodyPr vertOverflow="clip" wrap="square" lIns="0" tIns="0" rIns="0" bIns="0" anchor="ctr" upright="1"/>
        <a:lstStyle/>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Start met de</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Uniforme Maatlat</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Gebouwde Omgeving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244</xdr:row>
      <xdr:rowOff>0</xdr:rowOff>
    </xdr:from>
    <xdr:to>
      <xdr:col>18</xdr:col>
      <xdr:colOff>0</xdr:colOff>
      <xdr:row>245</xdr:row>
      <xdr:rowOff>0</xdr:rowOff>
    </xdr:to>
    <xdr:graphicFrame macro="">
      <xdr:nvGraphicFramePr>
        <xdr:cNvPr id="15" name="Grafiek 155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246</xdr:row>
      <xdr:rowOff>0</xdr:rowOff>
    </xdr:from>
    <xdr:to>
      <xdr:col>18</xdr:col>
      <xdr:colOff>0</xdr:colOff>
      <xdr:row>247</xdr:row>
      <xdr:rowOff>0</xdr:rowOff>
    </xdr:to>
    <xdr:graphicFrame macro="">
      <xdr:nvGraphicFramePr>
        <xdr:cNvPr id="18" name="Grafiek 1554">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7</xdr:row>
      <xdr:rowOff>28575</xdr:rowOff>
    </xdr:from>
    <xdr:to>
      <xdr:col>4</xdr:col>
      <xdr:colOff>216000</xdr:colOff>
      <xdr:row>7</xdr:row>
      <xdr:rowOff>226748</xdr:rowOff>
    </xdr:to>
    <xdr:sp macro="" textlink="">
      <xdr:nvSpPr>
        <xdr:cNvPr id="23" name="Rectangle 3">
          <a:hlinkClick xmlns:r="http://schemas.openxmlformats.org/officeDocument/2006/relationships" r:id="rId3" tooltip="Naar de handleiding"/>
          <a:extLst>
            <a:ext uri="{FF2B5EF4-FFF2-40B4-BE49-F238E27FC236}">
              <a16:creationId xmlns:a16="http://schemas.microsoft.com/office/drawing/2014/main" id="{00000000-0008-0000-0900-000017000000}"/>
            </a:ext>
          </a:extLst>
        </xdr:cNvPr>
        <xdr:cNvSpPr>
          <a:spLocks noChangeArrowheads="1"/>
        </xdr:cNvSpPr>
      </xdr:nvSpPr>
      <xdr:spPr bwMode="auto">
        <a:xfrm>
          <a:off x="581025" y="1590675"/>
          <a:ext cx="216000" cy="198173"/>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28575</xdr:rowOff>
    </xdr:from>
    <xdr:to>
      <xdr:col>4</xdr:col>
      <xdr:colOff>1354934</xdr:colOff>
      <xdr:row>7</xdr:row>
      <xdr:rowOff>226575</xdr:rowOff>
    </xdr:to>
    <xdr:sp macro="" textlink="">
      <xdr:nvSpPr>
        <xdr:cNvPr id="24" name="Rectangle 3">
          <a:hlinkClick xmlns:r="http://schemas.openxmlformats.org/officeDocument/2006/relationships" r:id="rId4" tooltip="Naar de invoer van de woningen en utiliteitsgebouwen in het gebied."/>
          <a:extLst>
            <a:ext uri="{FF2B5EF4-FFF2-40B4-BE49-F238E27FC236}">
              <a16:creationId xmlns:a16="http://schemas.microsoft.com/office/drawing/2014/main" id="{00000000-0008-0000-0900-000018000000}"/>
            </a:ext>
          </a:extLst>
        </xdr:cNvPr>
        <xdr:cNvSpPr>
          <a:spLocks noChangeArrowheads="1"/>
        </xdr:cNvSpPr>
      </xdr:nvSpPr>
      <xdr:spPr bwMode="auto">
        <a:xfrm>
          <a:off x="819959" y="15906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28575</xdr:rowOff>
    </xdr:from>
    <xdr:to>
      <xdr:col>4</xdr:col>
      <xdr:colOff>1812966</xdr:colOff>
      <xdr:row>7</xdr:row>
      <xdr:rowOff>226575</xdr:rowOff>
    </xdr:to>
    <xdr:sp macro="" textlink="">
      <xdr:nvSpPr>
        <xdr:cNvPr id="25" name="Rectangle 4">
          <a:hlinkClick xmlns:r="http://schemas.openxmlformats.org/officeDocument/2006/relationships" r:id="rId5" tooltip="Naar invoer installaties en berekening variant 1"/>
          <a:extLst>
            <a:ext uri="{FF2B5EF4-FFF2-40B4-BE49-F238E27FC236}">
              <a16:creationId xmlns:a16="http://schemas.microsoft.com/office/drawing/2014/main" id="{00000000-0008-0000-0900-000019000000}"/>
            </a:ext>
          </a:extLst>
        </xdr:cNvPr>
        <xdr:cNvSpPr>
          <a:spLocks noChangeArrowheads="1"/>
        </xdr:cNvSpPr>
      </xdr:nvSpPr>
      <xdr:spPr bwMode="auto">
        <a:xfrm>
          <a:off x="1961991"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7</xdr:row>
      <xdr:rowOff>28575</xdr:rowOff>
    </xdr:from>
    <xdr:to>
      <xdr:col>5</xdr:col>
      <xdr:colOff>205766</xdr:colOff>
      <xdr:row>7</xdr:row>
      <xdr:rowOff>226575</xdr:rowOff>
    </xdr:to>
    <xdr:sp macro="" textlink="">
      <xdr:nvSpPr>
        <xdr:cNvPr id="26" name="Rectangle 8">
          <a:hlinkClick xmlns:r="http://schemas.openxmlformats.org/officeDocument/2006/relationships" r:id="rId6" tooltip="Naar invoer installaties en berekening variant 2."/>
          <a:extLst>
            <a:ext uri="{FF2B5EF4-FFF2-40B4-BE49-F238E27FC236}">
              <a16:creationId xmlns:a16="http://schemas.microsoft.com/office/drawing/2014/main" id="{00000000-0008-0000-0900-00001A000000}"/>
            </a:ext>
          </a:extLst>
        </xdr:cNvPr>
        <xdr:cNvSpPr>
          <a:spLocks noChangeArrowheads="1"/>
        </xdr:cNvSpPr>
      </xdr:nvSpPr>
      <xdr:spPr bwMode="auto">
        <a:xfrm>
          <a:off x="2420908" y="15906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241975</xdr:colOff>
      <xdr:row>7</xdr:row>
      <xdr:rowOff>28575</xdr:rowOff>
    </xdr:from>
    <xdr:to>
      <xdr:col>5</xdr:col>
      <xdr:colOff>673975</xdr:colOff>
      <xdr:row>7</xdr:row>
      <xdr:rowOff>226575</xdr:rowOff>
    </xdr:to>
    <xdr:sp macro="" textlink="">
      <xdr:nvSpPr>
        <xdr:cNvPr id="27" name="Rectangle 9">
          <a:hlinkClick xmlns:r="http://schemas.openxmlformats.org/officeDocument/2006/relationships" r:id="rId7" tooltip="Naar invoer installaties en berekening variant 3."/>
          <a:extLst>
            <a:ext uri="{FF2B5EF4-FFF2-40B4-BE49-F238E27FC236}">
              <a16:creationId xmlns:a16="http://schemas.microsoft.com/office/drawing/2014/main" id="{00000000-0008-0000-0900-00001B000000}"/>
            </a:ext>
          </a:extLst>
        </xdr:cNvPr>
        <xdr:cNvSpPr>
          <a:spLocks noChangeArrowheads="1"/>
        </xdr:cNvSpPr>
      </xdr:nvSpPr>
      <xdr:spPr bwMode="auto">
        <a:xfrm>
          <a:off x="2889925"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705911</xdr:colOff>
      <xdr:row>7</xdr:row>
      <xdr:rowOff>28575</xdr:rowOff>
    </xdr:from>
    <xdr:to>
      <xdr:col>5</xdr:col>
      <xdr:colOff>1140293</xdr:colOff>
      <xdr:row>7</xdr:row>
      <xdr:rowOff>226575</xdr:rowOff>
    </xdr:to>
    <xdr:sp macro="" textlink="">
      <xdr:nvSpPr>
        <xdr:cNvPr id="28" name="Rectangle 10">
          <a:hlinkClick xmlns:r="http://schemas.openxmlformats.org/officeDocument/2006/relationships" r:id="rId8" tooltip="Naar invoer installaties en berekening variant 4."/>
          <a:extLst>
            <a:ext uri="{FF2B5EF4-FFF2-40B4-BE49-F238E27FC236}">
              <a16:creationId xmlns:a16="http://schemas.microsoft.com/office/drawing/2014/main" id="{00000000-0008-0000-0900-00001C000000}"/>
            </a:ext>
          </a:extLst>
        </xdr:cNvPr>
        <xdr:cNvSpPr>
          <a:spLocks noChangeArrowheads="1"/>
        </xdr:cNvSpPr>
      </xdr:nvSpPr>
      <xdr:spPr bwMode="auto">
        <a:xfrm>
          <a:off x="3353861" y="159067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1168906</xdr:colOff>
      <xdr:row>7</xdr:row>
      <xdr:rowOff>28575</xdr:rowOff>
    </xdr:from>
    <xdr:to>
      <xdr:col>5</xdr:col>
      <xdr:colOff>1600906</xdr:colOff>
      <xdr:row>7</xdr:row>
      <xdr:rowOff>226575</xdr:rowOff>
    </xdr:to>
    <xdr:sp macro="" textlink="">
      <xdr:nvSpPr>
        <xdr:cNvPr id="29" name="Rectangle 11">
          <a:hlinkClick xmlns:r="http://schemas.openxmlformats.org/officeDocument/2006/relationships" r:id="rId9" tooltip="Naar invoer installaties en berekening variant 5."/>
          <a:extLst>
            <a:ext uri="{FF2B5EF4-FFF2-40B4-BE49-F238E27FC236}">
              <a16:creationId xmlns:a16="http://schemas.microsoft.com/office/drawing/2014/main" id="{00000000-0008-0000-0900-00001D000000}"/>
            </a:ext>
          </a:extLst>
        </xdr:cNvPr>
        <xdr:cNvSpPr>
          <a:spLocks noChangeArrowheads="1"/>
        </xdr:cNvSpPr>
      </xdr:nvSpPr>
      <xdr:spPr bwMode="auto">
        <a:xfrm>
          <a:off x="3816856"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1633173</xdr:colOff>
      <xdr:row>7</xdr:row>
      <xdr:rowOff>28575</xdr:rowOff>
    </xdr:from>
    <xdr:to>
      <xdr:col>6</xdr:col>
      <xdr:colOff>4309</xdr:colOff>
      <xdr:row>7</xdr:row>
      <xdr:rowOff>226575</xdr:rowOff>
    </xdr:to>
    <xdr:sp macro="" textlink="">
      <xdr:nvSpPr>
        <xdr:cNvPr id="30" name="Rectangle 7">
          <a:hlinkClick xmlns:r="http://schemas.openxmlformats.org/officeDocument/2006/relationships" r:id="rId10" tooltip="Naar invoer installaties en berekening variant 6."/>
          <a:extLst>
            <a:ext uri="{FF2B5EF4-FFF2-40B4-BE49-F238E27FC236}">
              <a16:creationId xmlns:a16="http://schemas.microsoft.com/office/drawing/2014/main" id="{00000000-0008-0000-0900-00001E000000}"/>
            </a:ext>
          </a:extLst>
        </xdr:cNvPr>
        <xdr:cNvSpPr>
          <a:spLocks noChangeArrowheads="1"/>
        </xdr:cNvSpPr>
      </xdr:nvSpPr>
      <xdr:spPr bwMode="auto">
        <a:xfrm>
          <a:off x="4281123" y="1590675"/>
          <a:ext cx="438061"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6</xdr:col>
      <xdr:colOff>31959</xdr:colOff>
      <xdr:row>7</xdr:row>
      <xdr:rowOff>28575</xdr:rowOff>
    </xdr:from>
    <xdr:to>
      <xdr:col>6</xdr:col>
      <xdr:colOff>697959</xdr:colOff>
      <xdr:row>7</xdr:row>
      <xdr:rowOff>226575</xdr:rowOff>
    </xdr:to>
    <xdr:sp macro="" textlink="">
      <xdr:nvSpPr>
        <xdr:cNvPr id="31" name="Rectangle 5">
          <a:hlinkClick xmlns:r="http://schemas.openxmlformats.org/officeDocument/2006/relationships" r:id="rId11" tooltip="Naar het overzicht van de rekenresultaten van de referentie en de varianten."/>
          <a:extLst>
            <a:ext uri="{FF2B5EF4-FFF2-40B4-BE49-F238E27FC236}">
              <a16:creationId xmlns:a16="http://schemas.microsoft.com/office/drawing/2014/main" id="{00000000-0008-0000-0900-00001F000000}"/>
            </a:ext>
          </a:extLst>
        </xdr:cNvPr>
        <xdr:cNvSpPr>
          <a:spLocks noChangeArrowheads="1"/>
        </xdr:cNvSpPr>
      </xdr:nvSpPr>
      <xdr:spPr bwMode="auto">
        <a:xfrm>
          <a:off x="4746834" y="1590675"/>
          <a:ext cx="666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721863</xdr:colOff>
      <xdr:row>7</xdr:row>
      <xdr:rowOff>28575</xdr:rowOff>
    </xdr:from>
    <xdr:to>
      <xdr:col>7</xdr:col>
      <xdr:colOff>1178</xdr:colOff>
      <xdr:row>7</xdr:row>
      <xdr:rowOff>226575</xdr:rowOff>
    </xdr:to>
    <xdr:sp macro="" textlink="">
      <xdr:nvSpPr>
        <xdr:cNvPr id="34" name="Rectangle 6">
          <a:hlinkClick xmlns:r="http://schemas.openxmlformats.org/officeDocument/2006/relationships" r:id="rId12" tooltip="Naar de bibilotheek met gegevens van gebouwen en installaties."/>
          <a:extLst>
            <a:ext uri="{FF2B5EF4-FFF2-40B4-BE49-F238E27FC236}">
              <a16:creationId xmlns:a16="http://schemas.microsoft.com/office/drawing/2014/main" id="{00000000-0008-0000-0900-000022000000}"/>
            </a:ext>
          </a:extLst>
        </xdr:cNvPr>
        <xdr:cNvSpPr>
          <a:spLocks noChangeArrowheads="1"/>
        </xdr:cNvSpPr>
      </xdr:nvSpPr>
      <xdr:spPr bwMode="auto">
        <a:xfrm>
          <a:off x="5436738" y="159067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CO2 emissie </a:t>
          </a:r>
          <a:r>
            <a:rPr lang="nl-NL" sz="1200" b="0" i="1" u="none" strike="noStrike" baseline="0">
              <a:solidFill>
                <a:sysClr val="windowText" lastClr="000000"/>
              </a:solidFill>
              <a:latin typeface="+mn-lt"/>
              <a:ea typeface="Verdana"/>
              <a:cs typeface="Verdana"/>
            </a:rPr>
            <a:t>ton per jaar</a:t>
          </a:r>
          <a:endParaRPr lang="nl-NL" sz="1200" i="1">
            <a:solidFill>
              <a:sysClr val="windowText" lastClr="000000"/>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Fossiel energiegebruik  </a:t>
          </a:r>
          <a:r>
            <a:rPr lang="nl-NL" sz="1200" b="0" i="1" u="none" strike="noStrike" baseline="0">
              <a:solidFill>
                <a:sysClr val="windowText" lastClr="000000"/>
              </a:solidFill>
              <a:latin typeface="+mn-lt"/>
              <a:ea typeface="Verdana"/>
              <a:cs typeface="Verdana"/>
            </a:rPr>
            <a:t>MWh per jaar</a:t>
          </a:r>
          <a:endParaRPr lang="nl-NL" sz="1200" i="1">
            <a:solidFill>
              <a:sysClr val="windowText" lastClr="000000"/>
            </a:solidFill>
            <a:latin typeface="+mn-lt"/>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4</xdr:col>
      <xdr:colOff>0</xdr:colOff>
      <xdr:row>7</xdr:row>
      <xdr:rowOff>34517</xdr:rowOff>
    </xdr:from>
    <xdr:to>
      <xdr:col>4</xdr:col>
      <xdr:colOff>225525</xdr:colOff>
      <xdr:row>7</xdr:row>
      <xdr:rowOff>225070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A00-00000C000000}"/>
            </a:ext>
          </a:extLst>
        </xdr:cNvPr>
        <xdr:cNvSpPr>
          <a:spLocks noChangeArrowheads="1"/>
        </xdr:cNvSpPr>
      </xdr:nvSpPr>
      <xdr:spPr bwMode="auto">
        <a:xfrm>
          <a:off x="571500" y="1576671"/>
          <a:ext cx="208380" cy="192458"/>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263699</xdr:colOff>
      <xdr:row>7</xdr:row>
      <xdr:rowOff>34517</xdr:rowOff>
    </xdr:from>
    <xdr:to>
      <xdr:col>4</xdr:col>
      <xdr:colOff>1368269</xdr:colOff>
      <xdr:row>7</xdr:row>
      <xdr:rowOff>224897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A00-00000D000000}"/>
            </a:ext>
          </a:extLst>
        </xdr:cNvPr>
        <xdr:cNvSpPr>
          <a:spLocks noChangeArrowheads="1"/>
        </xdr:cNvSpPr>
      </xdr:nvSpPr>
      <xdr:spPr bwMode="auto">
        <a:xfrm>
          <a:off x="816149" y="1576671"/>
          <a:ext cx="111028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1405731</xdr:colOff>
      <xdr:row>7</xdr:row>
      <xdr:rowOff>34517</xdr:rowOff>
    </xdr:from>
    <xdr:to>
      <xdr:col>4</xdr:col>
      <xdr:colOff>1824396</xdr:colOff>
      <xdr:row>7</xdr:row>
      <xdr:rowOff>224897</xdr:rowOff>
    </xdr:to>
    <xdr:sp macro="" textlink="">
      <xdr:nvSpPr>
        <xdr:cNvPr id="20"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A00-000014000000}"/>
            </a:ext>
          </a:extLst>
        </xdr:cNvPr>
        <xdr:cNvSpPr>
          <a:spLocks noChangeArrowheads="1"/>
        </xdr:cNvSpPr>
      </xdr:nvSpPr>
      <xdr:spPr bwMode="auto">
        <a:xfrm>
          <a:off x="1963896" y="1576671"/>
          <a:ext cx="42057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1862743</xdr:colOff>
      <xdr:row>7</xdr:row>
      <xdr:rowOff>34517</xdr:rowOff>
    </xdr:from>
    <xdr:to>
      <xdr:col>5</xdr:col>
      <xdr:colOff>186716</xdr:colOff>
      <xdr:row>7</xdr:row>
      <xdr:rowOff>224897</xdr:rowOff>
    </xdr:to>
    <xdr:sp macro="" textlink="">
      <xdr:nvSpPr>
        <xdr:cNvPr id="2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A00-000019000000}"/>
            </a:ext>
          </a:extLst>
        </xdr:cNvPr>
        <xdr:cNvSpPr>
          <a:spLocks noChangeArrowheads="1"/>
        </xdr:cNvSpPr>
      </xdr:nvSpPr>
      <xdr:spPr bwMode="auto">
        <a:xfrm>
          <a:off x="2417098" y="1576671"/>
          <a:ext cx="419473"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224830</xdr:colOff>
      <xdr:row>7</xdr:row>
      <xdr:rowOff>34517</xdr:rowOff>
    </xdr:from>
    <xdr:to>
      <xdr:col>5</xdr:col>
      <xdr:colOff>645400</xdr:colOff>
      <xdr:row>7</xdr:row>
      <xdr:rowOff>224897</xdr:rowOff>
    </xdr:to>
    <xdr:sp macro="" textlink="">
      <xdr:nvSpPr>
        <xdr:cNvPr id="2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A00-00001A000000}"/>
            </a:ext>
          </a:extLst>
        </xdr:cNvPr>
        <xdr:cNvSpPr>
          <a:spLocks noChangeArrowheads="1"/>
        </xdr:cNvSpPr>
      </xdr:nvSpPr>
      <xdr:spPr bwMode="auto">
        <a:xfrm>
          <a:off x="2872780" y="1576671"/>
          <a:ext cx="43962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681146</xdr:colOff>
      <xdr:row>7</xdr:row>
      <xdr:rowOff>34517</xdr:rowOff>
    </xdr:from>
    <xdr:to>
      <xdr:col>5</xdr:col>
      <xdr:colOff>1138388</xdr:colOff>
      <xdr:row>7</xdr:row>
      <xdr:rowOff>224897</xdr:rowOff>
    </xdr:to>
    <xdr:sp macro="" textlink="">
      <xdr:nvSpPr>
        <xdr:cNvPr id="2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A00-00001B000000}"/>
            </a:ext>
          </a:extLst>
        </xdr:cNvPr>
        <xdr:cNvSpPr>
          <a:spLocks noChangeArrowheads="1"/>
        </xdr:cNvSpPr>
      </xdr:nvSpPr>
      <xdr:spPr bwMode="auto">
        <a:xfrm>
          <a:off x="3332906" y="1576671"/>
          <a:ext cx="455337"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1140331</xdr:colOff>
      <xdr:row>7</xdr:row>
      <xdr:rowOff>34517</xdr:rowOff>
    </xdr:from>
    <xdr:to>
      <xdr:col>5</xdr:col>
      <xdr:colOff>1597096</xdr:colOff>
      <xdr:row>7</xdr:row>
      <xdr:rowOff>224897</xdr:rowOff>
    </xdr:to>
    <xdr:sp macro="" textlink="">
      <xdr:nvSpPr>
        <xdr:cNvPr id="2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A00-00001C000000}"/>
            </a:ext>
          </a:extLst>
        </xdr:cNvPr>
        <xdr:cNvSpPr>
          <a:spLocks noChangeArrowheads="1"/>
        </xdr:cNvSpPr>
      </xdr:nvSpPr>
      <xdr:spPr bwMode="auto">
        <a:xfrm>
          <a:off x="3807331" y="1576671"/>
          <a:ext cx="43771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1635078</xdr:colOff>
      <xdr:row>7</xdr:row>
      <xdr:rowOff>34517</xdr:rowOff>
    </xdr:from>
    <xdr:to>
      <xdr:col>5</xdr:col>
      <xdr:colOff>2053743</xdr:colOff>
      <xdr:row>7</xdr:row>
      <xdr:rowOff>224897</xdr:rowOff>
    </xdr:to>
    <xdr:sp macro="" textlink="">
      <xdr:nvSpPr>
        <xdr:cNvPr id="2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A00-00001D000000}"/>
            </a:ext>
          </a:extLst>
        </xdr:cNvPr>
        <xdr:cNvSpPr>
          <a:spLocks noChangeArrowheads="1"/>
        </xdr:cNvSpPr>
      </xdr:nvSpPr>
      <xdr:spPr bwMode="auto">
        <a:xfrm>
          <a:off x="4286838" y="1576671"/>
          <a:ext cx="41676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2091264</xdr:colOff>
      <xdr:row>7</xdr:row>
      <xdr:rowOff>34517</xdr:rowOff>
    </xdr:from>
    <xdr:to>
      <xdr:col>6</xdr:col>
      <xdr:colOff>644619</xdr:colOff>
      <xdr:row>7</xdr:row>
      <xdr:rowOff>224897</xdr:rowOff>
    </xdr:to>
    <xdr:sp macro="" textlink="">
      <xdr:nvSpPr>
        <xdr:cNvPr id="3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A00-00001E000000}"/>
            </a:ext>
          </a:extLst>
        </xdr:cNvPr>
        <xdr:cNvSpPr>
          <a:spLocks noChangeArrowheads="1"/>
        </xdr:cNvSpPr>
      </xdr:nvSpPr>
      <xdr:spPr bwMode="auto">
        <a:xfrm>
          <a:off x="4744929" y="1576671"/>
          <a:ext cx="64885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681858</xdr:colOff>
      <xdr:row>7</xdr:row>
      <xdr:rowOff>34517</xdr:rowOff>
    </xdr:from>
    <xdr:to>
      <xdr:col>7</xdr:col>
      <xdr:colOff>1178</xdr:colOff>
      <xdr:row>7</xdr:row>
      <xdr:rowOff>224897</xdr:rowOff>
    </xdr:to>
    <xdr:sp macro="" textlink="">
      <xdr:nvSpPr>
        <xdr:cNvPr id="3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A00-00001F000000}"/>
            </a:ext>
          </a:extLst>
        </xdr:cNvPr>
        <xdr:cNvSpPr>
          <a:spLocks noChangeArrowheads="1"/>
        </xdr:cNvSpPr>
      </xdr:nvSpPr>
      <xdr:spPr bwMode="auto">
        <a:xfrm>
          <a:off x="5427213" y="1576671"/>
          <a:ext cx="737200" cy="19038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bibliotheek</a:t>
          </a:r>
        </a:p>
      </xdr:txBody>
    </xdr:sp>
    <xdr:clientData/>
  </xdr:twoCellAnchor>
  <xdr:twoCellAnchor>
    <xdr:from>
      <xdr:col>23</xdr:col>
      <xdr:colOff>9525</xdr:colOff>
      <xdr:row>30</xdr:row>
      <xdr:rowOff>0</xdr:rowOff>
    </xdr:from>
    <xdr:to>
      <xdr:col>27</xdr:col>
      <xdr:colOff>0</xdr:colOff>
      <xdr:row>45</xdr:row>
      <xdr:rowOff>0</xdr:rowOff>
    </xdr:to>
    <xdr:sp macro="" textlink="">
      <xdr:nvSpPr>
        <xdr:cNvPr id="2" name="Tekstvak 1">
          <a:extLst>
            <a:ext uri="{FF2B5EF4-FFF2-40B4-BE49-F238E27FC236}">
              <a16:creationId xmlns:a16="http://schemas.microsoft.com/office/drawing/2014/main" id="{00000000-0008-0000-0A00-000002000000}"/>
            </a:ext>
          </a:extLst>
        </xdr:cNvPr>
        <xdr:cNvSpPr txBox="1"/>
      </xdr:nvSpPr>
      <xdr:spPr>
        <a:xfrm>
          <a:off x="18935700" y="6286500"/>
          <a:ext cx="338137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000" b="1"/>
            <a:t>Bepalen gemiddelde Rc-waarde (m2K/W)</a:t>
          </a:r>
        </a:p>
        <a:p>
          <a:pPr algn="l"/>
          <a:r>
            <a:rPr lang="nl-NL" sz="1000"/>
            <a:t>Als binnen een bouwdeel (bg vloer, gevel, dak) verschillende Rc-waarden voorkomen, moet de gemiddelde Rc-waarde hier worden ingevuld.</a:t>
          </a:r>
        </a:p>
        <a:p>
          <a:pPr algn="l"/>
          <a:endParaRPr lang="nl-NL" sz="1000"/>
        </a:p>
        <a:p>
          <a:pPr algn="l"/>
          <a:r>
            <a:rPr lang="nl-NL" sz="1000"/>
            <a:t>Bereken de gemiddelde Rc per bouwdeel niet als rekenkundig oppervlaktegewogen gemiddelde van de Rc-waarden, maar bepaal de gemiddelde Rc-waarde (R</a:t>
          </a:r>
          <a:r>
            <a:rPr lang="nl-NL" sz="1000" baseline="-25000"/>
            <a:t>c,gem</a:t>
          </a:r>
          <a:r>
            <a:rPr lang="nl-NL" sz="1000"/>
            <a:t>)</a:t>
          </a:r>
          <a:r>
            <a:rPr lang="nl-NL" sz="1000" baseline="0"/>
            <a:t> </a:t>
          </a:r>
          <a:r>
            <a:rPr lang="nl-NL" sz="1000"/>
            <a:t>via de gemiddelde oppervlaktegewogen warmtedoorgangscoëfficiënt U</a:t>
          </a:r>
        </a:p>
        <a:p>
          <a:pPr algn="l"/>
          <a:r>
            <a:rPr lang="nl-NL" sz="1000"/>
            <a:t>(U = 1/(R</a:t>
          </a:r>
          <a:r>
            <a:rPr lang="nl-NL" sz="1000" baseline="-25000"/>
            <a:t>c</a:t>
          </a:r>
          <a:r>
            <a:rPr lang="nl-NL" sz="1000"/>
            <a:t>+R</a:t>
          </a:r>
          <a:r>
            <a:rPr lang="nl-NL" sz="1000" baseline="-25000"/>
            <a:t>i+e</a:t>
          </a:r>
          <a:r>
            <a:rPr lang="nl-NL" sz="1000"/>
            <a:t>)</a:t>
          </a:r>
          <a:r>
            <a:rPr lang="nl-NL" sz="1000" baseline="0"/>
            <a:t> in </a:t>
          </a:r>
          <a:r>
            <a:rPr lang="nl-NL" sz="1000"/>
            <a:t>W/m2K).</a:t>
          </a:r>
        </a:p>
        <a:p>
          <a:pPr algn="l"/>
          <a:endParaRPr lang="nl-NL" sz="1000"/>
        </a:p>
        <a:p>
          <a:pPr algn="l"/>
          <a:r>
            <a:rPr lang="nl-NL" sz="1000"/>
            <a:t>R</a:t>
          </a:r>
          <a:r>
            <a:rPr lang="nl-NL" sz="1000" baseline="-25000"/>
            <a:t>c,gem </a:t>
          </a:r>
          <a:r>
            <a:rPr lang="nl-NL" sz="1000"/>
            <a:t>= 1 / </a:t>
          </a:r>
          <a:r>
            <a:rPr lang="nl-NL" sz="1000" b="1"/>
            <a:t>( </a:t>
          </a:r>
          <a:r>
            <a:rPr lang="nl-NL" sz="1000"/>
            <a:t>∑</a:t>
          </a:r>
          <a:r>
            <a:rPr lang="nl-NL" sz="1000" baseline="-25000"/>
            <a:t>(1-x)</a:t>
          </a:r>
          <a:r>
            <a:rPr lang="nl-NL" sz="1000"/>
            <a:t>( A</a:t>
          </a:r>
          <a:r>
            <a:rPr lang="nl-NL" sz="1000" baseline="-25000"/>
            <a:t>x</a:t>
          </a:r>
          <a:r>
            <a:rPr lang="nl-NL" sz="1000"/>
            <a:t>/(R</a:t>
          </a:r>
          <a:r>
            <a:rPr lang="nl-NL" sz="1000" baseline="-25000"/>
            <a:t>c,x</a:t>
          </a:r>
          <a:r>
            <a:rPr lang="nl-NL" sz="1000"/>
            <a:t>+R</a:t>
          </a:r>
          <a:r>
            <a:rPr lang="nl-NL" sz="1000" baseline="-25000"/>
            <a:t>i+e</a:t>
          </a:r>
          <a:r>
            <a:rPr lang="nl-NL" sz="1000"/>
            <a:t>) )  /  </a:t>
          </a:r>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a:t>
          </a:r>
          <a:r>
            <a:rPr lang="nl-NL" sz="1000" b="1">
              <a:solidFill>
                <a:schemeClr val="dk1"/>
              </a:solidFill>
              <a:effectLst/>
              <a:latin typeface="+mn-lt"/>
              <a:ea typeface="+mn-ea"/>
              <a:cs typeface="+mn-cs"/>
            </a:rPr>
            <a:t>)</a:t>
          </a:r>
          <a:r>
            <a:rPr lang="nl-NL" sz="1000">
              <a:solidFill>
                <a:schemeClr val="dk1"/>
              </a:solidFill>
              <a:effectLst/>
              <a:latin typeface="+mn-lt"/>
              <a:ea typeface="+mn-ea"/>
              <a:cs typeface="+mn-cs"/>
            </a:rPr>
            <a:t>   -   R</a:t>
          </a:r>
          <a:r>
            <a:rPr lang="nl-NL" sz="1000" baseline="-25000">
              <a:solidFill>
                <a:schemeClr val="dk1"/>
              </a:solidFill>
              <a:effectLst/>
              <a:latin typeface="+mn-lt"/>
              <a:ea typeface="+mn-ea"/>
              <a:cs typeface="+mn-cs"/>
            </a:rPr>
            <a:t>i+e</a:t>
          </a:r>
        </a:p>
        <a:p>
          <a:pPr algn="l"/>
          <a:endParaRPr lang="nl-NL" sz="1000">
            <a:solidFill>
              <a:schemeClr val="dk1"/>
            </a:solidFill>
            <a:effectLst/>
            <a:latin typeface="+mn-lt"/>
            <a:ea typeface="+mn-ea"/>
            <a:cs typeface="+mn-cs"/>
          </a:endParaRPr>
        </a:p>
        <a:p>
          <a:pPr algn="l"/>
          <a:r>
            <a:rPr lang="nl-NL" sz="1000">
              <a:solidFill>
                <a:schemeClr val="dk1"/>
              </a:solidFill>
              <a:effectLst/>
              <a:latin typeface="+mn-lt"/>
              <a:ea typeface="+mn-ea"/>
              <a:cs typeface="+mn-cs"/>
            </a:rPr>
            <a:t>waarbij:</a:t>
          </a:r>
        </a:p>
        <a:p>
          <a:pPr algn="l"/>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 = sommatie van alle bouwdelen 1 t/m x</a:t>
          </a:r>
        </a:p>
        <a:p>
          <a:pPr algn="l"/>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 oppervlakte van bouwdeel</a:t>
          </a:r>
          <a:r>
            <a:rPr lang="nl-NL" sz="1000" baseline="0">
              <a:solidFill>
                <a:schemeClr val="dk1"/>
              </a:solidFill>
              <a:effectLst/>
              <a:latin typeface="+mn-lt"/>
              <a:ea typeface="+mn-ea"/>
              <a:cs typeface="+mn-cs"/>
            </a:rPr>
            <a:t>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c,x </a:t>
          </a:r>
          <a:r>
            <a:rPr lang="nl-NL" sz="1000" baseline="0">
              <a:solidFill>
                <a:schemeClr val="dk1"/>
              </a:solidFill>
              <a:effectLst/>
              <a:latin typeface="+mn-lt"/>
              <a:ea typeface="+mn-ea"/>
              <a:cs typeface="+mn-cs"/>
            </a:rPr>
            <a:t>= Rc-waarde van bouwdeel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i+e </a:t>
          </a:r>
          <a:r>
            <a:rPr lang="nl-NL" sz="1000" baseline="0">
              <a:solidFill>
                <a:schemeClr val="dk1"/>
              </a:solidFill>
              <a:effectLst/>
              <a:latin typeface="+mn-lt"/>
              <a:ea typeface="+mn-ea"/>
              <a:cs typeface="+mn-cs"/>
            </a:rPr>
            <a:t>= overgangsweerstand binnen en buiten</a:t>
          </a:r>
          <a:endParaRPr lang="nl-NL" sz="1000"/>
        </a:p>
      </xdr:txBody>
    </xdr:sp>
    <xdr:clientData/>
  </xdr:twoCellAnchor>
  <xdr:twoCellAnchor editAs="oneCell">
    <xdr:from>
      <xdr:col>63</xdr:col>
      <xdr:colOff>828260</xdr:colOff>
      <xdr:row>251</xdr:row>
      <xdr:rowOff>159123</xdr:rowOff>
    </xdr:from>
    <xdr:to>
      <xdr:col>69</xdr:col>
      <xdr:colOff>499079</xdr:colOff>
      <xdr:row>493</xdr:row>
      <xdr:rowOff>64842</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55382698" y="65857811"/>
          <a:ext cx="5100069" cy="29271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19</xdr:row>
      <xdr:rowOff>0</xdr:rowOff>
    </xdr:from>
    <xdr:to>
      <xdr:col>10</xdr:col>
      <xdr:colOff>800099</xdr:colOff>
      <xdr:row>47</xdr:row>
      <xdr:rowOff>152402</xdr:rowOff>
    </xdr:to>
    <xdr:graphicFrame macro="">
      <xdr:nvGraphicFramePr>
        <xdr:cNvPr id="2" name="Grafiek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19</xdr:row>
      <xdr:rowOff>0</xdr:rowOff>
    </xdr:from>
    <xdr:to>
      <xdr:col>33</xdr:col>
      <xdr:colOff>0</xdr:colOff>
      <xdr:row>47</xdr:row>
      <xdr:rowOff>123827</xdr:rowOff>
    </xdr:to>
    <xdr:graphicFrame macro="">
      <xdr:nvGraphicFramePr>
        <xdr:cNvPr id="3" name="Grafiek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19</xdr:row>
      <xdr:rowOff>0</xdr:rowOff>
    </xdr:from>
    <xdr:to>
      <xdr:col>44</xdr:col>
      <xdr:colOff>0</xdr:colOff>
      <xdr:row>47</xdr:row>
      <xdr:rowOff>123827</xdr:rowOff>
    </xdr:to>
    <xdr:graphicFrame macro="">
      <xdr:nvGraphicFramePr>
        <xdr:cNvPr id="4" name="Grafiek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xdr:colOff>
      <xdr:row>19</xdr:row>
      <xdr:rowOff>0</xdr:rowOff>
    </xdr:from>
    <xdr:to>
      <xdr:col>22</xdr:col>
      <xdr:colOff>0</xdr:colOff>
      <xdr:row>47</xdr:row>
      <xdr:rowOff>123827</xdr:rowOff>
    </xdr:to>
    <xdr:graphicFrame macro="">
      <xdr:nvGraphicFramePr>
        <xdr:cNvPr id="8" name="Grafiek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121920</xdr:colOff>
      <xdr:row>45</xdr:row>
      <xdr:rowOff>137160</xdr:rowOff>
    </xdr:from>
    <xdr:to>
      <xdr:col>3</xdr:col>
      <xdr:colOff>373380</xdr:colOff>
      <xdr:row>47</xdr:row>
      <xdr:rowOff>22860</xdr:rowOff>
    </xdr:to>
    <xdr:sp macro="" textlink="$E$4">
      <xdr:nvSpPr>
        <xdr:cNvPr id="5" name="Tekstvak 4">
          <a:extLst>
            <a:ext uri="{FF2B5EF4-FFF2-40B4-BE49-F238E27FC236}">
              <a16:creationId xmlns:a16="http://schemas.microsoft.com/office/drawing/2014/main" id="{00000000-0008-0000-0C00-000005000000}"/>
            </a:ext>
          </a:extLst>
        </xdr:cNvPr>
        <xdr:cNvSpPr txBox="1"/>
      </xdr:nvSpPr>
      <xdr:spPr>
        <a:xfrm>
          <a:off x="25908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67B9A82-9CE2-44AB-A5F9-697C80FF8E07}" type="TxLink">
            <a:rPr lang="en-US" sz="1000" b="0" i="0" u="none" strike="noStrike">
              <a:solidFill>
                <a:sysClr val="windowText" lastClr="000000"/>
              </a:solidFill>
              <a:latin typeface="Calibri"/>
              <a:cs typeface="Calibri"/>
            </a:rPr>
            <a:pPr/>
            <a:t>woning</a:t>
          </a:fld>
          <a:endParaRPr lang="nl-NL" sz="1100">
            <a:solidFill>
              <a:sysClr val="windowText" lastClr="000000"/>
            </a:solidFill>
          </a:endParaRPr>
        </a:p>
      </xdr:txBody>
    </xdr:sp>
    <xdr:clientData/>
  </xdr:twoCellAnchor>
  <xdr:twoCellAnchor>
    <xdr:from>
      <xdr:col>12</xdr:col>
      <xdr:colOff>129540</xdr:colOff>
      <xdr:row>45</xdr:row>
      <xdr:rowOff>106680</xdr:rowOff>
    </xdr:from>
    <xdr:to>
      <xdr:col>14</xdr:col>
      <xdr:colOff>350520</xdr:colOff>
      <xdr:row>46</xdr:row>
      <xdr:rowOff>175260</xdr:rowOff>
    </xdr:to>
    <xdr:sp macro="" textlink="$P$4">
      <xdr:nvSpPr>
        <xdr:cNvPr id="6" name="Tekstvak 5">
          <a:extLst>
            <a:ext uri="{FF2B5EF4-FFF2-40B4-BE49-F238E27FC236}">
              <a16:creationId xmlns:a16="http://schemas.microsoft.com/office/drawing/2014/main" id="{00000000-0008-0000-0C00-000006000000}"/>
            </a:ext>
          </a:extLst>
        </xdr:cNvPr>
        <xdr:cNvSpPr txBox="1"/>
      </xdr:nvSpPr>
      <xdr:spPr>
        <a:xfrm>
          <a:off x="8061960" y="842772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6CADCA9-77B5-4149-81B2-16B2BCFAB221}" type="TxLink">
            <a:rPr lang="en-US" sz="1000" b="0" i="0" u="none" strike="noStrike">
              <a:solidFill>
                <a:sysClr val="windowText" lastClr="000000"/>
              </a:solidFill>
              <a:latin typeface="Calibri"/>
              <a:cs typeface="Calibri"/>
            </a:rPr>
            <a:pPr/>
            <a:t>woning</a:t>
          </a:fld>
          <a:endParaRPr lang="nl-NL" sz="1100">
            <a:solidFill>
              <a:sysClr val="windowText" lastClr="000000"/>
            </a:solidFill>
          </a:endParaRPr>
        </a:p>
      </xdr:txBody>
    </xdr:sp>
    <xdr:clientData/>
  </xdr:twoCellAnchor>
  <xdr:twoCellAnchor>
    <xdr:from>
      <xdr:col>14</xdr:col>
      <xdr:colOff>396240</xdr:colOff>
      <xdr:row>45</xdr:row>
      <xdr:rowOff>106680</xdr:rowOff>
    </xdr:from>
    <xdr:to>
      <xdr:col>15</xdr:col>
      <xdr:colOff>533400</xdr:colOff>
      <xdr:row>46</xdr:row>
      <xdr:rowOff>175260</xdr:rowOff>
    </xdr:to>
    <xdr:sp macro="" textlink="$U$4">
      <xdr:nvSpPr>
        <xdr:cNvPr id="7" name="Tekstvak 6">
          <a:extLst>
            <a:ext uri="{FF2B5EF4-FFF2-40B4-BE49-F238E27FC236}">
              <a16:creationId xmlns:a16="http://schemas.microsoft.com/office/drawing/2014/main" id="{00000000-0008-0000-0C00-000007000000}"/>
            </a:ext>
          </a:extLst>
        </xdr:cNvPr>
        <xdr:cNvSpPr txBox="1"/>
      </xdr:nvSpPr>
      <xdr:spPr>
        <a:xfrm>
          <a:off x="9532620" y="8427720"/>
          <a:ext cx="93726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91FE042-E207-49E0-BA5E-453BE57529D6}" type="TxLink">
            <a:rPr lang="en-US" sz="1000" b="0" i="0" u="none" strike="noStrike">
              <a:solidFill>
                <a:schemeClr val="tx1"/>
              </a:solidFill>
              <a:latin typeface="Calibri"/>
              <a:cs typeface="Calibri"/>
            </a:rPr>
            <a:pPr/>
            <a:t>BENG</a:t>
          </a:fld>
          <a:endParaRPr lang="nl-NL" sz="1100">
            <a:solidFill>
              <a:schemeClr val="tx1"/>
            </a:solidFill>
          </a:endParaRPr>
        </a:p>
      </xdr:txBody>
    </xdr:sp>
    <xdr:clientData/>
  </xdr:twoCellAnchor>
  <xdr:twoCellAnchor>
    <xdr:from>
      <xdr:col>23</xdr:col>
      <xdr:colOff>137160</xdr:colOff>
      <xdr:row>45</xdr:row>
      <xdr:rowOff>114300</xdr:rowOff>
    </xdr:from>
    <xdr:to>
      <xdr:col>25</xdr:col>
      <xdr:colOff>624840</xdr:colOff>
      <xdr:row>47</xdr:row>
      <xdr:rowOff>0</xdr:rowOff>
    </xdr:to>
    <xdr:sp macro="" textlink="$AA$4">
      <xdr:nvSpPr>
        <xdr:cNvPr id="9" name="Tekstvak 8">
          <a:extLst>
            <a:ext uri="{FF2B5EF4-FFF2-40B4-BE49-F238E27FC236}">
              <a16:creationId xmlns:a16="http://schemas.microsoft.com/office/drawing/2014/main" id="{00000000-0008-0000-0C00-000009000000}"/>
            </a:ext>
          </a:extLst>
        </xdr:cNvPr>
        <xdr:cNvSpPr txBox="1"/>
      </xdr:nvSpPr>
      <xdr:spPr>
        <a:xfrm>
          <a:off x="161315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D68267B-7DB7-459F-A78E-CC6D569347E8}" type="TxLink">
            <a:rPr lang="en-US" sz="1000" b="0" i="0" u="none" strike="noStrike">
              <a:solidFill>
                <a:schemeClr val="tx1"/>
              </a:solidFill>
              <a:latin typeface="Calibri"/>
              <a:cs typeface="Calibri"/>
            </a:rPr>
            <a:pPr/>
            <a:t>woning</a:t>
          </a:fld>
          <a:endParaRPr lang="nl-NL" sz="1100">
            <a:solidFill>
              <a:schemeClr val="tx1"/>
            </a:solidFill>
          </a:endParaRPr>
        </a:p>
      </xdr:txBody>
    </xdr:sp>
    <xdr:clientData/>
  </xdr:twoCellAnchor>
  <xdr:twoCellAnchor>
    <xdr:from>
      <xdr:col>25</xdr:col>
      <xdr:colOff>685800</xdr:colOff>
      <xdr:row>45</xdr:row>
      <xdr:rowOff>114300</xdr:rowOff>
    </xdr:from>
    <xdr:to>
      <xdr:col>27</xdr:col>
      <xdr:colOff>510540</xdr:colOff>
      <xdr:row>47</xdr:row>
      <xdr:rowOff>0</xdr:rowOff>
    </xdr:to>
    <xdr:sp macro="" textlink="$X$21">
      <xdr:nvSpPr>
        <xdr:cNvPr id="11" name="Tekstvak 10">
          <a:extLst>
            <a:ext uri="{FF2B5EF4-FFF2-40B4-BE49-F238E27FC236}">
              <a16:creationId xmlns:a16="http://schemas.microsoft.com/office/drawing/2014/main" id="{00000000-0008-0000-0C00-00000B000000}"/>
            </a:ext>
          </a:extLst>
        </xdr:cNvPr>
        <xdr:cNvSpPr txBox="1"/>
      </xdr:nvSpPr>
      <xdr:spPr>
        <a:xfrm>
          <a:off x="176174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308EC97-09EF-445E-9457-0C03B4A03192}" type="TxLink">
            <a:rPr lang="en-US" sz="1000" b="0" i="0" u="none" strike="noStrike">
              <a:solidFill>
                <a:srgbClr val="000000"/>
              </a:solidFill>
              <a:latin typeface="Calibri"/>
              <a:cs typeface="Calibri"/>
            </a:rPr>
            <a:pPr/>
            <a:t>licht</a:t>
          </a:fld>
          <a:endParaRPr lang="nl-NL" sz="1100">
            <a:solidFill>
              <a:schemeClr val="tx1"/>
            </a:solidFill>
          </a:endParaRPr>
        </a:p>
      </xdr:txBody>
    </xdr:sp>
    <xdr:clientData/>
  </xdr:twoCellAnchor>
  <xdr:twoCellAnchor>
    <xdr:from>
      <xdr:col>29</xdr:col>
      <xdr:colOff>457200</xdr:colOff>
      <xdr:row>45</xdr:row>
      <xdr:rowOff>114300</xdr:rowOff>
    </xdr:from>
    <xdr:to>
      <xdr:col>31</xdr:col>
      <xdr:colOff>281940</xdr:colOff>
      <xdr:row>47</xdr:row>
      <xdr:rowOff>0</xdr:rowOff>
    </xdr:to>
    <xdr:sp macro="" textlink="$X$22">
      <xdr:nvSpPr>
        <xdr:cNvPr id="12" name="Tekstvak 11">
          <a:extLst>
            <a:ext uri="{FF2B5EF4-FFF2-40B4-BE49-F238E27FC236}">
              <a16:creationId xmlns:a16="http://schemas.microsoft.com/office/drawing/2014/main" id="{00000000-0008-0000-0C00-00000C000000}"/>
            </a:ext>
          </a:extLst>
        </xdr:cNvPr>
        <xdr:cNvSpPr txBox="1"/>
      </xdr:nvSpPr>
      <xdr:spPr>
        <a:xfrm>
          <a:off x="205892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2F0A635-C9E8-4BD0-9CEB-C7591726FA64}" type="TxLink">
            <a:rPr lang="en-US" sz="1000" b="0" i="0" u="none" strike="noStrike">
              <a:solidFill>
                <a:srgbClr val="000000"/>
              </a:solidFill>
              <a:latin typeface="Calibri"/>
              <a:cs typeface="Calibri"/>
            </a:rPr>
            <a:pPr/>
            <a:t>0,15 m2 raam/m2 GBO</a:t>
          </a:fld>
          <a:endParaRPr lang="nl-NL" sz="1100">
            <a:solidFill>
              <a:schemeClr val="tx1"/>
            </a:solidFill>
          </a:endParaRPr>
        </a:p>
      </xdr:txBody>
    </xdr:sp>
    <xdr:clientData/>
  </xdr:twoCellAnchor>
  <xdr:twoCellAnchor>
    <xdr:from>
      <xdr:col>27</xdr:col>
      <xdr:colOff>571500</xdr:colOff>
      <xdr:row>45</xdr:row>
      <xdr:rowOff>114300</xdr:rowOff>
    </xdr:from>
    <xdr:to>
      <xdr:col>29</xdr:col>
      <xdr:colOff>396240</xdr:colOff>
      <xdr:row>47</xdr:row>
      <xdr:rowOff>0</xdr:rowOff>
    </xdr:to>
    <xdr:sp macro="" textlink="$AF$4">
      <xdr:nvSpPr>
        <xdr:cNvPr id="13" name="Tekstvak 12">
          <a:extLst>
            <a:ext uri="{FF2B5EF4-FFF2-40B4-BE49-F238E27FC236}">
              <a16:creationId xmlns:a16="http://schemas.microsoft.com/office/drawing/2014/main" id="{00000000-0008-0000-0C00-00000D000000}"/>
            </a:ext>
          </a:extLst>
        </xdr:cNvPr>
        <xdr:cNvSpPr txBox="1"/>
      </xdr:nvSpPr>
      <xdr:spPr>
        <a:xfrm>
          <a:off x="191033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177A86-C1AF-41DF-8511-F72B9132B371}" type="TxLink">
            <a:rPr lang="en-US" sz="1000" b="0" i="0" u="none" strike="noStrike">
              <a:solidFill>
                <a:schemeClr val="tx1"/>
              </a:solidFill>
              <a:latin typeface="Calibri"/>
              <a:cs typeface="Calibri"/>
            </a:rPr>
            <a:pPr/>
            <a:t>balans (D2)</a:t>
          </a:fld>
          <a:endParaRPr lang="nl-NL" sz="1100">
            <a:solidFill>
              <a:schemeClr val="tx1"/>
            </a:solidFill>
          </a:endParaRPr>
        </a:p>
      </xdr:txBody>
    </xdr:sp>
    <xdr:clientData/>
  </xdr:twoCellAnchor>
  <xdr:twoCellAnchor>
    <xdr:from>
      <xdr:col>15</xdr:col>
      <xdr:colOff>586740</xdr:colOff>
      <xdr:row>45</xdr:row>
      <xdr:rowOff>106680</xdr:rowOff>
    </xdr:from>
    <xdr:to>
      <xdr:col>16</xdr:col>
      <xdr:colOff>365760</xdr:colOff>
      <xdr:row>46</xdr:row>
      <xdr:rowOff>175260</xdr:rowOff>
    </xdr:to>
    <xdr:sp macro="" textlink="$M$21">
      <xdr:nvSpPr>
        <xdr:cNvPr id="14" name="Tekstvak 13">
          <a:extLst>
            <a:ext uri="{FF2B5EF4-FFF2-40B4-BE49-F238E27FC236}">
              <a16:creationId xmlns:a16="http://schemas.microsoft.com/office/drawing/2014/main" id="{00000000-0008-0000-0C00-00000E000000}"/>
            </a:ext>
          </a:extLst>
        </xdr:cNvPr>
        <xdr:cNvSpPr txBox="1"/>
      </xdr:nvSpPr>
      <xdr:spPr>
        <a:xfrm>
          <a:off x="10523220" y="8427720"/>
          <a:ext cx="5791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267E50A-7D84-4E50-9E7A-48A99B34BAFA}" type="TxLink">
            <a:rPr lang="en-US" sz="1000" b="0" i="0" u="none" strike="noStrike">
              <a:solidFill>
                <a:srgbClr val="000000"/>
              </a:solidFill>
              <a:latin typeface="Calibri"/>
              <a:cs typeface="Calibri"/>
            </a:rPr>
            <a:pPr/>
            <a:t>licht</a:t>
          </a:fld>
          <a:endParaRPr lang="nl-NL" sz="1100">
            <a:solidFill>
              <a:sysClr val="windowText" lastClr="000000"/>
            </a:solidFill>
          </a:endParaRPr>
        </a:p>
      </xdr:txBody>
    </xdr:sp>
    <xdr:clientData/>
  </xdr:twoCellAnchor>
  <xdr:twoCellAnchor>
    <xdr:from>
      <xdr:col>3</xdr:col>
      <xdr:colOff>419100</xdr:colOff>
      <xdr:row>45</xdr:row>
      <xdr:rowOff>137160</xdr:rowOff>
    </xdr:from>
    <xdr:to>
      <xdr:col>5</xdr:col>
      <xdr:colOff>7620</xdr:colOff>
      <xdr:row>47</xdr:row>
      <xdr:rowOff>22860</xdr:rowOff>
    </xdr:to>
    <xdr:sp macro="" textlink="$J$4">
      <xdr:nvSpPr>
        <xdr:cNvPr id="15" name="Tekstvak 14">
          <a:extLst>
            <a:ext uri="{FF2B5EF4-FFF2-40B4-BE49-F238E27FC236}">
              <a16:creationId xmlns:a16="http://schemas.microsoft.com/office/drawing/2014/main" id="{00000000-0008-0000-0C00-00000F000000}"/>
            </a:ext>
          </a:extLst>
        </xdr:cNvPr>
        <xdr:cNvSpPr txBox="1"/>
      </xdr:nvSpPr>
      <xdr:spPr>
        <a:xfrm>
          <a:off x="149352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136C7D4-641B-4132-BE40-BDCC4EFB4343}" type="TxLink">
            <a:rPr lang="en-US" sz="1000" b="0" i="0" u="none" strike="noStrike">
              <a:solidFill>
                <a:schemeClr val="tx1"/>
              </a:solidFill>
              <a:latin typeface="Calibri"/>
              <a:cs typeface="Calibri"/>
            </a:rPr>
            <a:pPr/>
            <a:t>balans (D2)</a:t>
          </a:fld>
          <a:endParaRPr lang="nl-NL" sz="1100">
            <a:solidFill>
              <a:schemeClr val="tx1"/>
            </a:solidFill>
          </a:endParaRPr>
        </a:p>
      </xdr:txBody>
    </xdr:sp>
    <xdr:clientData/>
  </xdr:twoCellAnchor>
  <xdr:twoCellAnchor>
    <xdr:from>
      <xdr:col>5</xdr:col>
      <xdr:colOff>53340</xdr:colOff>
      <xdr:row>45</xdr:row>
      <xdr:rowOff>137160</xdr:rowOff>
    </xdr:from>
    <xdr:to>
      <xdr:col>6</xdr:col>
      <xdr:colOff>441960</xdr:colOff>
      <xdr:row>47</xdr:row>
      <xdr:rowOff>22860</xdr:rowOff>
    </xdr:to>
    <xdr:sp macro="" textlink="$B$21">
      <xdr:nvSpPr>
        <xdr:cNvPr id="16" name="Tekstvak 15">
          <a:extLst>
            <a:ext uri="{FF2B5EF4-FFF2-40B4-BE49-F238E27FC236}">
              <a16:creationId xmlns:a16="http://schemas.microsoft.com/office/drawing/2014/main" id="{00000000-0008-0000-0C00-000010000000}"/>
            </a:ext>
          </a:extLst>
        </xdr:cNvPr>
        <xdr:cNvSpPr txBox="1"/>
      </xdr:nvSpPr>
      <xdr:spPr>
        <a:xfrm>
          <a:off x="272796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FC92A0-D577-43E6-A853-509637CB1966}" type="TxLink">
            <a:rPr lang="en-US" sz="1000" b="0" i="0" u="none" strike="noStrike">
              <a:solidFill>
                <a:srgbClr val="000000"/>
              </a:solidFill>
              <a:latin typeface="Calibri"/>
              <a:cs typeface="Calibri"/>
            </a:rPr>
            <a:pPr/>
            <a:t>licht</a:t>
          </a:fld>
          <a:endParaRPr lang="nl-NL" sz="1100">
            <a:solidFill>
              <a:sysClr val="windowText" lastClr="000000"/>
            </a:solidFill>
          </a:endParaRPr>
        </a:p>
      </xdr:txBody>
    </xdr:sp>
    <xdr:clientData/>
  </xdr:twoCellAnchor>
  <xdr:twoCellAnchor>
    <xdr:from>
      <xdr:col>34</xdr:col>
      <xdr:colOff>114300</xdr:colOff>
      <xdr:row>45</xdr:row>
      <xdr:rowOff>121920</xdr:rowOff>
    </xdr:from>
    <xdr:to>
      <xdr:col>36</xdr:col>
      <xdr:colOff>335280</xdr:colOff>
      <xdr:row>47</xdr:row>
      <xdr:rowOff>7620</xdr:rowOff>
    </xdr:to>
    <xdr:sp macro="" textlink="$AL$4">
      <xdr:nvSpPr>
        <xdr:cNvPr id="17" name="Tekstvak 16">
          <a:extLst>
            <a:ext uri="{FF2B5EF4-FFF2-40B4-BE49-F238E27FC236}">
              <a16:creationId xmlns:a16="http://schemas.microsoft.com/office/drawing/2014/main" id="{00000000-0008-0000-0C00-000011000000}"/>
            </a:ext>
          </a:extLst>
        </xdr:cNvPr>
        <xdr:cNvSpPr txBox="1"/>
      </xdr:nvSpPr>
      <xdr:spPr>
        <a:xfrm>
          <a:off x="239039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2B007FB-4AAD-44DD-806F-EBD975D36AFF}" type="TxLink">
            <a:rPr lang="en-US" sz="1000" b="0" i="0" u="none" strike="noStrike">
              <a:solidFill>
                <a:schemeClr val="tx1"/>
              </a:solidFill>
              <a:latin typeface="Calibri"/>
              <a:cs typeface="Calibri"/>
            </a:rPr>
            <a:pPr/>
            <a:t>woning</a:t>
          </a:fld>
          <a:endParaRPr lang="nl-NL" sz="1100">
            <a:solidFill>
              <a:schemeClr val="tx1"/>
            </a:solidFill>
          </a:endParaRPr>
        </a:p>
      </xdr:txBody>
    </xdr:sp>
    <xdr:clientData/>
  </xdr:twoCellAnchor>
  <xdr:twoCellAnchor>
    <xdr:from>
      <xdr:col>36</xdr:col>
      <xdr:colOff>396240</xdr:colOff>
      <xdr:row>45</xdr:row>
      <xdr:rowOff>121920</xdr:rowOff>
    </xdr:from>
    <xdr:to>
      <xdr:col>38</xdr:col>
      <xdr:colOff>190500</xdr:colOff>
      <xdr:row>47</xdr:row>
      <xdr:rowOff>7620</xdr:rowOff>
    </xdr:to>
    <xdr:sp macro="" textlink="$AI$21">
      <xdr:nvSpPr>
        <xdr:cNvPr id="18" name="Tekstvak 17">
          <a:extLst>
            <a:ext uri="{FF2B5EF4-FFF2-40B4-BE49-F238E27FC236}">
              <a16:creationId xmlns:a16="http://schemas.microsoft.com/office/drawing/2014/main" id="{00000000-0008-0000-0C00-000012000000}"/>
            </a:ext>
          </a:extLst>
        </xdr:cNvPr>
        <xdr:cNvSpPr txBox="1"/>
      </xdr:nvSpPr>
      <xdr:spPr>
        <a:xfrm>
          <a:off x="253898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4DE24B2-05D6-4E10-90BD-E3C1B410695E}" type="TxLink">
            <a:rPr lang="en-US" sz="1000" b="0" i="0" u="none" strike="noStrike">
              <a:solidFill>
                <a:srgbClr val="000000"/>
              </a:solidFill>
              <a:latin typeface="Calibri"/>
              <a:cs typeface="Calibri"/>
            </a:rPr>
            <a:pPr/>
            <a:t>licht</a:t>
          </a:fld>
          <a:endParaRPr lang="nl-NL" sz="1100">
            <a:solidFill>
              <a:schemeClr val="tx1"/>
            </a:solidFill>
          </a:endParaRPr>
        </a:p>
      </xdr:txBody>
    </xdr:sp>
    <xdr:clientData/>
  </xdr:twoCellAnchor>
  <xdr:twoCellAnchor>
    <xdr:from>
      <xdr:col>40</xdr:col>
      <xdr:colOff>106680</xdr:colOff>
      <xdr:row>45</xdr:row>
      <xdr:rowOff>121920</xdr:rowOff>
    </xdr:from>
    <xdr:to>
      <xdr:col>41</xdr:col>
      <xdr:colOff>716280</xdr:colOff>
      <xdr:row>47</xdr:row>
      <xdr:rowOff>7620</xdr:rowOff>
    </xdr:to>
    <xdr:sp macro="" textlink="$AI$22">
      <xdr:nvSpPr>
        <xdr:cNvPr id="19" name="Tekstvak 18">
          <a:extLst>
            <a:ext uri="{FF2B5EF4-FFF2-40B4-BE49-F238E27FC236}">
              <a16:creationId xmlns:a16="http://schemas.microsoft.com/office/drawing/2014/main" id="{00000000-0008-0000-0C00-000013000000}"/>
            </a:ext>
          </a:extLst>
        </xdr:cNvPr>
        <xdr:cNvSpPr txBox="1"/>
      </xdr:nvSpPr>
      <xdr:spPr>
        <a:xfrm>
          <a:off x="283616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8CD37-A2DF-4231-AF00-C581C03A3FF8}" type="TxLink">
            <a:rPr lang="en-US" sz="1000" b="0" i="0" u="none" strike="noStrike">
              <a:solidFill>
                <a:srgbClr val="000000"/>
              </a:solidFill>
              <a:latin typeface="Calibri"/>
              <a:cs typeface="Calibri"/>
            </a:rPr>
            <a:pPr/>
            <a:t>0,15 m2 raam/m2 GBO</a:t>
          </a:fld>
          <a:endParaRPr lang="nl-NL" sz="1100">
            <a:solidFill>
              <a:schemeClr val="tx1"/>
            </a:solidFill>
          </a:endParaRPr>
        </a:p>
      </xdr:txBody>
    </xdr:sp>
    <xdr:clientData/>
  </xdr:twoCellAnchor>
  <xdr:twoCellAnchor>
    <xdr:from>
      <xdr:col>38</xdr:col>
      <xdr:colOff>251460</xdr:colOff>
      <xdr:row>45</xdr:row>
      <xdr:rowOff>121920</xdr:rowOff>
    </xdr:from>
    <xdr:to>
      <xdr:col>40</xdr:col>
      <xdr:colOff>45720</xdr:colOff>
      <xdr:row>47</xdr:row>
      <xdr:rowOff>7620</xdr:rowOff>
    </xdr:to>
    <xdr:sp macro="" textlink="$AQ$4">
      <xdr:nvSpPr>
        <xdr:cNvPr id="20" name="Tekstvak 19">
          <a:extLst>
            <a:ext uri="{FF2B5EF4-FFF2-40B4-BE49-F238E27FC236}">
              <a16:creationId xmlns:a16="http://schemas.microsoft.com/office/drawing/2014/main" id="{00000000-0008-0000-0C00-000014000000}"/>
            </a:ext>
          </a:extLst>
        </xdr:cNvPr>
        <xdr:cNvSpPr txBox="1"/>
      </xdr:nvSpPr>
      <xdr:spPr>
        <a:xfrm>
          <a:off x="268757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84081EF-E198-43C8-9E79-6A38C3D109CF}" type="TxLink">
            <a:rPr lang="en-US" sz="1000" b="0" i="0" u="none" strike="noStrike">
              <a:solidFill>
                <a:schemeClr val="tx1"/>
              </a:solidFill>
              <a:latin typeface="Calibri"/>
              <a:cs typeface="Calibri"/>
            </a:rPr>
            <a:pPr/>
            <a:t>2013-2019</a:t>
          </a:fld>
          <a:endParaRPr lang="nl-NL" sz="1100">
            <a:solidFill>
              <a:schemeClr val="tx1"/>
            </a:solidFill>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0.892</cdr:x>
      <cdr:y>0.3685</cdr:y>
    </cdr:from>
    <cdr:to>
      <cdr:x>0.96989</cdr:x>
      <cdr:y>0.41618</cdr:y>
    </cdr:to>
    <cdr:sp macro="" textlink="">
      <cdr:nvSpPr>
        <cdr:cNvPr id="2" name="Tekstvak 1">
          <a:extLst xmlns:a="http://schemas.openxmlformats.org/drawingml/2006/main">
            <a:ext uri="{FF2B5EF4-FFF2-40B4-BE49-F238E27FC236}">
              <a16:creationId xmlns:a16="http://schemas.microsoft.com/office/drawing/2014/main" id="{FD61E53C-F33B-9B28-6BD3-0EC927D4E7AE}"/>
            </a:ext>
          </a:extLst>
        </cdr:cNvPr>
        <cdr:cNvSpPr txBox="1"/>
      </cdr:nvSpPr>
      <cdr:spPr>
        <a:xfrm xmlns:a="http://schemas.openxmlformats.org/drawingml/2006/main">
          <a:off x="6545580" y="1943100"/>
          <a:ext cx="571500" cy="25146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6.xml><?xml version="1.0" encoding="utf-8"?>
<c:userShapes xmlns:c="http://schemas.openxmlformats.org/drawingml/2006/chart">
  <cdr:relSizeAnchor xmlns:cdr="http://schemas.openxmlformats.org/drawingml/2006/chartDrawing">
    <cdr:from>
      <cdr:x>0.88439</cdr:x>
      <cdr:y>0.2872</cdr:y>
    </cdr:from>
    <cdr:to>
      <cdr:x>0.96227</cdr:x>
      <cdr:y>0.33515</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489700" y="150622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7.xml><?xml version="1.0" encoding="utf-8"?>
<c:userShapes xmlns:c="http://schemas.openxmlformats.org/drawingml/2006/chart">
  <cdr:relSizeAnchor xmlns:cdr="http://schemas.openxmlformats.org/drawingml/2006/chartDrawing">
    <cdr:from>
      <cdr:x>0.8833</cdr:x>
      <cdr:y>0.23344</cdr:y>
    </cdr:from>
    <cdr:to>
      <cdr:x>0.95726</cdr:x>
      <cdr:y>0.28139</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824980" y="122428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8.xml><?xml version="1.0" encoding="utf-8"?>
<c:userShapes xmlns:c="http://schemas.openxmlformats.org/drawingml/2006/chart">
  <cdr:relSizeAnchor xmlns:cdr="http://schemas.openxmlformats.org/drawingml/2006/chartDrawing">
    <cdr:from>
      <cdr:x>0.87442</cdr:x>
      <cdr:y>0.29447</cdr:y>
    </cdr:from>
    <cdr:to>
      <cdr:x>0.94957</cdr:x>
      <cdr:y>0.34241</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649720" y="154432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4</xdr:col>
      <xdr:colOff>19050</xdr:colOff>
      <xdr:row>2</xdr:row>
      <xdr:rowOff>49650</xdr:rowOff>
    </xdr:from>
    <xdr:to>
      <xdr:col>4</xdr:col>
      <xdr:colOff>235050</xdr:colOff>
      <xdr:row>3</xdr:row>
      <xdr:rowOff>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100-00000C000000}"/>
            </a:ext>
          </a:extLst>
        </xdr:cNvPr>
        <xdr:cNvSpPr>
          <a:spLocks noChangeArrowheads="1"/>
        </xdr:cNvSpPr>
      </xdr:nvSpPr>
      <xdr:spPr bwMode="auto">
        <a:xfrm>
          <a:off x="600075" y="611625"/>
          <a:ext cx="2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257984</xdr:colOff>
      <xdr:row>2</xdr:row>
      <xdr:rowOff>49477</xdr:rowOff>
    </xdr:from>
    <xdr:to>
      <xdr:col>4</xdr:col>
      <xdr:colOff>1373984</xdr:colOff>
      <xdr:row>2</xdr:row>
      <xdr:rowOff>247477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100-00000D000000}"/>
            </a:ext>
          </a:extLst>
        </xdr:cNvPr>
        <xdr:cNvSpPr>
          <a:spLocks noChangeArrowheads="1"/>
        </xdr:cNvSpPr>
      </xdr:nvSpPr>
      <xdr:spPr bwMode="auto">
        <a:xfrm>
          <a:off x="839009" y="611452"/>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1400016</xdr:colOff>
      <xdr:row>2</xdr:row>
      <xdr:rowOff>49477</xdr:rowOff>
    </xdr:from>
    <xdr:to>
      <xdr:col>4</xdr:col>
      <xdr:colOff>1832016</xdr:colOff>
      <xdr:row>2</xdr:row>
      <xdr:rowOff>247477</xdr:rowOff>
    </xdr:to>
    <xdr:sp macro="" textlink="">
      <xdr:nvSpPr>
        <xdr:cNvPr id="14"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100-00000E000000}"/>
            </a:ext>
          </a:extLst>
        </xdr:cNvPr>
        <xdr:cNvSpPr>
          <a:spLocks noChangeArrowheads="1"/>
        </xdr:cNvSpPr>
      </xdr:nvSpPr>
      <xdr:spPr bwMode="auto">
        <a:xfrm>
          <a:off x="1981041"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1858933</xdr:colOff>
      <xdr:row>2</xdr:row>
      <xdr:rowOff>49477</xdr:rowOff>
    </xdr:from>
    <xdr:to>
      <xdr:col>4</xdr:col>
      <xdr:colOff>2291741</xdr:colOff>
      <xdr:row>2</xdr:row>
      <xdr:rowOff>247477</xdr:rowOff>
    </xdr:to>
    <xdr:sp macro="" textlink="">
      <xdr:nvSpPr>
        <xdr:cNvPr id="1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100-00000F000000}"/>
            </a:ext>
          </a:extLst>
        </xdr:cNvPr>
        <xdr:cNvSpPr>
          <a:spLocks noChangeArrowheads="1"/>
        </xdr:cNvSpPr>
      </xdr:nvSpPr>
      <xdr:spPr bwMode="auto">
        <a:xfrm>
          <a:off x="2439958" y="611452"/>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4</xdr:col>
      <xdr:colOff>2327950</xdr:colOff>
      <xdr:row>2</xdr:row>
      <xdr:rowOff>49477</xdr:rowOff>
    </xdr:from>
    <xdr:to>
      <xdr:col>4</xdr:col>
      <xdr:colOff>2759950</xdr:colOff>
      <xdr:row>2</xdr:row>
      <xdr:rowOff>247477</xdr:rowOff>
    </xdr:to>
    <xdr:sp macro="" textlink="">
      <xdr:nvSpPr>
        <xdr:cNvPr id="1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100-000010000000}"/>
            </a:ext>
          </a:extLst>
        </xdr:cNvPr>
        <xdr:cNvSpPr>
          <a:spLocks noChangeArrowheads="1"/>
        </xdr:cNvSpPr>
      </xdr:nvSpPr>
      <xdr:spPr bwMode="auto">
        <a:xfrm>
          <a:off x="2908975"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4</xdr:col>
      <xdr:colOff>2791886</xdr:colOff>
      <xdr:row>2</xdr:row>
      <xdr:rowOff>49477</xdr:rowOff>
    </xdr:from>
    <xdr:to>
      <xdr:col>4</xdr:col>
      <xdr:colOff>3226268</xdr:colOff>
      <xdr:row>2</xdr:row>
      <xdr:rowOff>247477</xdr:rowOff>
    </xdr:to>
    <xdr:sp macro="" textlink="">
      <xdr:nvSpPr>
        <xdr:cNvPr id="1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100-000011000000}"/>
            </a:ext>
          </a:extLst>
        </xdr:cNvPr>
        <xdr:cNvSpPr>
          <a:spLocks noChangeArrowheads="1"/>
        </xdr:cNvSpPr>
      </xdr:nvSpPr>
      <xdr:spPr bwMode="auto">
        <a:xfrm>
          <a:off x="3372911" y="611452"/>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4</xdr:col>
      <xdr:colOff>3254881</xdr:colOff>
      <xdr:row>2</xdr:row>
      <xdr:rowOff>49477</xdr:rowOff>
    </xdr:from>
    <xdr:to>
      <xdr:col>4</xdr:col>
      <xdr:colOff>3686881</xdr:colOff>
      <xdr:row>2</xdr:row>
      <xdr:rowOff>247477</xdr:rowOff>
    </xdr:to>
    <xdr:sp macro="" textlink="">
      <xdr:nvSpPr>
        <xdr:cNvPr id="1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100-000012000000}"/>
            </a:ext>
          </a:extLst>
        </xdr:cNvPr>
        <xdr:cNvSpPr>
          <a:spLocks noChangeArrowheads="1"/>
        </xdr:cNvSpPr>
      </xdr:nvSpPr>
      <xdr:spPr bwMode="auto">
        <a:xfrm>
          <a:off x="3835906"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4</xdr:col>
      <xdr:colOff>3719148</xdr:colOff>
      <xdr:row>2</xdr:row>
      <xdr:rowOff>49477</xdr:rowOff>
    </xdr:from>
    <xdr:to>
      <xdr:col>4</xdr:col>
      <xdr:colOff>4151148</xdr:colOff>
      <xdr:row>2</xdr:row>
      <xdr:rowOff>247477</xdr:rowOff>
    </xdr:to>
    <xdr:sp macro="" textlink="">
      <xdr:nvSpPr>
        <xdr:cNvPr id="1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100-000013000000}"/>
            </a:ext>
          </a:extLst>
        </xdr:cNvPr>
        <xdr:cNvSpPr>
          <a:spLocks noChangeArrowheads="1"/>
        </xdr:cNvSpPr>
      </xdr:nvSpPr>
      <xdr:spPr bwMode="auto">
        <a:xfrm>
          <a:off x="4300173"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4</xdr:col>
      <xdr:colOff>4184859</xdr:colOff>
      <xdr:row>2</xdr:row>
      <xdr:rowOff>49477</xdr:rowOff>
    </xdr:from>
    <xdr:to>
      <xdr:col>4</xdr:col>
      <xdr:colOff>4850859</xdr:colOff>
      <xdr:row>2</xdr:row>
      <xdr:rowOff>247477</xdr:rowOff>
    </xdr:to>
    <xdr:sp macro="" textlink="">
      <xdr:nvSpPr>
        <xdr:cNvPr id="2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100-000014000000}"/>
            </a:ext>
          </a:extLst>
        </xdr:cNvPr>
        <xdr:cNvSpPr>
          <a:spLocks noChangeArrowheads="1"/>
        </xdr:cNvSpPr>
      </xdr:nvSpPr>
      <xdr:spPr bwMode="auto">
        <a:xfrm>
          <a:off x="4765884" y="611452"/>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4</xdr:col>
      <xdr:colOff>4874763</xdr:colOff>
      <xdr:row>2</xdr:row>
      <xdr:rowOff>49477</xdr:rowOff>
    </xdr:from>
    <xdr:to>
      <xdr:col>4</xdr:col>
      <xdr:colOff>5611403</xdr:colOff>
      <xdr:row>2</xdr:row>
      <xdr:rowOff>247477</xdr:rowOff>
    </xdr:to>
    <xdr:sp macro="" textlink="">
      <xdr:nvSpPr>
        <xdr:cNvPr id="2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100-000015000000}"/>
            </a:ext>
          </a:extLst>
        </xdr:cNvPr>
        <xdr:cNvSpPr>
          <a:spLocks noChangeArrowheads="1"/>
        </xdr:cNvSpPr>
      </xdr:nvSpPr>
      <xdr:spPr bwMode="auto">
        <a:xfrm>
          <a:off x="5455788" y="611452"/>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6</xdr:row>
      <xdr:rowOff>28748</xdr:rowOff>
    </xdr:from>
    <xdr:to>
      <xdr:col>4</xdr:col>
      <xdr:colOff>216000</xdr:colOff>
      <xdr:row>6</xdr:row>
      <xdr:rowOff>226748</xdr:rowOff>
    </xdr:to>
    <xdr:sp macro="" textlink="">
      <xdr:nvSpPr>
        <xdr:cNvPr id="21" name="Rectangle 3">
          <a:hlinkClick xmlns:r="http://schemas.openxmlformats.org/officeDocument/2006/relationships" r:id="rId1" tooltip="Naar de handleiding"/>
          <a:extLst>
            <a:ext uri="{FF2B5EF4-FFF2-40B4-BE49-F238E27FC236}">
              <a16:creationId xmlns:a16="http://schemas.microsoft.com/office/drawing/2014/main" id="{00000000-0008-0000-0200-000015000000}"/>
            </a:ext>
          </a:extLst>
        </xdr:cNvPr>
        <xdr:cNvSpPr>
          <a:spLocks noChangeArrowheads="1"/>
        </xdr:cNvSpPr>
      </xdr:nvSpPr>
      <xdr:spPr bwMode="auto">
        <a:xfrm>
          <a:off x="581025" y="1305098"/>
          <a:ext cx="2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6</xdr:row>
      <xdr:rowOff>28575</xdr:rowOff>
    </xdr:from>
    <xdr:to>
      <xdr:col>4</xdr:col>
      <xdr:colOff>1354934</xdr:colOff>
      <xdr:row>6</xdr:row>
      <xdr:rowOff>226575</xdr:rowOff>
    </xdr:to>
    <xdr:sp macro="" textlink="">
      <xdr:nvSpPr>
        <xdr:cNvPr id="22"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200-000016000000}"/>
            </a:ext>
          </a:extLst>
        </xdr:cNvPr>
        <xdr:cNvSpPr>
          <a:spLocks noChangeArrowheads="1"/>
        </xdr:cNvSpPr>
      </xdr:nvSpPr>
      <xdr:spPr bwMode="auto">
        <a:xfrm>
          <a:off x="819959" y="1304925"/>
          <a:ext cx="11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6</xdr:row>
      <xdr:rowOff>28575</xdr:rowOff>
    </xdr:from>
    <xdr:to>
      <xdr:col>4</xdr:col>
      <xdr:colOff>1812966</xdr:colOff>
      <xdr:row>6</xdr:row>
      <xdr:rowOff>226575</xdr:rowOff>
    </xdr:to>
    <xdr:sp macro="" textlink="">
      <xdr:nvSpPr>
        <xdr:cNvPr id="23"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200-000017000000}"/>
            </a:ext>
          </a:extLst>
        </xdr:cNvPr>
        <xdr:cNvSpPr>
          <a:spLocks noChangeArrowheads="1"/>
        </xdr:cNvSpPr>
      </xdr:nvSpPr>
      <xdr:spPr bwMode="auto">
        <a:xfrm>
          <a:off x="1961991"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6</xdr:row>
      <xdr:rowOff>28575</xdr:rowOff>
    </xdr:from>
    <xdr:to>
      <xdr:col>5</xdr:col>
      <xdr:colOff>167666</xdr:colOff>
      <xdr:row>6</xdr:row>
      <xdr:rowOff>226575</xdr:rowOff>
    </xdr:to>
    <xdr:sp macro="" textlink="">
      <xdr:nvSpPr>
        <xdr:cNvPr id="24"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200-000018000000}"/>
            </a:ext>
          </a:extLst>
        </xdr:cNvPr>
        <xdr:cNvSpPr>
          <a:spLocks noChangeArrowheads="1"/>
        </xdr:cNvSpPr>
      </xdr:nvSpPr>
      <xdr:spPr bwMode="auto">
        <a:xfrm>
          <a:off x="2420908" y="130492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203875</xdr:colOff>
      <xdr:row>6</xdr:row>
      <xdr:rowOff>28575</xdr:rowOff>
    </xdr:from>
    <xdr:to>
      <xdr:col>5</xdr:col>
      <xdr:colOff>635875</xdr:colOff>
      <xdr:row>6</xdr:row>
      <xdr:rowOff>226575</xdr:rowOff>
    </xdr:to>
    <xdr:sp macro="" textlink="">
      <xdr:nvSpPr>
        <xdr:cNvPr id="25"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200-000019000000}"/>
            </a:ext>
          </a:extLst>
        </xdr:cNvPr>
        <xdr:cNvSpPr>
          <a:spLocks noChangeArrowheads="1"/>
        </xdr:cNvSpPr>
      </xdr:nvSpPr>
      <xdr:spPr bwMode="auto">
        <a:xfrm>
          <a:off x="2889925"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667811</xdr:colOff>
      <xdr:row>6</xdr:row>
      <xdr:rowOff>28575</xdr:rowOff>
    </xdr:from>
    <xdr:to>
      <xdr:col>5</xdr:col>
      <xdr:colOff>1102193</xdr:colOff>
      <xdr:row>6</xdr:row>
      <xdr:rowOff>226575</xdr:rowOff>
    </xdr:to>
    <xdr:sp macro="" textlink="">
      <xdr:nvSpPr>
        <xdr:cNvPr id="26"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200-00001A000000}"/>
            </a:ext>
          </a:extLst>
        </xdr:cNvPr>
        <xdr:cNvSpPr>
          <a:spLocks noChangeArrowheads="1"/>
        </xdr:cNvSpPr>
      </xdr:nvSpPr>
      <xdr:spPr bwMode="auto">
        <a:xfrm>
          <a:off x="3353861" y="130492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1130806</xdr:colOff>
      <xdr:row>6</xdr:row>
      <xdr:rowOff>28575</xdr:rowOff>
    </xdr:from>
    <xdr:to>
      <xdr:col>5</xdr:col>
      <xdr:colOff>1562806</xdr:colOff>
      <xdr:row>6</xdr:row>
      <xdr:rowOff>226575</xdr:rowOff>
    </xdr:to>
    <xdr:sp macro="" textlink="">
      <xdr:nvSpPr>
        <xdr:cNvPr id="27"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200-00001B000000}"/>
            </a:ext>
          </a:extLst>
        </xdr:cNvPr>
        <xdr:cNvSpPr>
          <a:spLocks noChangeArrowheads="1"/>
        </xdr:cNvSpPr>
      </xdr:nvSpPr>
      <xdr:spPr bwMode="auto">
        <a:xfrm>
          <a:off x="3816856"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1595073</xdr:colOff>
      <xdr:row>6</xdr:row>
      <xdr:rowOff>28575</xdr:rowOff>
    </xdr:from>
    <xdr:to>
      <xdr:col>5</xdr:col>
      <xdr:colOff>2027073</xdr:colOff>
      <xdr:row>6</xdr:row>
      <xdr:rowOff>226575</xdr:rowOff>
    </xdr:to>
    <xdr:sp macro="" textlink="">
      <xdr:nvSpPr>
        <xdr:cNvPr id="28"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200-00001C000000}"/>
            </a:ext>
          </a:extLst>
        </xdr:cNvPr>
        <xdr:cNvSpPr>
          <a:spLocks noChangeArrowheads="1"/>
        </xdr:cNvSpPr>
      </xdr:nvSpPr>
      <xdr:spPr bwMode="auto">
        <a:xfrm>
          <a:off x="4281123"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2060784</xdr:colOff>
      <xdr:row>6</xdr:row>
      <xdr:rowOff>28575</xdr:rowOff>
    </xdr:from>
    <xdr:to>
      <xdr:col>6</xdr:col>
      <xdr:colOff>621759</xdr:colOff>
      <xdr:row>6</xdr:row>
      <xdr:rowOff>226575</xdr:rowOff>
    </xdr:to>
    <xdr:sp macro="" textlink="">
      <xdr:nvSpPr>
        <xdr:cNvPr id="29"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200-00001D000000}"/>
            </a:ext>
          </a:extLst>
        </xdr:cNvPr>
        <xdr:cNvSpPr>
          <a:spLocks noChangeArrowheads="1"/>
        </xdr:cNvSpPr>
      </xdr:nvSpPr>
      <xdr:spPr bwMode="auto">
        <a:xfrm>
          <a:off x="4746834" y="130492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645663</xdr:colOff>
      <xdr:row>6</xdr:row>
      <xdr:rowOff>28575</xdr:rowOff>
    </xdr:from>
    <xdr:to>
      <xdr:col>7</xdr:col>
      <xdr:colOff>1178</xdr:colOff>
      <xdr:row>6</xdr:row>
      <xdr:rowOff>226575</xdr:rowOff>
    </xdr:to>
    <xdr:sp macro="" textlink="">
      <xdr:nvSpPr>
        <xdr:cNvPr id="30"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200-00001E000000}"/>
            </a:ext>
          </a:extLst>
        </xdr:cNvPr>
        <xdr:cNvSpPr>
          <a:spLocks noChangeArrowheads="1"/>
        </xdr:cNvSpPr>
      </xdr:nvSpPr>
      <xdr:spPr bwMode="auto">
        <a:xfrm>
          <a:off x="5436738" y="130492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11" name="Handleiding">
          <a:hlinkClick xmlns:r="http://schemas.openxmlformats.org/officeDocument/2006/relationships" r:id="rId1" tooltip="Naar de handleiding"/>
          <a:extLst>
            <a:ext uri="{FF2B5EF4-FFF2-40B4-BE49-F238E27FC236}">
              <a16:creationId xmlns:a16="http://schemas.microsoft.com/office/drawing/2014/main" id="{00000000-0008-0000-0300-00000B000000}"/>
            </a:ext>
          </a:extLst>
        </xdr:cNvPr>
        <xdr:cNvSpPr>
          <a:spLocks noChangeArrowheads="1"/>
        </xdr:cNvSpPr>
      </xdr:nvSpPr>
      <xdr:spPr bwMode="auto">
        <a:xfrm>
          <a:off x="575080" y="1611748"/>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12"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300-00000C000000}"/>
            </a:ext>
          </a:extLst>
        </xdr:cNvPr>
        <xdr:cNvSpPr>
          <a:spLocks noChangeArrowheads="1"/>
        </xdr:cNvSpPr>
      </xdr:nvSpPr>
      <xdr:spPr bwMode="auto">
        <a:xfrm>
          <a:off x="810434" y="16115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13"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300-00000D000000}"/>
            </a:ext>
          </a:extLst>
        </xdr:cNvPr>
        <xdr:cNvSpPr>
          <a:spLocks noChangeArrowheads="1"/>
        </xdr:cNvSpPr>
      </xdr:nvSpPr>
      <xdr:spPr bwMode="auto">
        <a:xfrm>
          <a:off x="1952466" y="1611575"/>
          <a:ext cx="433361"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14"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300-00000E000000}"/>
            </a:ext>
          </a:extLst>
        </xdr:cNvPr>
        <xdr:cNvSpPr>
          <a:spLocks noChangeArrowheads="1"/>
        </xdr:cNvSpPr>
      </xdr:nvSpPr>
      <xdr:spPr bwMode="auto">
        <a:xfrm>
          <a:off x="2412744" y="16115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15"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300-00000F000000}"/>
            </a:ext>
          </a:extLst>
        </xdr:cNvPr>
        <xdr:cNvSpPr>
          <a:spLocks noChangeArrowheads="1"/>
        </xdr:cNvSpPr>
      </xdr:nvSpPr>
      <xdr:spPr bwMode="auto">
        <a:xfrm>
          <a:off x="2881761"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16"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300-000010000000}"/>
            </a:ext>
          </a:extLst>
        </xdr:cNvPr>
        <xdr:cNvSpPr>
          <a:spLocks noChangeArrowheads="1"/>
        </xdr:cNvSpPr>
      </xdr:nvSpPr>
      <xdr:spPr bwMode="auto">
        <a:xfrm>
          <a:off x="3345697" y="1611575"/>
          <a:ext cx="437103"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17"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300-000011000000}"/>
            </a:ext>
          </a:extLst>
        </xdr:cNvPr>
        <xdr:cNvSpPr>
          <a:spLocks noChangeArrowheads="1"/>
        </xdr:cNvSpPr>
      </xdr:nvSpPr>
      <xdr:spPr bwMode="auto">
        <a:xfrm>
          <a:off x="3811413"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18"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300-000012000000}"/>
            </a:ext>
          </a:extLst>
        </xdr:cNvPr>
        <xdr:cNvSpPr>
          <a:spLocks noChangeArrowheads="1"/>
        </xdr:cNvSpPr>
      </xdr:nvSpPr>
      <xdr:spPr bwMode="auto">
        <a:xfrm>
          <a:off x="4275680"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9"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300-000013000000}"/>
            </a:ext>
          </a:extLst>
        </xdr:cNvPr>
        <xdr:cNvSpPr>
          <a:spLocks noChangeArrowheads="1"/>
        </xdr:cNvSpPr>
      </xdr:nvSpPr>
      <xdr:spPr bwMode="auto">
        <a:xfrm>
          <a:off x="4744113" y="161157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29"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300-00001D000000}"/>
            </a:ext>
          </a:extLst>
        </xdr:cNvPr>
        <xdr:cNvSpPr>
          <a:spLocks noChangeArrowheads="1"/>
        </xdr:cNvSpPr>
      </xdr:nvSpPr>
      <xdr:spPr bwMode="auto">
        <a:xfrm>
          <a:off x="5434017" y="1611575"/>
          <a:ext cx="731197"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4123" name="Correctie_RV" hidden="1">
              <a:extLst>
                <a:ext uri="{63B3BB69-23CF-44E3-9099-C40C66FF867C}">
                  <a14:compatExt spid="_x0000_s4123"/>
                </a:ext>
                <a:ext uri="{FF2B5EF4-FFF2-40B4-BE49-F238E27FC236}">
                  <a16:creationId xmlns:a16="http://schemas.microsoft.com/office/drawing/2014/main" id="{00000000-0008-0000-03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4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4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4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400-000005000000}"/>
            </a:ext>
          </a:extLst>
        </xdr:cNvPr>
        <xdr:cNvSpPr>
          <a:spLocks noChangeArrowheads="1"/>
        </xdr:cNvSpPr>
      </xdr:nvSpPr>
      <xdr:spPr bwMode="auto">
        <a:xfrm>
          <a:off x="2420908" y="1584361"/>
          <a:ext cx="432808"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4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4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4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4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4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4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0129" name="Correctie_RV" hidden="1">
              <a:extLst>
                <a:ext uri="{63B3BB69-23CF-44E3-9099-C40C66FF867C}">
                  <a14:compatExt spid="_x0000_s560129"/>
                </a:ext>
                <a:ext uri="{FF2B5EF4-FFF2-40B4-BE49-F238E27FC236}">
                  <a16:creationId xmlns:a16="http://schemas.microsoft.com/office/drawing/2014/main" id="{00000000-0008-0000-04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5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5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5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5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500-000006000000}"/>
            </a:ext>
          </a:extLst>
        </xdr:cNvPr>
        <xdr:cNvSpPr>
          <a:spLocks noChangeArrowheads="1"/>
        </xdr:cNvSpPr>
      </xdr:nvSpPr>
      <xdr:spPr bwMode="auto">
        <a:xfrm>
          <a:off x="2889925"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5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5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5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5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5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1153" name="Correctie_RV" hidden="1">
              <a:extLst>
                <a:ext uri="{63B3BB69-23CF-44E3-9099-C40C66FF867C}">
                  <a14:compatExt spid="_x0000_s561153"/>
                </a:ext>
                <a:ext uri="{FF2B5EF4-FFF2-40B4-BE49-F238E27FC236}">
                  <a16:creationId xmlns:a16="http://schemas.microsoft.com/office/drawing/2014/main" id="{00000000-0008-0000-0500-0000019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6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6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6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6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6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600-000007000000}"/>
            </a:ext>
          </a:extLst>
        </xdr:cNvPr>
        <xdr:cNvSpPr>
          <a:spLocks noChangeArrowheads="1"/>
        </xdr:cNvSpPr>
      </xdr:nvSpPr>
      <xdr:spPr bwMode="auto">
        <a:xfrm>
          <a:off x="3353861" y="1584361"/>
          <a:ext cx="434382"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6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6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6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6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2177" name="Correctie_RV" hidden="1">
              <a:extLst>
                <a:ext uri="{63B3BB69-23CF-44E3-9099-C40C66FF867C}">
                  <a14:compatExt spid="_x0000_s562177"/>
                </a:ext>
                <a:ext uri="{FF2B5EF4-FFF2-40B4-BE49-F238E27FC236}">
                  <a16:creationId xmlns:a16="http://schemas.microsoft.com/office/drawing/2014/main" id="{00000000-0008-0000-06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7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7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7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7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7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7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700-000008000000}"/>
            </a:ext>
          </a:extLst>
        </xdr:cNvPr>
        <xdr:cNvSpPr>
          <a:spLocks noChangeArrowheads="1"/>
        </xdr:cNvSpPr>
      </xdr:nvSpPr>
      <xdr:spPr bwMode="auto">
        <a:xfrm>
          <a:off x="3816856"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7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7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7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3201" name="Correctie_RV" hidden="1">
              <a:extLst>
                <a:ext uri="{63B3BB69-23CF-44E3-9099-C40C66FF867C}">
                  <a14:compatExt spid="_x0000_s563201"/>
                </a:ext>
                <a:ext uri="{FF2B5EF4-FFF2-40B4-BE49-F238E27FC236}">
                  <a16:creationId xmlns:a16="http://schemas.microsoft.com/office/drawing/2014/main" id="{00000000-0008-0000-07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8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8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8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8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8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8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8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800-000009000000}"/>
            </a:ext>
          </a:extLst>
        </xdr:cNvPr>
        <xdr:cNvSpPr>
          <a:spLocks noChangeArrowheads="1"/>
        </xdr:cNvSpPr>
      </xdr:nvSpPr>
      <xdr:spPr bwMode="auto">
        <a:xfrm>
          <a:off x="4281123"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8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8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4225" name="Correctie_RV" hidden="1">
              <a:extLst>
                <a:ext uri="{63B3BB69-23CF-44E3-9099-C40C66FF867C}">
                  <a14:compatExt spid="_x0000_s564225"/>
                </a:ext>
                <a:ext uri="{FF2B5EF4-FFF2-40B4-BE49-F238E27FC236}">
                  <a16:creationId xmlns:a16="http://schemas.microsoft.com/office/drawing/2014/main" id="{00000000-0008-0000-0800-0000019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weadviseurs.sharepoint.com/sites/WE-TeamCOPI/Gedeelde%20documenten/5.%20Instrumenten/UMGO/09.%20UMGO%20Financieel%20-%20versie%20Jappe/UMGO%205%20WWW%20concepten%20%201,%203,%204,%2012,%2014,%2015,%2016%20-%20BEWERKT%20door%20Harry.xlsm" TargetMode="External"/><Relationship Id="rId1" Type="http://schemas.openxmlformats.org/officeDocument/2006/relationships/externalLinkPath" Target="file:///\\c1122p0620.cicwp.nl\8142-Userdata_P$\sites\WE-TeamCOPI\Gedeelde%20documenten\5.%20Instrumenten\UMGO\09.%20UMGO%20Financieel%20-%20versie%20Jappe\UMGO%205%20WWW%20concepten%20%201,%203,%204,%2012,%2014,%2015,%2016%20-%20BEWERKT%20door%20Harr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handleiding"/>
      <sheetName val="woningen|utiliteit"/>
      <sheetName val="variant 1"/>
      <sheetName val="variant 2"/>
      <sheetName val="variant 3"/>
      <sheetName val="variant 4"/>
      <sheetName val="variant 5"/>
      <sheetName val="variant 6"/>
      <sheetName val="resultaten"/>
      <sheetName val="rapport"/>
      <sheetName val="export voor www"/>
      <sheetName val="geld"/>
      <sheetName val="bibliotheek"/>
      <sheetName val="wijzigingen 5.0"/>
      <sheetName val="energiepakketten nieuwe woning"/>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3">
          <cell r="I83" t="str">
            <v>VR</v>
          </cell>
        </row>
        <row r="227">
          <cell r="I227" t="str">
            <v>nvt</v>
          </cell>
          <cell r="J227" t="str">
            <v>elektriciteit</v>
          </cell>
          <cell r="K227" t="str">
            <v>aardgas</v>
          </cell>
          <cell r="L227" t="str">
            <v>stookolie</v>
          </cell>
          <cell r="M227" t="str">
            <v>biomassa (bmA)</v>
          </cell>
          <cell r="N227" t="str">
            <v>biomassa (bmB)</v>
          </cell>
          <cell r="O227" t="str">
            <v>biomassa (bmC)</v>
          </cell>
          <cell r="P227" t="str">
            <v>externe warmte</v>
          </cell>
          <cell r="Q227" t="str">
            <v>externe koude</v>
          </cell>
          <cell r="R227" t="str">
            <v>bio-|groen gas</v>
          </cell>
          <cell r="S227" t="str">
            <v>AVI</v>
          </cell>
          <cell r="T227" t="str">
            <v>restwarmte</v>
          </cell>
        </row>
        <row r="321">
          <cell r="E321" t="str">
            <v>natuurlijk (A)</v>
          </cell>
          <cell r="G321" t="str">
            <v>kWh/m2</v>
          </cell>
          <cell r="I321">
            <v>18.778995801134073</v>
          </cell>
          <cell r="J321">
            <v>9.0618164510133283</v>
          </cell>
          <cell r="K321">
            <v>-1.2429640022508863</v>
          </cell>
          <cell r="L321">
            <v>15.35056554652931</v>
          </cell>
          <cell r="M321">
            <v>-5.6455728571322936</v>
          </cell>
          <cell r="N321">
            <v>97.294311688874672</v>
          </cell>
          <cell r="O321">
            <v>2.375058719678151</v>
          </cell>
          <cell r="P321">
            <v>-17.855897783637559</v>
          </cell>
          <cell r="Q321">
            <v>2.375058719678151</v>
          </cell>
          <cell r="R321">
            <v>19</v>
          </cell>
          <cell r="S321">
            <v>38.618000678654255</v>
          </cell>
          <cell r="T321">
            <v>38.618000678654255</v>
          </cell>
        </row>
        <row r="322">
          <cell r="E322" t="str">
            <v>mech (C1)</v>
          </cell>
          <cell r="G322" t="str">
            <v>kWh/m2</v>
          </cell>
          <cell r="I322">
            <v>11.009916570051516</v>
          </cell>
          <cell r="J322">
            <v>3.8538155108311827</v>
          </cell>
          <cell r="K322">
            <v>40.306697872991123</v>
          </cell>
          <cell r="L322">
            <v>74.272635191233903</v>
          </cell>
          <cell r="M322">
            <v>-2.8324125079391536</v>
          </cell>
          <cell r="N322">
            <v>128.12133316493339</v>
          </cell>
          <cell r="O322">
            <v>-3.6309719863250081</v>
          </cell>
          <cell r="P322">
            <v>-8.5034003102049667</v>
          </cell>
          <cell r="Q322">
            <v>-3.6309719863250081</v>
          </cell>
          <cell r="R322">
            <v>10.817170087227581</v>
          </cell>
          <cell r="S322">
            <v>31.078098740325309</v>
          </cell>
          <cell r="T322">
            <v>31.078098740325309</v>
          </cell>
        </row>
        <row r="323">
          <cell r="E323" t="str">
            <v>mech - CO2 (C4c)</v>
          </cell>
          <cell r="G323" t="str">
            <v>kWh/m2</v>
          </cell>
          <cell r="I323">
            <v>6.0683571325614967</v>
          </cell>
          <cell r="J323">
            <v>2.1241149916015312</v>
          </cell>
          <cell r="K323">
            <v>22.215921071818126</v>
          </cell>
          <cell r="L323">
            <v>40.936992814538051</v>
          </cell>
          <cell r="M323">
            <v>-1.5611463116498927</v>
          </cell>
          <cell r="N323">
            <v>70.616884423954673</v>
          </cell>
          <cell r="O323">
            <v>-2.0012898927210721</v>
          </cell>
          <cell r="P323">
            <v>-4.6868356899108194</v>
          </cell>
          <cell r="Q323">
            <v>-2.0012898927210721</v>
          </cell>
          <cell r="R323">
            <v>5.9621206786902308</v>
          </cell>
          <cell r="S323">
            <v>17.129376136264504</v>
          </cell>
          <cell r="T323">
            <v>17.129376136264504</v>
          </cell>
        </row>
        <row r="324">
          <cell r="E324" t="str">
            <v>balans (D1)</v>
          </cell>
          <cell r="G324" t="str">
            <v>kWh/m2</v>
          </cell>
          <cell r="I324">
            <v>-4.0334808685668122</v>
          </cell>
          <cell r="J324">
            <v>-11.25877536050632</v>
          </cell>
          <cell r="K324">
            <v>-1.1123803126455498</v>
          </cell>
          <cell r="L324">
            <v>55.952184563640266</v>
          </cell>
          <cell r="M324">
            <v>-6.3629624972518357</v>
          </cell>
          <cell r="N324">
            <v>7.0393796355470837</v>
          </cell>
          <cell r="O324">
            <v>-8.2687669690466095</v>
          </cell>
          <cell r="P324">
            <v>-16.514863153395563</v>
          </cell>
          <cell r="Q324">
            <v>-8.2687669690466095</v>
          </cell>
          <cell r="R324">
            <v>1.6306948449062828</v>
          </cell>
          <cell r="S324">
            <v>-0.03</v>
          </cell>
          <cell r="T324">
            <v>-0.03</v>
          </cell>
        </row>
        <row r="325">
          <cell r="E325" t="str">
            <v>balans WTW (D2)</v>
          </cell>
          <cell r="G325" t="str">
            <v>kWh/m2</v>
          </cell>
          <cell r="I325">
            <v>1.1959939120739449</v>
          </cell>
          <cell r="J325">
            <v>-14.991003007842707</v>
          </cell>
          <cell r="K325">
            <v>-1.4811288154153672</v>
          </cell>
          <cell r="L325">
            <v>-1.9631917714431779</v>
          </cell>
          <cell r="M325">
            <v>-5.9113671946463064</v>
          </cell>
          <cell r="N325">
            <v>6.5397773232526024</v>
          </cell>
          <cell r="O325">
            <v>-8.9076230278572552</v>
          </cell>
          <cell r="P325">
            <v>-16.030485167601999</v>
          </cell>
          <cell r="Q325">
            <v>10.504326754715208</v>
          </cell>
          <cell r="R325">
            <v>1.3950162673744533</v>
          </cell>
          <cell r="S325">
            <v>12.99</v>
          </cell>
          <cell r="T325">
            <v>12.99</v>
          </cell>
        </row>
        <row r="327">
          <cell r="E327" t="str">
            <v>natuurlijk (A)</v>
          </cell>
          <cell r="G327" t="str">
            <v>kWh/m2</v>
          </cell>
          <cell r="I327">
            <v>28.782700024450904</v>
          </cell>
          <cell r="J327">
            <v>36.814592464587712</v>
          </cell>
          <cell r="K327">
            <v>76.596612988078817</v>
          </cell>
          <cell r="L327">
            <v>73.727624196431563</v>
          </cell>
          <cell r="M327">
            <v>40.501867122561102</v>
          </cell>
          <cell r="N327">
            <v>46.685474230004786</v>
          </cell>
          <cell r="O327">
            <v>28.232086539361777</v>
          </cell>
          <cell r="P327">
            <v>23.843392511800541</v>
          </cell>
          <cell r="Q327">
            <v>28.232086539361777</v>
          </cell>
          <cell r="R327">
            <v>18.889043405628165</v>
          </cell>
          <cell r="S327">
            <v>47.965745868732967</v>
          </cell>
          <cell r="T327">
            <v>47.965745868732967</v>
          </cell>
        </row>
        <row r="328">
          <cell r="E328" t="str">
            <v>mech (C1)</v>
          </cell>
          <cell r="G328" t="str">
            <v>kWh/m2</v>
          </cell>
          <cell r="I328">
            <v>34.62390198325263</v>
          </cell>
          <cell r="J328">
            <v>43.686737008735896</v>
          </cell>
          <cell r="K328">
            <v>49.945191180450472</v>
          </cell>
          <cell r="L328">
            <v>32.194310457724569</v>
          </cell>
          <cell r="M328">
            <v>39.627691288837326</v>
          </cell>
          <cell r="N328">
            <v>37.530816258113887</v>
          </cell>
          <cell r="O328">
            <v>30.677212523207018</v>
          </cell>
          <cell r="P328">
            <v>15.701994376780558</v>
          </cell>
          <cell r="Q328">
            <v>30.677212523207018</v>
          </cell>
          <cell r="R328">
            <v>22.222404006621371</v>
          </cell>
          <cell r="S328">
            <v>44.133463424115213</v>
          </cell>
          <cell r="T328">
            <v>44.133463424115213</v>
          </cell>
        </row>
        <row r="329">
          <cell r="E329" t="str">
            <v>mech - CO2 (C4c)</v>
          </cell>
          <cell r="G329" t="str">
            <v>kWh/m2</v>
          </cell>
          <cell r="I329">
            <v>19.083723407015622</v>
          </cell>
          <cell r="J329">
            <v>24.07890381716674</v>
          </cell>
          <cell r="K329">
            <v>27.528388177024674</v>
          </cell>
          <cell r="L329">
            <v>17.74460071981435</v>
          </cell>
          <cell r="M329">
            <v>21.841671692016817</v>
          </cell>
          <cell r="N329">
            <v>20.685933002461866</v>
          </cell>
          <cell r="O329">
            <v>16.908418900165849</v>
          </cell>
          <cell r="P329">
            <v>8.6544987843927839</v>
          </cell>
          <cell r="Q329">
            <v>16.908418900165849</v>
          </cell>
          <cell r="R329">
            <v>12.248365643665636</v>
          </cell>
          <cell r="S329">
            <v>43.659344891707278</v>
          </cell>
          <cell r="T329">
            <v>43.659344891707278</v>
          </cell>
        </row>
        <row r="330">
          <cell r="E330" t="str">
            <v>balans (D1)</v>
          </cell>
          <cell r="G330" t="str">
            <v>kWh/m2</v>
          </cell>
          <cell r="I330">
            <v>30.454984834660923</v>
          </cell>
          <cell r="J330">
            <v>36.26245587776603</v>
          </cell>
          <cell r="K330">
            <v>48.33961864440694</v>
          </cell>
          <cell r="L330">
            <v>26.381724289707748</v>
          </cell>
          <cell r="M330">
            <v>39.964756267039462</v>
          </cell>
          <cell r="N330">
            <v>1.8532794081316093</v>
          </cell>
          <cell r="O330">
            <v>22.651341799340372</v>
          </cell>
          <cell r="P330">
            <v>15.889391561339293</v>
          </cell>
          <cell r="Q330">
            <v>22.651341799340372</v>
          </cell>
          <cell r="R330">
            <v>5.1752782943362448</v>
          </cell>
          <cell r="S330">
            <v>48.298423583368368</v>
          </cell>
          <cell r="T330">
            <v>48.298423583368368</v>
          </cell>
        </row>
        <row r="331">
          <cell r="E331" t="str">
            <v>balans WTW (D2)</v>
          </cell>
          <cell r="G331" t="str">
            <v>kWh/m2</v>
          </cell>
          <cell r="I331">
            <v>16.285405563736955</v>
          </cell>
          <cell r="J331">
            <v>34.156405483345303</v>
          </cell>
          <cell r="K331">
            <v>45.5321509633605</v>
          </cell>
          <cell r="L331">
            <v>36.575216718337622</v>
          </cell>
          <cell r="M331">
            <v>26.261431579327059</v>
          </cell>
          <cell r="N331">
            <v>1.8532794081316093</v>
          </cell>
          <cell r="O331">
            <v>23.247047835017348</v>
          </cell>
          <cell r="P331">
            <v>22.155338664289737</v>
          </cell>
          <cell r="Q331">
            <v>12.197602168531507</v>
          </cell>
          <cell r="R331">
            <v>1.8975382529309441</v>
          </cell>
          <cell r="S331">
            <v>43.099152864230959</v>
          </cell>
          <cell r="T331">
            <v>43.099152864230959</v>
          </cell>
        </row>
        <row r="333">
          <cell r="E333" t="str">
            <v>natuurlijk (A)</v>
          </cell>
          <cell r="G333" t="str">
            <v>kWh/m2</v>
          </cell>
          <cell r="I333">
            <v>1.4</v>
          </cell>
          <cell r="J333">
            <v>1.2</v>
          </cell>
          <cell r="K333">
            <v>0.52</v>
          </cell>
          <cell r="L333">
            <v>0.4</v>
          </cell>
          <cell r="M333">
            <v>1.1499999999999999</v>
          </cell>
          <cell r="N333">
            <v>0.91</v>
          </cell>
          <cell r="O333">
            <v>1.365</v>
          </cell>
          <cell r="P333">
            <v>1.1100000000000001</v>
          </cell>
          <cell r="Q333">
            <v>1.365</v>
          </cell>
          <cell r="R333">
            <v>1.41</v>
          </cell>
          <cell r="S333">
            <v>0.82</v>
          </cell>
          <cell r="T333">
            <v>0.82</v>
          </cell>
        </row>
        <row r="334">
          <cell r="E334" t="str">
            <v>mech (C1)</v>
          </cell>
          <cell r="G334" t="str">
            <v>kWh/m2</v>
          </cell>
          <cell r="I334">
            <v>1.33</v>
          </cell>
          <cell r="J334">
            <v>1.07</v>
          </cell>
          <cell r="K334">
            <v>1.07</v>
          </cell>
          <cell r="L334">
            <v>1.29</v>
          </cell>
          <cell r="M334">
            <v>1.23</v>
          </cell>
          <cell r="N334">
            <v>0.88</v>
          </cell>
          <cell r="O334">
            <v>1.39</v>
          </cell>
          <cell r="P334">
            <v>1.39</v>
          </cell>
          <cell r="Q334">
            <v>1.39</v>
          </cell>
          <cell r="R334">
            <v>1.41</v>
          </cell>
          <cell r="S334">
            <v>1.01</v>
          </cell>
          <cell r="T334">
            <v>1.01</v>
          </cell>
        </row>
        <row r="335">
          <cell r="E335" t="str">
            <v>mech - CO2 (C4c)</v>
          </cell>
          <cell r="G335" t="str">
            <v>kWh/m2</v>
          </cell>
          <cell r="I335">
            <v>1.93</v>
          </cell>
          <cell r="J335">
            <v>1.3</v>
          </cell>
          <cell r="K335">
            <v>0.84</v>
          </cell>
          <cell r="L335">
            <v>0.97</v>
          </cell>
          <cell r="M335">
            <v>1.25</v>
          </cell>
          <cell r="N335">
            <v>3.96</v>
          </cell>
          <cell r="O335">
            <v>1.64</v>
          </cell>
          <cell r="P335">
            <v>1.02</v>
          </cell>
          <cell r="Q335">
            <v>2.27</v>
          </cell>
          <cell r="R335">
            <v>3.5</v>
          </cell>
          <cell r="S335">
            <v>1.04</v>
          </cell>
          <cell r="T335">
            <v>1.04</v>
          </cell>
        </row>
        <row r="336">
          <cell r="E336" t="str">
            <v>balans (D1)</v>
          </cell>
          <cell r="G336" t="str">
            <v>kWh/m2</v>
          </cell>
          <cell r="I336">
            <v>1.38</v>
          </cell>
          <cell r="J336">
            <v>1.31</v>
          </cell>
          <cell r="K336">
            <v>0.89195876288659792</v>
          </cell>
          <cell r="L336">
            <v>1.03</v>
          </cell>
          <cell r="M336">
            <v>0.89</v>
          </cell>
          <cell r="N336">
            <v>2.8195199999999998</v>
          </cell>
          <cell r="O336">
            <v>1.44</v>
          </cell>
          <cell r="P336">
            <v>1.4</v>
          </cell>
          <cell r="Q336">
            <v>1.44</v>
          </cell>
          <cell r="R336">
            <v>0.6</v>
          </cell>
          <cell r="S336">
            <v>0.86</v>
          </cell>
          <cell r="T336">
            <v>0.86</v>
          </cell>
        </row>
        <row r="337">
          <cell r="E337" t="str">
            <v>balans WTW (D2)</v>
          </cell>
          <cell r="G337" t="str">
            <v>kWh/m2</v>
          </cell>
          <cell r="I337">
            <v>1.93</v>
          </cell>
          <cell r="J337">
            <v>1.3</v>
          </cell>
          <cell r="K337">
            <v>0.84</v>
          </cell>
          <cell r="L337">
            <v>0.97</v>
          </cell>
          <cell r="M337">
            <v>1.25</v>
          </cell>
          <cell r="N337">
            <v>3.96</v>
          </cell>
          <cell r="O337">
            <v>1.64</v>
          </cell>
          <cell r="P337">
            <v>1.02</v>
          </cell>
          <cell r="Q337">
            <v>2.27</v>
          </cell>
          <cell r="R337">
            <v>3.5</v>
          </cell>
          <cell r="S337">
            <v>1.06</v>
          </cell>
          <cell r="T337">
            <v>1.06</v>
          </cell>
        </row>
        <row r="366">
          <cell r="I366" t="str">
            <v>mech (C1)</v>
          </cell>
        </row>
      </sheetData>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rvo.nl/onderwerpen/verduurzaming-warmtevoorziening/uniforme-maat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stallatiemonitor.nl/" TargetMode="External"/><Relationship Id="rId13" Type="http://schemas.openxmlformats.org/officeDocument/2006/relationships/vmlDrawing" Target="../drawings/vmlDrawing7.vml"/><Relationship Id="rId3" Type="http://schemas.openxmlformats.org/officeDocument/2006/relationships/hyperlink" Target="https://www.internetconsultatie.nl/wijzigingwarmteregeling/document/1311" TargetMode="External"/><Relationship Id="rId7" Type="http://schemas.openxmlformats.org/officeDocument/2006/relationships/hyperlink" Target="https://bcrg.nl/nl/" TargetMode="External"/><Relationship Id="rId12" Type="http://schemas.openxmlformats.org/officeDocument/2006/relationships/drawing" Target="../drawings/drawing13.xml"/><Relationship Id="rId2" Type="http://schemas.openxmlformats.org/officeDocument/2006/relationships/hyperlink" Target="https://opendata.cbs.nl/statline/" TargetMode="External"/><Relationship Id="rId1" Type="http://schemas.openxmlformats.org/officeDocument/2006/relationships/hyperlink" Target="https://opendata.cbs.nl/statline/" TargetMode="External"/><Relationship Id="rId6" Type="http://schemas.openxmlformats.org/officeDocument/2006/relationships/hyperlink" Target="https://zoek.officielebekendmakingen.nl/stb-2019-501.html" TargetMode="External"/><Relationship Id="rId11" Type="http://schemas.openxmlformats.org/officeDocument/2006/relationships/printerSettings" Target="../printerSettings/printerSettings11.bin"/><Relationship Id="rId5" Type="http://schemas.openxmlformats.org/officeDocument/2006/relationships/hyperlink" Target="https://www.rvo.nl/onderwerpen/duurzaam-ondernemen/gebouwen/wetten-en-regels/standaard-en-streefwaarden-voor-woningisolatie" TargetMode="External"/><Relationship Id="rId10" Type="http://schemas.openxmlformats.org/officeDocument/2006/relationships/hyperlink" Target="https://www.rvo.nl/onderwerpen/renovatiestandaard" TargetMode="External"/><Relationship Id="rId4" Type="http://schemas.openxmlformats.org/officeDocument/2006/relationships/hyperlink" Target="https://wetten.overheid.nl/BWBR0020921/2021-07-01" TargetMode="External"/><Relationship Id="rId9" Type="http://schemas.openxmlformats.org/officeDocument/2006/relationships/hyperlink" Target="http://www.installatiemonitor.nl/" TargetMode="External"/><Relationship Id="rId1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vo.nl/onderwerpen/verduurzaming-warmtevoorziening/uniforme-maatla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70C0"/>
    <outlinePr showOutlineSymbols="0"/>
  </sheetPr>
  <dimension ref="D1:BH59"/>
  <sheetViews>
    <sheetView showGridLines="0" showRowColHeaders="0" tabSelected="1" zoomScaleNormal="100" workbookViewId="0">
      <pane ySplit="8" topLeftCell="A9" activePane="bottomLeft" state="frozen"/>
      <selection activeCell="L19" sqref="L19"/>
      <selection pane="bottomLeft" activeCell="E8" sqref="E8"/>
    </sheetView>
  </sheetViews>
  <sheetFormatPr defaultRowHeight="10.5" customHeight="1"/>
  <cols>
    <col min="1" max="1" width="0.5703125" customWidth="1"/>
    <col min="2" max="4" width="2.7109375" customWidth="1"/>
    <col min="5" max="5" width="102.42578125" style="38" customWidth="1"/>
    <col min="6" max="6" width="9.140625" style="276" customWidth="1"/>
    <col min="7" max="8" width="9.140625" customWidth="1"/>
  </cols>
  <sheetData>
    <row r="1" spans="4:60" s="822" customFormat="1" ht="21">
      <c r="D1" s="816"/>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4:60" ht="15.75">
      <c r="D2" s="55"/>
      <c r="E2" s="659"/>
    </row>
    <row r="3" spans="4:60" ht="15.75">
      <c r="D3" s="53"/>
      <c r="E3" s="54"/>
    </row>
    <row r="4" spans="4:60" ht="21">
      <c r="D4" s="55"/>
      <c r="E4" s="658"/>
    </row>
    <row r="5" spans="4:60" ht="15.75">
      <c r="D5" s="55"/>
      <c r="E5" s="659"/>
    </row>
    <row r="6" spans="4:60" ht="15.75">
      <c r="D6" s="55"/>
      <c r="E6" s="659"/>
    </row>
    <row r="7" spans="4:60" ht="21">
      <c r="D7" s="55"/>
      <c r="E7" s="493" t="s">
        <v>2010</v>
      </c>
    </row>
    <row r="8" spans="4:60" ht="12.75">
      <c r="D8" s="57"/>
      <c r="E8" s="781">
        <v>45779</v>
      </c>
    </row>
    <row r="9" spans="4:60" ht="191.25">
      <c r="D9" s="55"/>
      <c r="E9" s="794" t="s">
        <v>2027</v>
      </c>
      <c r="F9" s="734"/>
    </row>
    <row r="10" spans="4:60" ht="15.75">
      <c r="D10" s="53"/>
      <c r="E10" s="795"/>
    </row>
    <row r="11" spans="4:60" ht="15.75">
      <c r="D11" s="53"/>
      <c r="E11" s="1101" t="s">
        <v>0</v>
      </c>
    </row>
    <row r="12" spans="4:60" ht="15.75">
      <c r="D12" s="53"/>
      <c r="E12" s="782"/>
    </row>
    <row r="13" spans="4:60" ht="21">
      <c r="D13" s="53"/>
      <c r="E13" s="783" t="s">
        <v>1974</v>
      </c>
    </row>
    <row r="14" spans="4:60" ht="12.75">
      <c r="D14" s="57"/>
      <c r="E14" s="784" t="s">
        <v>1057</v>
      </c>
    </row>
    <row r="15" spans="4:60" ht="15.75">
      <c r="D15" s="53"/>
      <c r="E15" s="663" t="s">
        <v>2014</v>
      </c>
    </row>
    <row r="16" spans="4:60" ht="12.75">
      <c r="D16" s="57"/>
      <c r="E16" s="784" t="s">
        <v>11</v>
      </c>
    </row>
    <row r="17" spans="4:5" ht="51">
      <c r="D17" s="53"/>
      <c r="E17" s="663" t="s">
        <v>2022</v>
      </c>
    </row>
    <row r="18" spans="4:5" ht="15.75">
      <c r="D18" s="53"/>
      <c r="E18" s="663" t="s">
        <v>2029</v>
      </c>
    </row>
    <row r="19" spans="4:5" ht="15.75">
      <c r="D19" s="53"/>
      <c r="E19" s="663" t="s">
        <v>2028</v>
      </c>
    </row>
    <row r="20" spans="4:5" ht="15.75">
      <c r="D20" s="53"/>
      <c r="E20" s="663" t="s">
        <v>1013</v>
      </c>
    </row>
    <row r="21" spans="4:5" ht="15.75">
      <c r="D21" s="53"/>
      <c r="E21" s="782"/>
    </row>
    <row r="22" spans="4:5" ht="21">
      <c r="D22" s="53"/>
      <c r="E22" s="783" t="s">
        <v>1056</v>
      </c>
    </row>
    <row r="23" spans="4:5" ht="12.75">
      <c r="D23" s="57"/>
      <c r="E23" s="784" t="s">
        <v>1057</v>
      </c>
    </row>
    <row r="24" spans="4:5" ht="15.75">
      <c r="D24" s="53"/>
      <c r="E24" s="663" t="s">
        <v>1113</v>
      </c>
    </row>
    <row r="25" spans="4:5" ht="15.75">
      <c r="D25" s="53"/>
      <c r="E25" s="663" t="s">
        <v>1058</v>
      </c>
    </row>
    <row r="26" spans="4:5" ht="15.75">
      <c r="D26" s="53"/>
      <c r="E26" s="663" t="s">
        <v>1059</v>
      </c>
    </row>
    <row r="27" spans="4:5" ht="15.75">
      <c r="D27" s="53"/>
      <c r="E27" s="663" t="s">
        <v>1114</v>
      </c>
    </row>
    <row r="28" spans="4:5" ht="12.75">
      <c r="D28" s="57"/>
      <c r="E28" s="784" t="s">
        <v>11</v>
      </c>
    </row>
    <row r="29" spans="4:5" ht="15.75">
      <c r="D29" s="53"/>
      <c r="E29" s="663" t="s">
        <v>1013</v>
      </c>
    </row>
    <row r="30" spans="4:5" ht="15.75">
      <c r="D30" s="53"/>
      <c r="E30" s="663" t="s">
        <v>1118</v>
      </c>
    </row>
    <row r="31" spans="4:5" ht="15.75">
      <c r="D31" s="53"/>
      <c r="E31" s="663" t="s">
        <v>1059</v>
      </c>
    </row>
    <row r="32" spans="4:5" ht="15.75">
      <c r="D32" s="53"/>
      <c r="E32" s="782"/>
    </row>
    <row r="33" spans="4:5" ht="21">
      <c r="D33" s="53"/>
      <c r="E33" s="783" t="s">
        <v>1012</v>
      </c>
    </row>
    <row r="34" spans="4:5" ht="12.75">
      <c r="D34" s="57"/>
      <c r="E34" s="784" t="s">
        <v>11</v>
      </c>
    </row>
    <row r="35" spans="4:5" ht="15.75">
      <c r="D35" s="53"/>
      <c r="E35" s="663" t="s">
        <v>1013</v>
      </c>
    </row>
    <row r="36" spans="4:5" ht="15.75">
      <c r="D36" s="53"/>
      <c r="E36" s="782"/>
    </row>
    <row r="37" spans="4:5" ht="21">
      <c r="D37" s="53"/>
      <c r="E37" s="783" t="s">
        <v>1</v>
      </c>
    </row>
    <row r="38" spans="4:5" ht="12.75">
      <c r="D38" s="57"/>
      <c r="E38" s="784" t="s">
        <v>2</v>
      </c>
    </row>
    <row r="39" spans="4:5" ht="25.5">
      <c r="D39" s="53"/>
      <c r="E39" s="663" t="s">
        <v>3</v>
      </c>
    </row>
    <row r="40" spans="4:5" ht="15.75">
      <c r="D40" s="53"/>
      <c r="E40" s="962" t="s">
        <v>4</v>
      </c>
    </row>
    <row r="41" spans="4:5" ht="51">
      <c r="D41" s="53"/>
      <c r="E41" s="962" t="s">
        <v>5</v>
      </c>
    </row>
    <row r="42" spans="4:5" ht="15.75">
      <c r="D42" s="53"/>
      <c r="E42" s="962" t="s">
        <v>6</v>
      </c>
    </row>
    <row r="43" spans="4:5" ht="15.75">
      <c r="D43" s="53"/>
      <c r="E43" s="962" t="s">
        <v>7</v>
      </c>
    </row>
    <row r="44" spans="4:5" ht="15.75">
      <c r="D44" s="53"/>
      <c r="E44" s="962" t="s">
        <v>8</v>
      </c>
    </row>
    <row r="45" spans="4:5" ht="63.75">
      <c r="D45" s="53"/>
      <c r="E45" s="962" t="s">
        <v>9</v>
      </c>
    </row>
    <row r="46" spans="4:5" ht="15.75">
      <c r="D46" s="53"/>
      <c r="E46" s="782"/>
    </row>
    <row r="47" spans="4:5" ht="21">
      <c r="D47" s="53"/>
      <c r="E47" s="783" t="s">
        <v>10</v>
      </c>
    </row>
    <row r="48" spans="4:5" ht="12.75">
      <c r="D48" s="57"/>
      <c r="E48" s="784" t="s">
        <v>11</v>
      </c>
    </row>
    <row r="49" spans="4:5" ht="51">
      <c r="D49" s="53"/>
      <c r="E49" s="663" t="s">
        <v>12</v>
      </c>
    </row>
    <row r="50" spans="4:5" ht="15.75">
      <c r="D50" s="53"/>
      <c r="E50" s="663" t="s">
        <v>13</v>
      </c>
    </row>
    <row r="51" spans="4:5" ht="15.75">
      <c r="D51" s="53"/>
      <c r="E51" s="663" t="s">
        <v>14</v>
      </c>
    </row>
    <row r="52" spans="4:5" ht="15.75">
      <c r="D52" s="53"/>
      <c r="E52" s="663" t="s">
        <v>15</v>
      </c>
    </row>
    <row r="53" spans="4:5" ht="15.75">
      <c r="D53" s="53"/>
      <c r="E53" s="782"/>
    </row>
    <row r="54" spans="4:5" ht="21">
      <c r="D54" s="53"/>
      <c r="E54" s="783" t="s">
        <v>16</v>
      </c>
    </row>
    <row r="55" spans="4:5" ht="12.75">
      <c r="D55" s="57"/>
      <c r="E55" s="784" t="s">
        <v>17</v>
      </c>
    </row>
    <row r="56" spans="4:5" ht="15.75">
      <c r="D56" s="53"/>
      <c r="E56" s="796" t="s">
        <v>18</v>
      </c>
    </row>
    <row r="57" spans="4:5" ht="15.75">
      <c r="D57" s="56"/>
      <c r="E57" s="793"/>
    </row>
    <row r="58" spans="4:5" ht="21">
      <c r="D58" s="57"/>
      <c r="E58" s="783" t="s">
        <v>19</v>
      </c>
    </row>
    <row r="59" spans="4:5" ht="38.25">
      <c r="D59" s="56"/>
      <c r="E59" s="662" t="s">
        <v>20</v>
      </c>
    </row>
  </sheetData>
  <sheetProtection algorithmName="SHA-512" hashValue="lJTaEs3qXGJuXBq8e45KfT/IW6lmEDfgtdbHTtwSeD5Ji5AfaD0UrZJVntgstFc6R0W4yu+hGsMwKhC0QVBESg==" saltValue="RPp/4Bb6VRba5ofTfONK1g==" spinCount="100000" sheet="1" objects="1" scenarios="1" formatColumns="0" selectLockedCells="1" autoFilter="0" selectUnlockedCells="1"/>
  <phoneticPr fontId="0" type="noConversion"/>
  <hyperlinks>
    <hyperlink ref="E11" r:id="rId1" tooltip="Naar de website van UMGO" xr:uid="{00000000-0004-0000-0000-000003000000}"/>
    <hyperlink ref="E56" location="'wijzigingen 5.0'!A1" tooltip="naar tabblad met wijzigingen in UMGO 5.0 t.o.v. UMGO 4.3.2" display="&gt;&gt; Zie apart tabblad 'wijzigingen 5.0'" xr:uid="{CA896F1B-4477-4650-A3A3-C0E94D7D3815}"/>
  </hyperlinks>
  <pageMargins left="0.74803149606299213" right="0.74803149606299213" top="0.39370078740157483" bottom="0.39370078740157483" header="0.51181102362204722" footer="0.51181102362204722"/>
  <pageSetup paperSize="9" fitToHeight="2" orientation="portrait" r:id="rId2"/>
  <headerFooter alignWithMargins="0">
    <oddFooter>&amp;L_x000D_&amp;1#&amp;"Calibri"&amp;10&amp;K000000 Intern gebruik</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filterMode="1">
    <tabColor theme="6" tint="-0.249977111117893"/>
    <pageSetUpPr fitToPage="1"/>
  </sheetPr>
  <dimension ref="A1:BG248"/>
  <sheetViews>
    <sheetView showGridLines="0" showRowColHeaders="0" zoomScaleNormal="100" workbookViewId="0">
      <pane xSplit="11" ySplit="14" topLeftCell="L15" activePane="bottomRight" state="frozen"/>
      <selection pane="topRight" activeCell="L1" sqref="L1"/>
      <selection pane="bottomLeft" activeCell="A15" sqref="A15"/>
      <selection pane="bottomRight" activeCell="F6" sqref="F6:G6"/>
    </sheetView>
  </sheetViews>
  <sheetFormatPr defaultColWidth="12.7109375" defaultRowHeight="15.75"/>
  <cols>
    <col min="1" max="1" width="0.5703125" style="988" customWidth="1"/>
    <col min="2" max="2" width="2.7109375" style="790" customWidth="1"/>
    <col min="3" max="3" width="2.7109375" style="61" customWidth="1"/>
    <col min="4" max="4" width="2.7109375" customWidth="1"/>
    <col min="5" max="6" width="31" customWidth="1"/>
    <col min="7" max="7" width="21.85546875" customWidth="1"/>
    <col min="8" max="8" width="0.85546875" customWidth="1"/>
    <col min="9" max="11" width="26.85546875" hidden="1" customWidth="1"/>
    <col min="12" max="12" width="0.85546875" customWidth="1"/>
    <col min="13" max="18" width="18.7109375" customWidth="1"/>
    <col min="19" max="19" width="1.28515625" customWidth="1"/>
  </cols>
  <sheetData>
    <row r="1" spans="1:34" s="644" customFormat="1" ht="21">
      <c r="A1" s="980" t="s">
        <v>87</v>
      </c>
      <c r="B1" s="816"/>
      <c r="C1" s="816"/>
      <c r="D1" s="81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row>
    <row r="2" spans="1:34" ht="23.25">
      <c r="A2" s="981" t="s">
        <v>87</v>
      </c>
      <c r="B2" s="62"/>
      <c r="C2" s="668"/>
      <c r="D2" s="63"/>
      <c r="E2" s="59" t="s">
        <v>362</v>
      </c>
      <c r="G2" s="742"/>
      <c r="H2" s="60"/>
      <c r="I2" s="77"/>
      <c r="J2" s="77"/>
      <c r="K2" s="77"/>
      <c r="L2" s="60"/>
      <c r="M2" s="4"/>
      <c r="N2" s="11"/>
      <c r="O2" s="4"/>
      <c r="P2" s="9"/>
      <c r="Q2" s="9"/>
      <c r="R2" s="9"/>
      <c r="S2" s="4"/>
      <c r="T2" s="4"/>
    </row>
    <row r="3" spans="1:34" ht="15.75" customHeight="1">
      <c r="A3" s="981" t="s">
        <v>87</v>
      </c>
      <c r="B3" s="788"/>
      <c r="C3" s="669"/>
      <c r="D3" s="64"/>
      <c r="E3" s="1112" t="str">
        <f>"project: "&amp;IF('woningen|utiliteit'!$F$3="","",'woningen|utiliteit'!$F$3)</f>
        <v xml:space="preserve">project: </v>
      </c>
      <c r="F3" s="1113"/>
      <c r="G3" s="1124"/>
      <c r="H3" s="5"/>
      <c r="I3" s="71"/>
      <c r="J3" s="71"/>
      <c r="K3" s="71"/>
      <c r="L3" s="5"/>
      <c r="M3" s="5"/>
      <c r="N3" s="16"/>
      <c r="O3" s="5"/>
      <c r="P3" s="16"/>
      <c r="Q3" s="16"/>
      <c r="R3" s="16"/>
      <c r="S3" s="16"/>
    </row>
    <row r="4" spans="1:34" ht="15.75" customHeight="1">
      <c r="A4" s="981" t="s">
        <v>87</v>
      </c>
      <c r="B4" s="788"/>
      <c r="C4" s="670"/>
      <c r="D4" s="64"/>
      <c r="E4" s="855" t="s">
        <v>52</v>
      </c>
      <c r="F4" s="1117" t="str">
        <f>IF('woningen|utiliteit'!$F$4="","",'woningen|utiliteit'!$F$4)</f>
        <v/>
      </c>
      <c r="G4" s="1118"/>
      <c r="H4" s="4"/>
      <c r="I4" s="71"/>
      <c r="J4" s="71"/>
      <c r="K4" s="71"/>
      <c r="L4" s="4"/>
      <c r="M4" s="4"/>
      <c r="N4" s="9"/>
      <c r="O4" s="4"/>
      <c r="P4" s="9"/>
      <c r="Q4" s="9"/>
      <c r="R4" s="9"/>
      <c r="S4" s="9"/>
      <c r="T4" s="4"/>
    </row>
    <row r="5" spans="1:34" ht="15.75" customHeight="1">
      <c r="A5" s="981" t="s">
        <v>87</v>
      </c>
      <c r="B5" s="1123" t="s">
        <v>51</v>
      </c>
      <c r="C5" s="670"/>
      <c r="D5" s="743" t="s">
        <v>48</v>
      </c>
      <c r="E5" s="862" t="s">
        <v>363</v>
      </c>
      <c r="F5" s="1121" t="s">
        <v>364</v>
      </c>
      <c r="G5" s="1122"/>
      <c r="H5" s="4"/>
      <c r="I5" s="71"/>
      <c r="J5" s="71"/>
      <c r="K5" s="71"/>
      <c r="L5" s="4"/>
      <c r="M5" s="4"/>
      <c r="N5" s="9"/>
      <c r="O5" s="4"/>
      <c r="P5" s="9"/>
      <c r="Q5" s="9"/>
      <c r="R5" s="9"/>
      <c r="S5" s="9"/>
      <c r="T5" s="4"/>
    </row>
    <row r="6" spans="1:34" ht="15.75" customHeight="1">
      <c r="A6" s="981" t="s">
        <v>87</v>
      </c>
      <c r="B6" s="1123"/>
      <c r="C6" s="670"/>
      <c r="D6" s="743"/>
      <c r="E6" s="856" t="s">
        <v>53</v>
      </c>
      <c r="F6" s="1119"/>
      <c r="G6" s="1120"/>
      <c r="H6" s="4"/>
      <c r="I6" s="71"/>
      <c r="J6" s="71"/>
      <c r="K6" s="71"/>
      <c r="L6" s="4"/>
      <c r="M6" s="4"/>
      <c r="N6" s="4"/>
      <c r="O6" s="4"/>
      <c r="P6" s="9"/>
      <c r="Q6" s="9"/>
      <c r="R6" s="9"/>
      <c r="S6" s="9"/>
      <c r="T6" s="4"/>
    </row>
    <row r="7" spans="1:34" s="994" customFormat="1">
      <c r="A7" s="989" t="s">
        <v>87</v>
      </c>
      <c r="B7" s="1123"/>
      <c r="C7" s="990"/>
      <c r="D7" s="991"/>
      <c r="E7" s="992"/>
      <c r="F7" s="992"/>
      <c r="G7" s="992"/>
      <c r="H7" s="992"/>
      <c r="I7" s="993"/>
      <c r="J7" s="993"/>
      <c r="K7" s="993"/>
      <c r="L7" s="992"/>
      <c r="N7" s="992"/>
      <c r="O7" s="992"/>
      <c r="P7" s="992"/>
      <c r="Q7" s="992"/>
      <c r="R7" s="992"/>
      <c r="S7" s="995"/>
      <c r="T7" s="995"/>
    </row>
    <row r="8" spans="1:34" ht="21">
      <c r="A8" s="983" t="s">
        <v>87</v>
      </c>
      <c r="B8" s="789"/>
      <c r="C8" s="671"/>
      <c r="D8" s="750" t="s">
        <v>48</v>
      </c>
      <c r="E8" s="649"/>
      <c r="F8" s="33"/>
      <c r="G8" s="33"/>
      <c r="H8" s="33"/>
      <c r="I8" s="81" t="s">
        <v>365</v>
      </c>
      <c r="J8" s="78"/>
      <c r="K8" s="78"/>
      <c r="L8" s="33"/>
      <c r="M8" s="863" t="s">
        <v>364</v>
      </c>
      <c r="N8" s="863" t="s">
        <v>366</v>
      </c>
      <c r="O8" s="863" t="s">
        <v>367</v>
      </c>
      <c r="P8" s="863" t="s">
        <v>368</v>
      </c>
      <c r="Q8" s="863" t="s">
        <v>369</v>
      </c>
      <c r="R8" s="863" t="s">
        <v>370</v>
      </c>
      <c r="S8" s="4"/>
      <c r="T8" s="4"/>
    </row>
    <row r="9" spans="1:34" s="678" customFormat="1" ht="5.25" hidden="1">
      <c r="A9" s="982" t="s">
        <v>87</v>
      </c>
      <c r="B9" s="797"/>
      <c r="C9" s="751"/>
      <c r="D9" s="675"/>
      <c r="E9" s="676"/>
      <c r="F9" s="676"/>
      <c r="G9" s="676"/>
      <c r="H9" s="676"/>
      <c r="I9" s="643"/>
      <c r="J9" s="643"/>
      <c r="K9" s="643"/>
      <c r="L9" s="676"/>
      <c r="M9" s="676"/>
      <c r="N9" s="676"/>
      <c r="O9" s="676"/>
      <c r="P9" s="676"/>
      <c r="Q9" s="676"/>
      <c r="R9" s="676"/>
      <c r="S9" s="675"/>
      <c r="T9" s="675"/>
    </row>
    <row r="10" spans="1:34" ht="21">
      <c r="A10" s="981" t="s">
        <v>87</v>
      </c>
      <c r="B10" s="798" t="s">
        <v>371</v>
      </c>
      <c r="C10" s="672"/>
      <c r="D10" s="66"/>
      <c r="E10" s="215" t="s">
        <v>372</v>
      </c>
      <c r="F10" s="215"/>
      <c r="G10" s="215"/>
      <c r="H10" s="4"/>
      <c r="I10" s="623"/>
      <c r="J10" s="623"/>
      <c r="K10" s="623"/>
      <c r="M10" s="638"/>
      <c r="N10" s="638"/>
      <c r="O10" s="638"/>
      <c r="P10" s="638"/>
      <c r="Q10" s="638"/>
      <c r="R10" s="638"/>
      <c r="T10" s="4"/>
    </row>
    <row r="11" spans="1:34" ht="14.25">
      <c r="A11" s="981" t="s">
        <v>87</v>
      </c>
      <c r="B11" s="798" t="s">
        <v>371</v>
      </c>
      <c r="C11" s="672"/>
      <c r="D11" s="66"/>
      <c r="E11" s="182" t="s">
        <v>90</v>
      </c>
      <c r="F11" s="182"/>
      <c r="G11" s="182" t="s">
        <v>68</v>
      </c>
      <c r="H11" s="82"/>
      <c r="I11" s="624">
        <f>'variant 1'!$H$3</f>
        <v>0</v>
      </c>
      <c r="J11" s="624">
        <f ca="1">ROW(INDIRECT(RIGHT((_xlfn.FORMULATEXT($I11)),LEN(_xlfn.FORMULATEXT($I11))-1)))</f>
        <v>3</v>
      </c>
      <c r="K11" s="624">
        <f ca="1">COLUMN(INDIRECT(RIGHT((_xlfn.FORMULATEXT($I11)),LEN(_xlfn.FORMULATEXT($I11))-1)))</f>
        <v>8</v>
      </c>
      <c r="L11" s="82"/>
      <c r="M11" s="185">
        <f t="shared" ref="M11:R11" ca="1" si="0">_xlfn.SINGLE(IFERROR(_xlfn.SINGLE(INDIRECT(ADDRESS($J11,$K11,,,M$8))),""))</f>
        <v>0</v>
      </c>
      <c r="N11" s="185">
        <f t="shared" ca="1" si="0"/>
        <v>0</v>
      </c>
      <c r="O11" s="185">
        <f t="shared" ca="1" si="0"/>
        <v>0</v>
      </c>
      <c r="P11" s="185">
        <f t="shared" ca="1" si="0"/>
        <v>0</v>
      </c>
      <c r="Q11" s="185">
        <f t="shared" ca="1" si="0"/>
        <v>0</v>
      </c>
      <c r="R11" s="185">
        <f t="shared" ca="1" si="0"/>
        <v>0</v>
      </c>
      <c r="S11" s="5"/>
      <c r="T11" s="5"/>
    </row>
    <row r="12" spans="1:34" ht="14.25">
      <c r="A12" s="981" t="s">
        <v>87</v>
      </c>
      <c r="B12" s="798" t="s">
        <v>371</v>
      </c>
      <c r="C12" s="672"/>
      <c r="D12" s="66"/>
      <c r="E12" s="220" t="s">
        <v>373</v>
      </c>
      <c r="F12" s="220"/>
      <c r="G12" s="220" t="s">
        <v>68</v>
      </c>
      <c r="H12" s="33"/>
      <c r="I12" s="624" t="str">
        <f>'variant 1'!$F$5</f>
        <v>NTA8800</v>
      </c>
      <c r="J12" s="624">
        <f t="shared" ref="J12:J28" ca="1" si="1">ROW(INDIRECT(RIGHT((_xlfn.FORMULATEXT($I12)),LEN(_xlfn.FORMULATEXT($I12))-1)))</f>
        <v>5</v>
      </c>
      <c r="K12" s="624">
        <f t="shared" ref="K12:K28" ca="1" si="2">COLUMN(INDIRECT(RIGHT((_xlfn.FORMULATEXT($I12)),LEN(_xlfn.FORMULATEXT($I12))-1)))</f>
        <v>6</v>
      </c>
      <c r="L12" s="33"/>
      <c r="M12" s="625" t="str">
        <f t="shared" ref="M12:R12" ca="1" si="3">IFERROR(INDIRECT(ADDRESS($J12,$K12,,,M$8)),0)</f>
        <v>NTA8800</v>
      </c>
      <c r="N12" s="625" t="str">
        <f t="shared" ca="1" si="3"/>
        <v>NTA8800</v>
      </c>
      <c r="O12" s="625" t="str">
        <f t="shared" ca="1" si="3"/>
        <v>NTA8800</v>
      </c>
      <c r="P12" s="625" t="str">
        <f t="shared" ca="1" si="3"/>
        <v>NTA8800</v>
      </c>
      <c r="Q12" s="625" t="str">
        <f t="shared" ca="1" si="3"/>
        <v>NTA8800</v>
      </c>
      <c r="R12" s="625" t="str">
        <f t="shared" ca="1" si="3"/>
        <v>NTA8800</v>
      </c>
      <c r="S12" s="6"/>
      <c r="T12" s="4"/>
    </row>
    <row r="13" spans="1:34" ht="14.25">
      <c r="A13" s="981" t="s">
        <v>87</v>
      </c>
      <c r="B13" s="798" t="s">
        <v>371</v>
      </c>
      <c r="C13" s="672"/>
      <c r="D13" s="66"/>
      <c r="E13" s="220" t="s">
        <v>280</v>
      </c>
      <c r="F13" s="220"/>
      <c r="G13" s="220" t="s">
        <v>68</v>
      </c>
      <c r="H13" s="33"/>
      <c r="I13" s="628" t="e">
        <f>'variant 1'!#REF!</f>
        <v>#REF!</v>
      </c>
      <c r="J13" s="624" t="e">
        <f t="shared" ca="1" si="1"/>
        <v>#REF!</v>
      </c>
      <c r="K13" s="624" t="e">
        <f t="shared" ca="1" si="2"/>
        <v>#REF!</v>
      </c>
      <c r="L13" s="33"/>
      <c r="M13" s="625" cm="1">
        <f t="array" aca="1" ref="M13" ca="1">_xlfn.SINGLE(IFERROR(INDIRECT(ADDRESS($J13,$K13,,,M$8)),0))</f>
        <v>0</v>
      </c>
      <c r="N13" s="625" cm="1">
        <f t="array" aca="1" ref="N13" ca="1">_xlfn.SINGLE(IFERROR(INDIRECT(ADDRESS($J13,$K13,,,N$8)),0))</f>
        <v>0</v>
      </c>
      <c r="O13" s="625" cm="1">
        <f t="array" aca="1" ref="O13" ca="1">_xlfn.SINGLE(IFERROR(INDIRECT(ADDRESS($J13,$K13,,,O$8)),0))</f>
        <v>0</v>
      </c>
      <c r="P13" s="625" cm="1">
        <f t="array" aca="1" ref="P13" ca="1">_xlfn.SINGLE(IFERROR(INDIRECT(ADDRESS($J13,$K13,,,P$8)),0))</f>
        <v>0</v>
      </c>
      <c r="Q13" s="625" cm="1">
        <f t="array" aca="1" ref="Q13" ca="1">_xlfn.SINGLE(IFERROR(INDIRECT(ADDRESS($J13,$K13,,,Q$8)),0))</f>
        <v>0</v>
      </c>
      <c r="R13" s="625" cm="1">
        <f t="array" aca="1" ref="R13" ca="1">_xlfn.SINGLE(IFERROR(INDIRECT(ADDRESS($J13,$K13,,,R$8)),0))</f>
        <v>0</v>
      </c>
      <c r="S13" s="6"/>
      <c r="T13" s="4"/>
    </row>
    <row r="14" spans="1:34" ht="14.25">
      <c r="A14" s="981" t="s">
        <v>87</v>
      </c>
      <c r="B14" s="798" t="s">
        <v>371</v>
      </c>
      <c r="C14" s="672"/>
      <c r="D14" s="66"/>
      <c r="E14" s="220" t="s">
        <v>374</v>
      </c>
      <c r="F14" s="220"/>
      <c r="G14" s="220" t="s">
        <v>68</v>
      </c>
      <c r="H14" s="33"/>
      <c r="I14" s="628" t="str">
        <f>'variant 1'!F2</f>
        <v/>
      </c>
      <c r="J14" s="624">
        <f t="shared" ca="1" si="1"/>
        <v>2</v>
      </c>
      <c r="K14" s="624">
        <f t="shared" ca="1" si="2"/>
        <v>6</v>
      </c>
      <c r="L14" s="33"/>
      <c r="M14" s="625" t="str" cm="1">
        <f t="array" aca="1" ref="M14" ca="1">IF(M8="","",IFERROR(IF(INDIRECT(ADDRESS($J14,$K14,,,M$8))="","ja","nee"),"nee"))</f>
        <v>ja</v>
      </c>
      <c r="N14" s="625" t="str" cm="1">
        <f t="array" aca="1" ref="N14" ca="1">IF(N8="","",IFERROR(IF(INDIRECT(ADDRESS($J14,$K14,,,N$8))="","ja","nee"),"nee"))</f>
        <v>ja</v>
      </c>
      <c r="O14" s="625" t="str" cm="1">
        <f t="array" aca="1" ref="O14" ca="1">IF(O8="","",IFERROR(IF(INDIRECT(ADDRESS($J14,$K14,,,O$8))="","ja","nee"),"nee"))</f>
        <v>ja</v>
      </c>
      <c r="P14" s="625" t="str" cm="1">
        <f t="array" aca="1" ref="P14" ca="1">IF(P8="","",IFERROR(IF(INDIRECT(ADDRESS($J14,$K14,,,P$8))="","ja","nee"),"nee"))</f>
        <v>ja</v>
      </c>
      <c r="Q14" s="625" t="str" cm="1">
        <f t="array" aca="1" ref="Q14" ca="1">IF(Q8="","",IFERROR(IF(INDIRECT(ADDRESS($J14,$K14,,,Q$8))="","ja","nee"),"nee"))</f>
        <v>ja</v>
      </c>
      <c r="R14" s="625" t="str" cm="1">
        <f t="array" aca="1" ref="R14" ca="1">IF(R8="","",IFERROR(IF(INDIRECT(ADDRESS($J14,$K14,,,R$8))="","ja","nee"),"nee"))</f>
        <v>ja</v>
      </c>
      <c r="S14" s="6"/>
      <c r="T14" s="4"/>
    </row>
    <row r="15" spans="1:34" s="979" customFormat="1" ht="5.25">
      <c r="A15" s="984" t="s">
        <v>87</v>
      </c>
      <c r="B15" s="975" t="s">
        <v>371</v>
      </c>
      <c r="C15" s="976"/>
      <c r="D15" s="977"/>
      <c r="E15" s="978"/>
      <c r="F15" s="978"/>
      <c r="G15" s="978"/>
      <c r="H15" s="978"/>
      <c r="I15" s="1005"/>
      <c r="J15" s="1006"/>
      <c r="K15" s="1006"/>
      <c r="L15" s="978"/>
      <c r="M15" s="978"/>
      <c r="N15" s="978"/>
      <c r="O15" s="978"/>
      <c r="P15" s="978"/>
      <c r="Q15" s="978"/>
      <c r="R15" s="978"/>
      <c r="S15" s="977"/>
      <c r="T15" s="977"/>
    </row>
    <row r="16" spans="1:34" s="979" customFormat="1" ht="5.25" hidden="1">
      <c r="A16" s="984"/>
      <c r="B16" s="975"/>
      <c r="C16" s="976"/>
      <c r="D16" s="977"/>
      <c r="E16" s="978"/>
      <c r="F16" s="978"/>
      <c r="G16" s="978"/>
      <c r="H16" s="978"/>
      <c r="I16" s="1005"/>
      <c r="J16" s="1006"/>
      <c r="K16" s="1006"/>
      <c r="L16" s="978"/>
      <c r="M16" s="978"/>
      <c r="N16" s="978"/>
      <c r="O16" s="978"/>
      <c r="P16" s="978"/>
      <c r="Q16" s="978"/>
      <c r="R16" s="978"/>
      <c r="S16" s="977"/>
      <c r="T16" s="977"/>
    </row>
    <row r="17" spans="1:20" ht="21" hidden="1">
      <c r="A17" s="981" t="s">
        <v>87</v>
      </c>
      <c r="B17" s="798" t="s">
        <v>375</v>
      </c>
      <c r="C17" s="672"/>
      <c r="D17" s="66"/>
      <c r="E17" s="215" t="s">
        <v>376</v>
      </c>
      <c r="F17" s="215"/>
      <c r="G17" s="215"/>
      <c r="H17" s="4"/>
      <c r="I17" s="623"/>
      <c r="J17" s="623"/>
      <c r="K17" s="623"/>
      <c r="L17" s="33"/>
      <c r="M17" s="638"/>
      <c r="N17" s="638"/>
      <c r="O17" s="638"/>
      <c r="P17" s="638"/>
      <c r="Q17" s="638"/>
      <c r="R17" s="638"/>
      <c r="S17" s="4"/>
      <c r="T17" s="4"/>
    </row>
    <row r="18" spans="1:20" ht="14.25" hidden="1">
      <c r="A18" s="981" t="s">
        <v>87</v>
      </c>
      <c r="B18" s="798" t="s">
        <v>375</v>
      </c>
      <c r="C18" s="672"/>
      <c r="D18" s="66"/>
      <c r="E18" s="627" t="str">
        <f>"locatie 1"&amp;IF('woningen|utiliteit'!$L$17="","",": "&amp;'woningen|utiliteit'!$L$17)</f>
        <v>locatie 1</v>
      </c>
      <c r="F18" s="182"/>
      <c r="G18" s="182" t="s">
        <v>68</v>
      </c>
      <c r="H18" s="82"/>
      <c r="I18" s="628">
        <f>'variant 1'!$M$24</f>
        <v>0</v>
      </c>
      <c r="J18" s="624">
        <f t="shared" ca="1" si="1"/>
        <v>24</v>
      </c>
      <c r="K18" s="624">
        <f t="shared" ca="1" si="2"/>
        <v>13</v>
      </c>
      <c r="L18" s="82"/>
      <c r="M18" s="185">
        <f t="shared" ref="M18:R21" ca="1" si="4">IFERROR(INDIRECT(ADDRESS($J18,$K18,,,M$8)),0)</f>
        <v>0</v>
      </c>
      <c r="N18" s="185">
        <f t="shared" ca="1" si="4"/>
        <v>0</v>
      </c>
      <c r="O18" s="185">
        <f t="shared" ca="1" si="4"/>
        <v>0</v>
      </c>
      <c r="P18" s="185">
        <f t="shared" ca="1" si="4"/>
        <v>0</v>
      </c>
      <c r="Q18" s="185">
        <f t="shared" ca="1" si="4"/>
        <v>0</v>
      </c>
      <c r="R18" s="185">
        <f t="shared" ca="1" si="4"/>
        <v>0</v>
      </c>
      <c r="S18" s="5"/>
      <c r="T18" s="5"/>
    </row>
    <row r="19" spans="1:20" ht="14.25" hidden="1">
      <c r="A19" s="981" t="s">
        <v>87</v>
      </c>
      <c r="B19" s="798" t="s">
        <v>375</v>
      </c>
      <c r="C19" s="672"/>
      <c r="D19" s="66"/>
      <c r="E19" s="627" t="str">
        <f>"locatie 2"&amp;IF('woningen|utiliteit'!$L$31="","",": "&amp;'woningen|utiliteit'!$L$31)</f>
        <v>locatie 2</v>
      </c>
      <c r="F19" s="182"/>
      <c r="G19" s="182" t="s">
        <v>68</v>
      </c>
      <c r="H19" s="82"/>
      <c r="I19" s="628">
        <f>'variant 1'!$Y$24</f>
        <v>0</v>
      </c>
      <c r="J19" s="624">
        <f t="shared" ca="1" si="1"/>
        <v>24</v>
      </c>
      <c r="K19" s="624">
        <f t="shared" ca="1" si="2"/>
        <v>25</v>
      </c>
      <c r="L19" s="82"/>
      <c r="M19" s="185">
        <f t="shared" ca="1" si="4"/>
        <v>0</v>
      </c>
      <c r="N19" s="185">
        <f t="shared" ca="1" si="4"/>
        <v>0</v>
      </c>
      <c r="O19" s="185">
        <f t="shared" ca="1" si="4"/>
        <v>0</v>
      </c>
      <c r="P19" s="185">
        <f t="shared" ca="1" si="4"/>
        <v>0</v>
      </c>
      <c r="Q19" s="185">
        <f t="shared" ca="1" si="4"/>
        <v>0</v>
      </c>
      <c r="R19" s="185">
        <f t="shared" ca="1" si="4"/>
        <v>0</v>
      </c>
      <c r="S19" s="5"/>
      <c r="T19" s="5"/>
    </row>
    <row r="20" spans="1:20" ht="14.25" hidden="1">
      <c r="A20" s="981" t="s">
        <v>87</v>
      </c>
      <c r="B20" s="798" t="s">
        <v>375</v>
      </c>
      <c r="C20" s="672"/>
      <c r="D20" s="66"/>
      <c r="E20" s="627" t="str">
        <f>"locatie 3"&amp;IF('woningen|utiliteit'!$L$45="","",": "&amp;'woningen|utiliteit'!$L$45)</f>
        <v>locatie 3</v>
      </c>
      <c r="F20" s="182"/>
      <c r="G20" s="182" t="s">
        <v>68</v>
      </c>
      <c r="H20" s="82"/>
      <c r="I20" s="628">
        <f>'variant 1'!$AK$24</f>
        <v>0</v>
      </c>
      <c r="J20" s="624">
        <f t="shared" ca="1" si="1"/>
        <v>24</v>
      </c>
      <c r="K20" s="624">
        <f t="shared" ca="1" si="2"/>
        <v>37</v>
      </c>
      <c r="L20" s="82"/>
      <c r="M20" s="185">
        <f t="shared" ca="1" si="4"/>
        <v>0</v>
      </c>
      <c r="N20" s="185">
        <f t="shared" ca="1" si="4"/>
        <v>0</v>
      </c>
      <c r="O20" s="185">
        <f t="shared" ca="1" si="4"/>
        <v>0</v>
      </c>
      <c r="P20" s="185">
        <f t="shared" ca="1" si="4"/>
        <v>0</v>
      </c>
      <c r="Q20" s="185">
        <f t="shared" ca="1" si="4"/>
        <v>0</v>
      </c>
      <c r="R20" s="185">
        <f t="shared" ca="1" si="4"/>
        <v>0</v>
      </c>
      <c r="S20" s="5"/>
      <c r="T20" s="5"/>
    </row>
    <row r="21" spans="1:20" ht="14.25" hidden="1">
      <c r="A21" s="981" t="s">
        <v>87</v>
      </c>
      <c r="B21" s="798" t="s">
        <v>375</v>
      </c>
      <c r="C21" s="672"/>
      <c r="D21" s="66"/>
      <c r="E21" s="627" t="str">
        <f>"locatie 4"&amp;IF('woningen|utiliteit'!$L$59="","",": "&amp;'woningen|utiliteit'!$L$59)</f>
        <v>locatie 4</v>
      </c>
      <c r="F21" s="182"/>
      <c r="G21" s="182" t="s">
        <v>68</v>
      </c>
      <c r="H21" s="82"/>
      <c r="I21" s="628">
        <f>'variant 1'!$AW$24</f>
        <v>0</v>
      </c>
      <c r="J21" s="624">
        <f t="shared" ca="1" si="1"/>
        <v>24</v>
      </c>
      <c r="K21" s="624">
        <f t="shared" ca="1" si="2"/>
        <v>49</v>
      </c>
      <c r="L21" s="82"/>
      <c r="M21" s="185">
        <f t="shared" ca="1" si="4"/>
        <v>0</v>
      </c>
      <c r="N21" s="185">
        <f t="shared" ca="1" si="4"/>
        <v>0</v>
      </c>
      <c r="O21" s="185">
        <f t="shared" ca="1" si="4"/>
        <v>0</v>
      </c>
      <c r="P21" s="185">
        <f t="shared" ca="1" si="4"/>
        <v>0</v>
      </c>
      <c r="Q21" s="185">
        <f t="shared" ca="1" si="4"/>
        <v>0</v>
      </c>
      <c r="R21" s="185">
        <f t="shared" ca="1" si="4"/>
        <v>0</v>
      </c>
      <c r="S21" s="5"/>
      <c r="T21" s="5"/>
    </row>
    <row r="22" spans="1:20" ht="15" hidden="1">
      <c r="A22" s="981" t="s">
        <v>87</v>
      </c>
      <c r="B22" s="798" t="s">
        <v>375</v>
      </c>
      <c r="C22" s="672"/>
      <c r="D22" s="66"/>
      <c r="E22" s="182" t="s">
        <v>255</v>
      </c>
      <c r="F22" s="182"/>
      <c r="G22" s="182" t="s">
        <v>68</v>
      </c>
      <c r="H22" s="82"/>
      <c r="I22" s="628">
        <f>SUM(I18:I21)</f>
        <v>0</v>
      </c>
      <c r="J22" s="78"/>
      <c r="K22" s="78"/>
      <c r="L22" s="82"/>
      <c r="M22" s="223">
        <f t="shared" ref="M22:R22" ca="1" si="5">SUM(M18:M21)</f>
        <v>0</v>
      </c>
      <c r="N22" s="223">
        <f t="shared" ca="1" si="5"/>
        <v>0</v>
      </c>
      <c r="O22" s="223">
        <f t="shared" ca="1" si="5"/>
        <v>0</v>
      </c>
      <c r="P22" s="223">
        <f t="shared" ca="1" si="5"/>
        <v>0</v>
      </c>
      <c r="Q22" s="223">
        <f t="shared" ca="1" si="5"/>
        <v>0</v>
      </c>
      <c r="R22" s="223">
        <f t="shared" ca="1" si="5"/>
        <v>0</v>
      </c>
      <c r="S22" s="5"/>
      <c r="T22" s="5"/>
    </row>
    <row r="23" spans="1:20" ht="15" hidden="1">
      <c r="A23" s="981" t="s">
        <v>87</v>
      </c>
      <c r="B23" s="798" t="s">
        <v>375</v>
      </c>
      <c r="C23" s="9"/>
      <c r="D23" s="753"/>
      <c r="E23" s="33"/>
      <c r="F23" s="33"/>
      <c r="G23" s="33"/>
      <c r="H23" s="33"/>
      <c r="I23" s="81"/>
      <c r="J23" s="78"/>
      <c r="K23" s="78"/>
      <c r="L23" s="33"/>
      <c r="M23" s="33"/>
      <c r="N23" s="33"/>
      <c r="O23" s="33"/>
      <c r="P23" s="33"/>
      <c r="Q23" s="33"/>
      <c r="R23" s="33"/>
      <c r="S23" s="4"/>
      <c r="T23" s="4"/>
    </row>
    <row r="24" spans="1:20" ht="21" hidden="1">
      <c r="A24" s="981" t="s">
        <v>87</v>
      </c>
      <c r="B24" s="798" t="s">
        <v>375</v>
      </c>
      <c r="C24" s="672"/>
      <c r="D24" s="66"/>
      <c r="E24" s="215" t="s">
        <v>377</v>
      </c>
      <c r="F24" s="215"/>
      <c r="G24" s="215"/>
      <c r="H24" s="4"/>
      <c r="I24" s="623"/>
      <c r="J24" s="623"/>
      <c r="K24" s="623"/>
      <c r="L24" s="33"/>
      <c r="M24" s="638"/>
      <c r="N24" s="638"/>
      <c r="O24" s="638"/>
      <c r="P24" s="638"/>
      <c r="Q24" s="638"/>
      <c r="R24" s="638"/>
      <c r="S24" s="4"/>
      <c r="T24" s="4"/>
    </row>
    <row r="25" spans="1:20" ht="14.25" hidden="1">
      <c r="A25" s="981" t="s">
        <v>87</v>
      </c>
      <c r="B25" s="798" t="s">
        <v>375</v>
      </c>
      <c r="C25" s="672"/>
      <c r="D25" s="66"/>
      <c r="E25" s="627" t="str">
        <f>"locatie 1"&amp;IF('woningen|utiliteit'!$L$17="","",": "&amp;'woningen|utiliteit'!$L$17)</f>
        <v>locatie 1</v>
      </c>
      <c r="F25" s="220"/>
      <c r="G25" s="220" t="s">
        <v>134</v>
      </c>
      <c r="H25" s="33"/>
      <c r="I25" s="628">
        <f>'variant 1'!$M$31</f>
        <v>0</v>
      </c>
      <c r="J25" s="624">
        <f t="shared" ca="1" si="1"/>
        <v>31</v>
      </c>
      <c r="K25" s="624">
        <f t="shared" ca="1" si="2"/>
        <v>13</v>
      </c>
      <c r="L25" s="33"/>
      <c r="M25" s="185" t="str">
        <f t="shared" ref="M25:R28" ca="1" si="6">IF(M18=0,"",IFERROR(INDIRECT(ADDRESS($J25,$K25,,,M$8)),0))</f>
        <v/>
      </c>
      <c r="N25" s="185" t="str">
        <f t="shared" ca="1" si="6"/>
        <v/>
      </c>
      <c r="O25" s="185" t="str">
        <f t="shared" ca="1" si="6"/>
        <v/>
      </c>
      <c r="P25" s="185" t="str">
        <f t="shared" ca="1" si="6"/>
        <v/>
      </c>
      <c r="Q25" s="185" t="str">
        <f t="shared" ca="1" si="6"/>
        <v/>
      </c>
      <c r="R25" s="185" t="str">
        <f t="shared" ca="1" si="6"/>
        <v/>
      </c>
      <c r="S25" s="6"/>
      <c r="T25" s="4"/>
    </row>
    <row r="26" spans="1:20" ht="14.25" hidden="1">
      <c r="A26" s="981" t="s">
        <v>87</v>
      </c>
      <c r="B26" s="798" t="s">
        <v>375</v>
      </c>
      <c r="C26" s="672"/>
      <c r="D26" s="66"/>
      <c r="E26" s="627" t="str">
        <f>"locatie 2"&amp;IF('woningen|utiliteit'!$L$31="","",": "&amp;'woningen|utiliteit'!$L$31)</f>
        <v>locatie 2</v>
      </c>
      <c r="F26" s="220"/>
      <c r="G26" s="220" t="s">
        <v>134</v>
      </c>
      <c r="H26" s="33"/>
      <c r="I26" s="628">
        <f>'variant 1'!$Y$31</f>
        <v>0</v>
      </c>
      <c r="J26" s="624">
        <f t="shared" ca="1" si="1"/>
        <v>31</v>
      </c>
      <c r="K26" s="624">
        <f t="shared" ca="1" si="2"/>
        <v>25</v>
      </c>
      <c r="L26" s="33"/>
      <c r="M26" s="185" t="str">
        <f t="shared" ca="1" si="6"/>
        <v/>
      </c>
      <c r="N26" s="185" t="str">
        <f t="shared" ca="1" si="6"/>
        <v/>
      </c>
      <c r="O26" s="185" t="str">
        <f t="shared" ca="1" si="6"/>
        <v/>
      </c>
      <c r="P26" s="185" t="str">
        <f t="shared" ca="1" si="6"/>
        <v/>
      </c>
      <c r="Q26" s="185" t="str">
        <f t="shared" ca="1" si="6"/>
        <v/>
      </c>
      <c r="R26" s="185" t="str">
        <f t="shared" ca="1" si="6"/>
        <v/>
      </c>
      <c r="S26" s="6"/>
      <c r="T26" s="4"/>
    </row>
    <row r="27" spans="1:20" ht="14.25" hidden="1">
      <c r="A27" s="981" t="s">
        <v>87</v>
      </c>
      <c r="B27" s="798" t="s">
        <v>375</v>
      </c>
      <c r="C27" s="672"/>
      <c r="D27" s="66"/>
      <c r="E27" s="627" t="str">
        <f>"locatie 3"&amp;IF('woningen|utiliteit'!$L$45="","",": "&amp;'woningen|utiliteit'!$L$45)</f>
        <v>locatie 3</v>
      </c>
      <c r="F27" s="220"/>
      <c r="G27" s="220" t="s">
        <v>134</v>
      </c>
      <c r="H27" s="33"/>
      <c r="I27" s="628">
        <f>'variant 1'!$AK$31</f>
        <v>0</v>
      </c>
      <c r="J27" s="624">
        <f t="shared" ca="1" si="1"/>
        <v>31</v>
      </c>
      <c r="K27" s="624">
        <f t="shared" ca="1" si="2"/>
        <v>37</v>
      </c>
      <c r="L27" s="33"/>
      <c r="M27" s="185" t="str">
        <f t="shared" ca="1" si="6"/>
        <v/>
      </c>
      <c r="N27" s="185" t="str">
        <f t="shared" ca="1" si="6"/>
        <v/>
      </c>
      <c r="O27" s="185" t="str">
        <f t="shared" ca="1" si="6"/>
        <v/>
      </c>
      <c r="P27" s="185" t="str">
        <f t="shared" ca="1" si="6"/>
        <v/>
      </c>
      <c r="Q27" s="185" t="str">
        <f t="shared" ca="1" si="6"/>
        <v/>
      </c>
      <c r="R27" s="185" t="str">
        <f t="shared" ca="1" si="6"/>
        <v/>
      </c>
      <c r="S27" s="6"/>
      <c r="T27" s="4"/>
    </row>
    <row r="28" spans="1:20" ht="14.25" hidden="1">
      <c r="A28" s="981" t="s">
        <v>87</v>
      </c>
      <c r="B28" s="798" t="s">
        <v>375</v>
      </c>
      <c r="C28" s="672"/>
      <c r="D28" s="66"/>
      <c r="E28" s="627" t="str">
        <f>"locatie 4"&amp;IF('woningen|utiliteit'!$L$59="","",": "&amp;'woningen|utiliteit'!$L$59)</f>
        <v>locatie 4</v>
      </c>
      <c r="F28" s="220"/>
      <c r="G28" s="220" t="s">
        <v>134</v>
      </c>
      <c r="H28" s="33"/>
      <c r="I28" s="628">
        <f>'variant 1'!$AW$31</f>
        <v>0</v>
      </c>
      <c r="J28" s="624">
        <f t="shared" ca="1" si="1"/>
        <v>31</v>
      </c>
      <c r="K28" s="624">
        <f t="shared" ca="1" si="2"/>
        <v>49</v>
      </c>
      <c r="L28" s="33"/>
      <c r="M28" s="185" t="str">
        <f t="shared" ca="1" si="6"/>
        <v/>
      </c>
      <c r="N28" s="185" t="str">
        <f t="shared" ca="1" si="6"/>
        <v/>
      </c>
      <c r="O28" s="185" t="str">
        <f t="shared" ca="1" si="6"/>
        <v/>
      </c>
      <c r="P28" s="185" t="str">
        <f t="shared" ca="1" si="6"/>
        <v/>
      </c>
      <c r="Q28" s="185" t="str">
        <f t="shared" ca="1" si="6"/>
        <v/>
      </c>
      <c r="R28" s="185" t="str">
        <f t="shared" ca="1" si="6"/>
        <v/>
      </c>
      <c r="S28" s="6"/>
      <c r="T28" s="4"/>
    </row>
    <row r="29" spans="1:20" ht="15" hidden="1">
      <c r="A29" s="981" t="s">
        <v>87</v>
      </c>
      <c r="B29" s="798" t="s">
        <v>375</v>
      </c>
      <c r="C29" s="672"/>
      <c r="D29" s="66"/>
      <c r="E29" s="182" t="s">
        <v>255</v>
      </c>
      <c r="F29" s="220"/>
      <c r="G29" s="220" t="s">
        <v>134</v>
      </c>
      <c r="H29" s="33"/>
      <c r="I29" s="78"/>
      <c r="J29" s="78"/>
      <c r="K29" s="78"/>
      <c r="L29" s="82"/>
      <c r="M29" s="223">
        <f t="shared" ref="M29:R29" ca="1" si="7">SUM(M25:M28)</f>
        <v>0</v>
      </c>
      <c r="N29" s="223">
        <f t="shared" ca="1" si="7"/>
        <v>0</v>
      </c>
      <c r="O29" s="223">
        <f t="shared" ca="1" si="7"/>
        <v>0</v>
      </c>
      <c r="P29" s="223">
        <f t="shared" ca="1" si="7"/>
        <v>0</v>
      </c>
      <c r="Q29" s="223">
        <f t="shared" ca="1" si="7"/>
        <v>0</v>
      </c>
      <c r="R29" s="223">
        <f t="shared" ca="1" si="7"/>
        <v>0</v>
      </c>
      <c r="S29" s="6"/>
      <c r="T29" s="4"/>
    </row>
    <row r="30" spans="1:20" ht="15" hidden="1">
      <c r="A30" s="981" t="s">
        <v>87</v>
      </c>
      <c r="B30" s="798" t="s">
        <v>378</v>
      </c>
      <c r="C30" s="672"/>
      <c r="D30" s="66"/>
      <c r="E30" s="33"/>
      <c r="F30" s="33"/>
      <c r="G30" s="33"/>
      <c r="H30" s="33"/>
      <c r="I30" s="83" t="s">
        <v>379</v>
      </c>
      <c r="J30" s="78"/>
      <c r="K30" s="78"/>
      <c r="L30" s="33"/>
      <c r="M30" s="33"/>
      <c r="N30" s="33"/>
      <c r="O30" s="33"/>
      <c r="P30" s="33"/>
      <c r="Q30" s="33"/>
      <c r="R30" s="33"/>
      <c r="S30" s="4"/>
      <c r="T30" s="4"/>
    </row>
    <row r="31" spans="1:20" ht="21" hidden="1">
      <c r="A31" s="981" t="s">
        <v>87</v>
      </c>
      <c r="B31" s="798" t="s">
        <v>378</v>
      </c>
      <c r="C31" s="672"/>
      <c r="D31" s="66"/>
      <c r="E31" s="215" t="s">
        <v>380</v>
      </c>
      <c r="F31" s="215"/>
      <c r="G31" s="215"/>
      <c r="H31" s="4"/>
      <c r="I31" s="623">
        <f>'variant 1'!$O$32</f>
        <v>0</v>
      </c>
      <c r="J31" s="623">
        <f ca="1">ROW(INDIRECT(RIGHT((_xlfn.FORMULATEXT($I31)),LEN(_xlfn.FORMULATEXT($I31))-1)))</f>
        <v>32</v>
      </c>
      <c r="K31" s="623">
        <f ca="1">COLUMN(INDIRECT(RIGHT((_xlfn.FORMULATEXT($I31)),LEN(_xlfn.FORMULATEXT($I31))-1)))</f>
        <v>15</v>
      </c>
      <c r="L31" s="33"/>
      <c r="M31" s="638"/>
      <c r="N31" s="638"/>
      <c r="O31" s="638"/>
      <c r="P31" s="638"/>
      <c r="Q31" s="638"/>
      <c r="R31" s="638"/>
      <c r="S31" s="4"/>
      <c r="T31" s="4"/>
    </row>
    <row r="32" spans="1:20" ht="14.25" hidden="1">
      <c r="A32" s="981" t="s">
        <v>87</v>
      </c>
      <c r="B32" s="798" t="s">
        <v>378</v>
      </c>
      <c r="C32" s="672"/>
      <c r="D32" s="66"/>
      <c r="E32" s="627" t="str">
        <f>"locatie 1"&amp;IF('woningen|utiliteit'!$L$17="","",": "&amp;'woningen|utiliteit'!$L$17)</f>
        <v>locatie 1</v>
      </c>
      <c r="F32" s="182"/>
      <c r="G32" s="182" t="s">
        <v>68</v>
      </c>
      <c r="H32" s="82"/>
      <c r="I32" s="628" t="str">
        <f>'variant 1'!$O$40</f>
        <v/>
      </c>
      <c r="J32" s="624">
        <f ca="1">ROW(INDIRECT(RIGHT((_xlfn.FORMULATEXT($I32)),LEN(_xlfn.FORMULATEXT($I32))-1)))</f>
        <v>40</v>
      </c>
      <c r="K32" s="624">
        <f ca="1">COLUMN(INDIRECT(RIGHT((_xlfn.FORMULATEXT($I32)),LEN(_xlfn.FORMULATEXT($I32))-1)))</f>
        <v>15</v>
      </c>
      <c r="L32" s="82"/>
      <c r="M32" s="185" t="str" cm="1">
        <f t="array" aca="1" ref="M32" ca="1">IFERROR(IF(M18=0,"",INDEX(OFFSET(INDIRECT(ADDRESS($J32,$K32,,,M$8)),0,0,1,COLUMNS('variant 1'!$N:$X)-2),
MATCH(MAX(SUMIF(OFFSET(INDIRECT(ADDRESS($J32,$K32,,,M$8)),0,0,1,COLUMNS('variant 1'!$N:$X)-2),
OFFSET(INDIRECT(ADDRESS($J32,$K32,,,M$8)),0,0,1,COLUMNS('variant 1'!$N:$X)-2),
OFFSET(INDIRECT(ADDRESS($J$31,$K$31,,,M$8)),0,0,1,COLUMNS('variant 1'!$N:$X)-2))),
SUMIF(OFFSET(INDIRECT(ADDRESS($J32,$K32,,,M$8)),0,0,1,COLUMNS('variant 1'!$N:$X)-2),
OFFSET(INDIRECT(ADDRESS($J32,$K32,,,M$8)),0,0,1,COLUMNS('variant 1'!$N:$X)-2),
OFFSET(INDIRECT(ADDRESS($J$31,$K$31,,,M$8)),0,0,1,COLUMNS('variant 1'!$N:$X)-2)),0))),"")</f>
        <v/>
      </c>
      <c r="N32" s="185" t="str" cm="1">
        <f t="array" aca="1" ref="N32" ca="1">IFERROR(IF(N18=0,"",INDEX(OFFSET(INDIRECT(ADDRESS($J32,$K32,,,N$8)),0,0,1,COLUMNS('variant 1'!$N:$X)-2),
MATCH(MAX(SUMIF(OFFSET(INDIRECT(ADDRESS($J32,$K32,,,N$8)),0,0,1,COLUMNS('variant 1'!$N:$X)-2),
OFFSET(INDIRECT(ADDRESS($J32,$K32,,,N$8)),0,0,1,COLUMNS('variant 1'!$N:$X)-2),
OFFSET(INDIRECT(ADDRESS($J$31,$K$31,,,N$8)),0,0,1,COLUMNS('variant 1'!$N:$X)-2))),
SUMIF(OFFSET(INDIRECT(ADDRESS($J32,$K32,,,N$8)),0,0,1,COLUMNS('variant 1'!$N:$X)-2),
OFFSET(INDIRECT(ADDRESS($J32,$K32,,,N$8)),0,0,1,COLUMNS('variant 1'!$N:$X)-2),
OFFSET(INDIRECT(ADDRESS($J$31,$K$31,,,N$8)),0,0,1,COLUMNS('variant 1'!$N:$X)-2)),0))),"")</f>
        <v/>
      </c>
      <c r="O32" s="185" t="str" cm="1">
        <f t="array" aca="1" ref="O32" ca="1">IFERROR(IF(O18=0,"",INDEX(OFFSET(INDIRECT(ADDRESS($J32,$K32,,,O$8)),0,0,1,COLUMNS('variant 1'!$N:$X)-2),
MATCH(MAX(SUMIF(OFFSET(INDIRECT(ADDRESS($J32,$K32,,,O$8)),0,0,1,COLUMNS('variant 1'!$N:$X)-2),
OFFSET(INDIRECT(ADDRESS($J32,$K32,,,O$8)),0,0,1,COLUMNS('variant 1'!$N:$X)-2),
OFFSET(INDIRECT(ADDRESS($J$31,$K$31,,,O$8)),0,0,1,COLUMNS('variant 1'!$N:$X)-2))),
SUMIF(OFFSET(INDIRECT(ADDRESS($J32,$K32,,,O$8)),0,0,1,COLUMNS('variant 1'!$N:$X)-2),
OFFSET(INDIRECT(ADDRESS($J32,$K32,,,O$8)),0,0,1,COLUMNS('variant 1'!$N:$X)-2),
OFFSET(INDIRECT(ADDRESS($J$31,$K$31,,,O$8)),0,0,1,COLUMNS('variant 1'!$N:$X)-2)),0))),"")</f>
        <v/>
      </c>
      <c r="P32" s="185" t="str" cm="1">
        <f t="array" aca="1" ref="P32" ca="1">IFERROR(IF(P18=0,"",INDEX(OFFSET(INDIRECT(ADDRESS($J32,$K32,,,P$8)),0,0,1,COLUMNS('variant 1'!$N:$X)-2),
MATCH(MAX(SUMIF(OFFSET(INDIRECT(ADDRESS($J32,$K32,,,P$8)),0,0,1,COLUMNS('variant 1'!$N:$X)-2),
OFFSET(INDIRECT(ADDRESS($J32,$K32,,,P$8)),0,0,1,COLUMNS('variant 1'!$N:$X)-2),
OFFSET(INDIRECT(ADDRESS($J$31,$K$31,,,P$8)),0,0,1,COLUMNS('variant 1'!$N:$X)-2))),
SUMIF(OFFSET(INDIRECT(ADDRESS($J32,$K32,,,P$8)),0,0,1,COLUMNS('variant 1'!$N:$X)-2),
OFFSET(INDIRECT(ADDRESS($J32,$K32,,,P$8)),0,0,1,COLUMNS('variant 1'!$N:$X)-2),
OFFSET(INDIRECT(ADDRESS($J$31,$K$31,,,P$8)),0,0,1,COLUMNS('variant 1'!$N:$X)-2)),0))),"")</f>
        <v/>
      </c>
      <c r="Q32" s="185" t="str" cm="1">
        <f t="array" aca="1" ref="Q32" ca="1">IFERROR(IF(Q18=0,"",INDEX(OFFSET(INDIRECT(ADDRESS($J32,$K32,,,Q$8)),0,0,1,COLUMNS('variant 1'!$N:$X)-2),
MATCH(MAX(SUMIF(OFFSET(INDIRECT(ADDRESS($J32,$K32,,,Q$8)),0,0,1,COLUMNS('variant 1'!$N:$X)-2),
OFFSET(INDIRECT(ADDRESS($J32,$K32,,,Q$8)),0,0,1,COLUMNS('variant 1'!$N:$X)-2),
OFFSET(INDIRECT(ADDRESS($J$31,$K$31,,,Q$8)),0,0,1,COLUMNS('variant 1'!$N:$X)-2))),
SUMIF(OFFSET(INDIRECT(ADDRESS($J32,$K32,,,Q$8)),0,0,1,COLUMNS('variant 1'!$N:$X)-2),
OFFSET(INDIRECT(ADDRESS($J32,$K32,,,Q$8)),0,0,1,COLUMNS('variant 1'!$N:$X)-2),
OFFSET(INDIRECT(ADDRESS($J$31,$K$31,,,Q$8)),0,0,1,COLUMNS('variant 1'!$N:$X)-2)),0))),"")</f>
        <v/>
      </c>
      <c r="R32" s="185" t="str" cm="1">
        <f t="array" aca="1" ref="R32" ca="1">IFERROR(IF(R18=0,"",INDEX(OFFSET(INDIRECT(ADDRESS($J32,$K32,,,R$8)),0,0,1,COLUMNS('variant 1'!$N:$X)-2),
MATCH(MAX(SUMIF(OFFSET(INDIRECT(ADDRESS($J32,$K32,,,R$8)),0,0,1,COLUMNS('variant 1'!$N:$X)-2),
OFFSET(INDIRECT(ADDRESS($J32,$K32,,,R$8)),0,0,1,COLUMNS('variant 1'!$N:$X)-2),
OFFSET(INDIRECT(ADDRESS($J$31,$K$31,,,R$8)),0,0,1,COLUMNS('variant 1'!$N:$X)-2))),
SUMIF(OFFSET(INDIRECT(ADDRESS($J32,$K32,,,R$8)),0,0,1,COLUMNS('variant 1'!$N:$X)-2),
OFFSET(INDIRECT(ADDRESS($J32,$K32,,,R$8)),0,0,1,COLUMNS('variant 1'!$N:$X)-2),
OFFSET(INDIRECT(ADDRESS($J$31,$K$31,,,R$8)),0,0,1,COLUMNS('variant 1'!$N:$X)-2)),0))),"")</f>
        <v/>
      </c>
      <c r="S32" s="5"/>
      <c r="T32" s="4"/>
    </row>
    <row r="33" spans="1:59" ht="14.25" hidden="1">
      <c r="A33" s="981" t="s">
        <v>87</v>
      </c>
      <c r="B33" s="798" t="s">
        <v>378</v>
      </c>
      <c r="C33" s="672"/>
      <c r="D33" s="66"/>
      <c r="E33" s="627" t="str">
        <f>"locatie 2"&amp;IF('woningen|utiliteit'!$L$31="","",": "&amp;'woningen|utiliteit'!$L$31)</f>
        <v>locatie 2</v>
      </c>
      <c r="F33" s="220"/>
      <c r="G33" s="220" t="s">
        <v>68</v>
      </c>
      <c r="H33" s="33"/>
      <c r="I33" s="628" t="str">
        <f>'variant 1'!$AA$40</f>
        <v/>
      </c>
      <c r="J33" s="624">
        <f ca="1">ROW(INDIRECT(RIGHT((_xlfn.FORMULATEXT($I33)),LEN(_xlfn.FORMULATEXT($I33))-1)))</f>
        <v>40</v>
      </c>
      <c r="K33" s="624">
        <f ca="1">COLUMN(INDIRECT(RIGHT((_xlfn.FORMULATEXT($I33)),LEN(_xlfn.FORMULATEXT($I33))-1)))</f>
        <v>27</v>
      </c>
      <c r="L33" s="33"/>
      <c r="M33" s="185" t="str">
        <f t="array" aca="1" ref="M33" ca="1">IFERROR(IF(M19=0,"",INDEX(OFFSET(INDIRECT(ADDRESS($J33,$K33,,,M$8)),0,0,1,COLUMNS('variant 1'!$N:$X)-2),
MATCH(MAX(SUMIF(OFFSET(INDIRECT(ADDRESS($J33,$K33,,,M$8)),0,0,1,COLUMNS('variant 1'!$N:$X)-2),
OFFSET(INDIRECT(ADDRESS($J33,$K33,,,M$8)),0,0,1,COLUMNS('variant 1'!$N:$X)-2),
OFFSET(INDIRECT(ADDRESS($J$31,$K$31,,,M$8)),0,0,1,COLUMNS('variant 1'!$N:$X)-2))),
SUMIF(OFFSET(INDIRECT(ADDRESS($J33,$K33,,,M$8)),0,0,1,COLUMNS('variant 1'!$N:$X)-2),
OFFSET(INDIRECT(ADDRESS($J33,$K33,,,M$8)),0,0,1,COLUMNS('variant 1'!$N:$X)-2),
OFFSET(INDIRECT(ADDRESS($J$31,$K$31,,,M$8)),0,0,1,COLUMNS('variant 1'!$N:$X)-2)),0))),"")</f>
        <v/>
      </c>
      <c r="N33" s="185" t="str">
        <f t="array" aca="1" ref="N33" ca="1">IFERROR(IF(N19=0,"",INDEX(OFFSET(INDIRECT(ADDRESS($J33,$K33,,,N$8)),0,0,1,COLUMNS('variant 1'!$N:$X)-2),
MATCH(MAX(SUMIF(OFFSET(INDIRECT(ADDRESS($J33,$K33,,,N$8)),0,0,1,COLUMNS('variant 1'!$N:$X)-2),
OFFSET(INDIRECT(ADDRESS($J33,$K33,,,N$8)),0,0,1,COLUMNS('variant 1'!$N:$X)-2),
OFFSET(INDIRECT(ADDRESS($J$31,$K$31,,,N$8)),0,0,1,COLUMNS('variant 1'!$N:$X)-2))),
SUMIF(OFFSET(INDIRECT(ADDRESS($J33,$K33,,,N$8)),0,0,1,COLUMNS('variant 1'!$N:$X)-2),
OFFSET(INDIRECT(ADDRESS($J33,$K33,,,N$8)),0,0,1,COLUMNS('variant 1'!$N:$X)-2),
OFFSET(INDIRECT(ADDRESS($J$31,$K$31,,,N$8)),0,0,1,COLUMNS('variant 1'!$N:$X)-2)),0))),"")</f>
        <v/>
      </c>
      <c r="O33" s="185" t="str">
        <f t="array" aca="1" ref="O33" ca="1">IFERROR(IF(O19=0,"",INDEX(OFFSET(INDIRECT(ADDRESS($J33,$K33,,,O$8)),0,0,1,COLUMNS('variant 1'!$N:$X)-2),
MATCH(MAX(SUMIF(OFFSET(INDIRECT(ADDRESS($J33,$K33,,,O$8)),0,0,1,COLUMNS('variant 1'!$N:$X)-2),
OFFSET(INDIRECT(ADDRESS($J33,$K33,,,O$8)),0,0,1,COLUMNS('variant 1'!$N:$X)-2),
OFFSET(INDIRECT(ADDRESS($J$31,$K$31,,,O$8)),0,0,1,COLUMNS('variant 1'!$N:$X)-2))),
SUMIF(OFFSET(INDIRECT(ADDRESS($J33,$K33,,,O$8)),0,0,1,COLUMNS('variant 1'!$N:$X)-2),
OFFSET(INDIRECT(ADDRESS($J33,$K33,,,O$8)),0,0,1,COLUMNS('variant 1'!$N:$X)-2),
OFFSET(INDIRECT(ADDRESS($J$31,$K$31,,,O$8)),0,0,1,COLUMNS('variant 1'!$N:$X)-2)),0))),"")</f>
        <v/>
      </c>
      <c r="P33" s="185" t="str">
        <f t="array" aca="1" ref="P33" ca="1">IFERROR(IF(P19=0,"",INDEX(OFFSET(INDIRECT(ADDRESS($J33,$K33,,,P$8)),0,0,1,COLUMNS('variant 1'!$N:$X)-2),
MATCH(MAX(SUMIF(OFFSET(INDIRECT(ADDRESS($J33,$K33,,,P$8)),0,0,1,COLUMNS('variant 1'!$N:$X)-2),
OFFSET(INDIRECT(ADDRESS($J33,$K33,,,P$8)),0,0,1,COLUMNS('variant 1'!$N:$X)-2),
OFFSET(INDIRECT(ADDRESS($J$31,$K$31,,,P$8)),0,0,1,COLUMNS('variant 1'!$N:$X)-2))),
SUMIF(OFFSET(INDIRECT(ADDRESS($J33,$K33,,,P$8)),0,0,1,COLUMNS('variant 1'!$N:$X)-2),
OFFSET(INDIRECT(ADDRESS($J33,$K33,,,P$8)),0,0,1,COLUMNS('variant 1'!$N:$X)-2),
OFFSET(INDIRECT(ADDRESS($J$31,$K$31,,,P$8)),0,0,1,COLUMNS('variant 1'!$N:$X)-2)),0))),"")</f>
        <v/>
      </c>
      <c r="Q33" s="185" t="str">
        <f t="array" aca="1" ref="Q33" ca="1">IFERROR(IF(Q19=0,"",INDEX(OFFSET(INDIRECT(ADDRESS($J33,$K33,,,Q$8)),0,0,1,COLUMNS('variant 1'!$N:$X)-2),
MATCH(MAX(SUMIF(OFFSET(INDIRECT(ADDRESS($J33,$K33,,,Q$8)),0,0,1,COLUMNS('variant 1'!$N:$X)-2),
OFFSET(INDIRECT(ADDRESS($J33,$K33,,,Q$8)),0,0,1,COLUMNS('variant 1'!$N:$X)-2),
OFFSET(INDIRECT(ADDRESS($J$31,$K$31,,,Q$8)),0,0,1,COLUMNS('variant 1'!$N:$X)-2))),
SUMIF(OFFSET(INDIRECT(ADDRESS($J33,$K33,,,Q$8)),0,0,1,COLUMNS('variant 1'!$N:$X)-2),
OFFSET(INDIRECT(ADDRESS($J33,$K33,,,Q$8)),0,0,1,COLUMNS('variant 1'!$N:$X)-2),
OFFSET(INDIRECT(ADDRESS($J$31,$K$31,,,Q$8)),0,0,1,COLUMNS('variant 1'!$N:$X)-2)),0))),"")</f>
        <v/>
      </c>
      <c r="R33" s="185" t="str">
        <f t="array" aca="1" ref="R33" ca="1">IFERROR(IF(R19=0,"",INDEX(OFFSET(INDIRECT(ADDRESS($J33,$K33,,,R$8)),0,0,1,COLUMNS('variant 1'!$N:$X)-2),
MATCH(MAX(SUMIF(OFFSET(INDIRECT(ADDRESS($J33,$K33,,,R$8)),0,0,1,COLUMNS('variant 1'!$N:$X)-2),
OFFSET(INDIRECT(ADDRESS($J33,$K33,,,R$8)),0,0,1,COLUMNS('variant 1'!$N:$X)-2),
OFFSET(INDIRECT(ADDRESS($J$31,$K$31,,,R$8)),0,0,1,COLUMNS('variant 1'!$N:$X)-2))),
SUMIF(OFFSET(INDIRECT(ADDRESS($J33,$K33,,,R$8)),0,0,1,COLUMNS('variant 1'!$N:$X)-2),
OFFSET(INDIRECT(ADDRESS($J33,$K33,,,R$8)),0,0,1,COLUMNS('variant 1'!$N:$X)-2),
OFFSET(INDIRECT(ADDRESS($J$31,$K$31,,,R$8)),0,0,1,COLUMNS('variant 1'!$N:$X)-2)),0))),"")</f>
        <v/>
      </c>
      <c r="S33" s="6"/>
      <c r="T33" s="4"/>
    </row>
    <row r="34" spans="1:59" ht="14.25" hidden="1">
      <c r="A34" s="981" t="s">
        <v>87</v>
      </c>
      <c r="B34" s="798" t="s">
        <v>378</v>
      </c>
      <c r="C34" s="672"/>
      <c r="D34" s="66"/>
      <c r="E34" s="627" t="str">
        <f>"locatie 3"&amp;IF('woningen|utiliteit'!$L$45="","",": "&amp;'woningen|utiliteit'!$L$45)</f>
        <v>locatie 3</v>
      </c>
      <c r="F34" s="220"/>
      <c r="G34" s="220" t="s">
        <v>68</v>
      </c>
      <c r="H34" s="33"/>
      <c r="I34" s="628" t="str">
        <f>'variant 1'!$AM$40</f>
        <v/>
      </c>
      <c r="J34" s="624">
        <f ca="1">ROW(INDIRECT(RIGHT((_xlfn.FORMULATEXT($I34)),LEN(_xlfn.FORMULATEXT($I34))-1)))</f>
        <v>40</v>
      </c>
      <c r="K34" s="624">
        <f ca="1">COLUMN(INDIRECT(RIGHT((_xlfn.FORMULATEXT($I34)),LEN(_xlfn.FORMULATEXT($I34))-1)))</f>
        <v>39</v>
      </c>
      <c r="L34" s="33"/>
      <c r="M34" s="185" t="str">
        <f t="array" aca="1" ref="M34" ca="1">IFERROR(IF(M20=0,"",INDEX(OFFSET(INDIRECT(ADDRESS($J34,$K34,,,M$8)),0,0,1,COLUMNS('variant 1'!$N:$X)-2),
MATCH(MAX(SUMIF(OFFSET(INDIRECT(ADDRESS($J34,$K34,,,M$8)),0,0,1,COLUMNS('variant 1'!$N:$X)-2),
OFFSET(INDIRECT(ADDRESS($J34,$K34,,,M$8)),0,0,1,COLUMNS('variant 1'!$N:$X)-2),
OFFSET(INDIRECT(ADDRESS($J$31,$K$31,,,M$8)),0,0,1,COLUMNS('variant 1'!$N:$X)-2))),
SUMIF(OFFSET(INDIRECT(ADDRESS($J34,$K34,,,M$8)),0,0,1,COLUMNS('variant 1'!$N:$X)-2),
OFFSET(INDIRECT(ADDRESS($J34,$K34,,,M$8)),0,0,1,COLUMNS('variant 1'!$N:$X)-2),
OFFSET(INDIRECT(ADDRESS($J$31,$K$31,,,M$8)),0,0,1,COLUMNS('variant 1'!$N:$X)-2)),0))),"")</f>
        <v/>
      </c>
      <c r="N34" s="185" t="str">
        <f t="array" aca="1" ref="N34" ca="1">IFERROR(IF(N20=0,"",INDEX(OFFSET(INDIRECT(ADDRESS($J34,$K34,,,N$8)),0,0,1,COLUMNS('variant 1'!$N:$X)-2),
MATCH(MAX(SUMIF(OFFSET(INDIRECT(ADDRESS($J34,$K34,,,N$8)),0,0,1,COLUMNS('variant 1'!$N:$X)-2),
OFFSET(INDIRECT(ADDRESS($J34,$K34,,,N$8)),0,0,1,COLUMNS('variant 1'!$N:$X)-2),
OFFSET(INDIRECT(ADDRESS($J$31,$K$31,,,N$8)),0,0,1,COLUMNS('variant 1'!$N:$X)-2))),
SUMIF(OFFSET(INDIRECT(ADDRESS($J34,$K34,,,N$8)),0,0,1,COLUMNS('variant 1'!$N:$X)-2),
OFFSET(INDIRECT(ADDRESS($J34,$K34,,,N$8)),0,0,1,COLUMNS('variant 1'!$N:$X)-2),
OFFSET(INDIRECT(ADDRESS($J$31,$K$31,,,N$8)),0,0,1,COLUMNS('variant 1'!$N:$X)-2)),0))),"")</f>
        <v/>
      </c>
      <c r="O34" s="185" t="str">
        <f t="array" aca="1" ref="O34" ca="1">IFERROR(IF(O20=0,"",INDEX(OFFSET(INDIRECT(ADDRESS($J34,$K34,,,O$8)),0,0,1,COLUMNS('variant 1'!$N:$X)-2),
MATCH(MAX(SUMIF(OFFSET(INDIRECT(ADDRESS($J34,$K34,,,O$8)),0,0,1,COLUMNS('variant 1'!$N:$X)-2),
OFFSET(INDIRECT(ADDRESS($J34,$K34,,,O$8)),0,0,1,COLUMNS('variant 1'!$N:$X)-2),
OFFSET(INDIRECT(ADDRESS($J$31,$K$31,,,O$8)),0,0,1,COLUMNS('variant 1'!$N:$X)-2))),
SUMIF(OFFSET(INDIRECT(ADDRESS($J34,$K34,,,O$8)),0,0,1,COLUMNS('variant 1'!$N:$X)-2),
OFFSET(INDIRECT(ADDRESS($J34,$K34,,,O$8)),0,0,1,COLUMNS('variant 1'!$N:$X)-2),
OFFSET(INDIRECT(ADDRESS($J$31,$K$31,,,O$8)),0,0,1,COLUMNS('variant 1'!$N:$X)-2)),0))),"")</f>
        <v/>
      </c>
      <c r="P34" s="185" t="str">
        <f t="array" aca="1" ref="P34" ca="1">IFERROR(IF(P20=0,"",INDEX(OFFSET(INDIRECT(ADDRESS($J34,$K34,,,P$8)),0,0,1,COLUMNS('variant 1'!$N:$X)-2),
MATCH(MAX(SUMIF(OFFSET(INDIRECT(ADDRESS($J34,$K34,,,P$8)),0,0,1,COLUMNS('variant 1'!$N:$X)-2),
OFFSET(INDIRECT(ADDRESS($J34,$K34,,,P$8)),0,0,1,COLUMNS('variant 1'!$N:$X)-2),
OFFSET(INDIRECT(ADDRESS($J$31,$K$31,,,P$8)),0,0,1,COLUMNS('variant 1'!$N:$X)-2))),
SUMIF(OFFSET(INDIRECT(ADDRESS($J34,$K34,,,P$8)),0,0,1,COLUMNS('variant 1'!$N:$X)-2),
OFFSET(INDIRECT(ADDRESS($J34,$K34,,,P$8)),0,0,1,COLUMNS('variant 1'!$N:$X)-2),
OFFSET(INDIRECT(ADDRESS($J$31,$K$31,,,P$8)),0,0,1,COLUMNS('variant 1'!$N:$X)-2)),0))),"")</f>
        <v/>
      </c>
      <c r="Q34" s="185" t="str">
        <f t="array" aca="1" ref="Q34" ca="1">IFERROR(IF(Q20=0,"",INDEX(OFFSET(INDIRECT(ADDRESS($J34,$K34,,,Q$8)),0,0,1,COLUMNS('variant 1'!$N:$X)-2),
MATCH(MAX(SUMIF(OFFSET(INDIRECT(ADDRESS($J34,$K34,,,Q$8)),0,0,1,COLUMNS('variant 1'!$N:$X)-2),
OFFSET(INDIRECT(ADDRESS($J34,$K34,,,Q$8)),0,0,1,COLUMNS('variant 1'!$N:$X)-2),
OFFSET(INDIRECT(ADDRESS($J$31,$K$31,,,Q$8)),0,0,1,COLUMNS('variant 1'!$N:$X)-2))),
SUMIF(OFFSET(INDIRECT(ADDRESS($J34,$K34,,,Q$8)),0,0,1,COLUMNS('variant 1'!$N:$X)-2),
OFFSET(INDIRECT(ADDRESS($J34,$K34,,,Q$8)),0,0,1,COLUMNS('variant 1'!$N:$X)-2),
OFFSET(INDIRECT(ADDRESS($J$31,$K$31,,,Q$8)),0,0,1,COLUMNS('variant 1'!$N:$X)-2)),0))),"")</f>
        <v/>
      </c>
      <c r="R34" s="185" t="str">
        <f t="array" aca="1" ref="R34" ca="1">IFERROR(IF(R20=0,"",INDEX(OFFSET(INDIRECT(ADDRESS($J34,$K34,,,R$8)),0,0,1,COLUMNS('variant 1'!$N:$X)-2),
MATCH(MAX(SUMIF(OFFSET(INDIRECT(ADDRESS($J34,$K34,,,R$8)),0,0,1,COLUMNS('variant 1'!$N:$X)-2),
OFFSET(INDIRECT(ADDRESS($J34,$K34,,,R$8)),0,0,1,COLUMNS('variant 1'!$N:$X)-2),
OFFSET(INDIRECT(ADDRESS($J$31,$K$31,,,R$8)),0,0,1,COLUMNS('variant 1'!$N:$X)-2))),
SUMIF(OFFSET(INDIRECT(ADDRESS($J34,$K34,,,R$8)),0,0,1,COLUMNS('variant 1'!$N:$X)-2),
OFFSET(INDIRECT(ADDRESS($J34,$K34,,,R$8)),0,0,1,COLUMNS('variant 1'!$N:$X)-2),
OFFSET(INDIRECT(ADDRESS($J$31,$K$31,,,R$8)),0,0,1,COLUMNS('variant 1'!$N:$X)-2)),0))),"")</f>
        <v/>
      </c>
      <c r="S34" s="4"/>
      <c r="T34" s="4"/>
    </row>
    <row r="35" spans="1:59" ht="14.25" hidden="1">
      <c r="A35" s="985" t="s">
        <v>87</v>
      </c>
      <c r="B35" s="798" t="s">
        <v>378</v>
      </c>
      <c r="C35" s="672"/>
      <c r="D35" s="66"/>
      <c r="E35" s="627" t="str">
        <f>"locatie 4"&amp;IF('woningen|utiliteit'!$L$59="","",": "&amp;'woningen|utiliteit'!$L$59)</f>
        <v>locatie 4</v>
      </c>
      <c r="F35" s="182"/>
      <c r="G35" s="182" t="s">
        <v>68</v>
      </c>
      <c r="H35" s="82"/>
      <c r="I35" s="628" t="str">
        <f>'variant 1'!$AY$40</f>
        <v/>
      </c>
      <c r="J35" s="624">
        <f ca="1">ROW(INDIRECT(RIGHT((_xlfn.FORMULATEXT($I35)),LEN(_xlfn.FORMULATEXT($I35))-1)))</f>
        <v>40</v>
      </c>
      <c r="K35" s="624">
        <f ca="1">COLUMN(INDIRECT(RIGHT((_xlfn.FORMULATEXT($I35)),LEN(_xlfn.FORMULATEXT($I35))-1)))</f>
        <v>51</v>
      </c>
      <c r="L35" s="82"/>
      <c r="M35" s="185" t="str">
        <f t="array" aca="1" ref="M35" ca="1">IFERROR(IF(M21=0,"",INDEX(OFFSET(INDIRECT(ADDRESS($J35,$K35,,,M$8)),0,0,1,COLUMNS('variant 1'!$N:$X)-2),
MATCH(MAX(SUMIF(OFFSET(INDIRECT(ADDRESS($J35,$K35,,,M$8)),0,0,1,COLUMNS('variant 1'!$N:$X)-2),
OFFSET(INDIRECT(ADDRESS($J35,$K35,,,M$8)),0,0,1,COLUMNS('variant 1'!$N:$X)-2),
OFFSET(INDIRECT(ADDRESS($J$31,$K$31,,,M$8)),0,0,1,COLUMNS('variant 1'!$N:$X)-2))),
SUMIF(OFFSET(INDIRECT(ADDRESS($J35,$K35,,,M$8)),0,0,1,COLUMNS('variant 1'!$N:$X)-2),
OFFSET(INDIRECT(ADDRESS($J35,$K35,,,M$8)),0,0,1,COLUMNS('variant 1'!$N:$X)-2),
OFFSET(INDIRECT(ADDRESS($J$31,$K$31,,,M$8)),0,0,1,COLUMNS('variant 1'!$N:$X)-2)),0))),"")</f>
        <v/>
      </c>
      <c r="N35" s="185" t="str">
        <f t="array" aca="1" ref="N35" ca="1">IFERROR(IF(N21=0,"",INDEX(OFFSET(INDIRECT(ADDRESS($J35,$K35,,,N$8)),0,0,1,COLUMNS('variant 1'!$N:$X)-2),
MATCH(MAX(SUMIF(OFFSET(INDIRECT(ADDRESS($J35,$K35,,,N$8)),0,0,1,COLUMNS('variant 1'!$N:$X)-2),
OFFSET(INDIRECT(ADDRESS($J35,$K35,,,N$8)),0,0,1,COLUMNS('variant 1'!$N:$X)-2),
OFFSET(INDIRECT(ADDRESS($J$31,$K$31,,,N$8)),0,0,1,COLUMNS('variant 1'!$N:$X)-2))),
SUMIF(OFFSET(INDIRECT(ADDRESS($J35,$K35,,,N$8)),0,0,1,COLUMNS('variant 1'!$N:$X)-2),
OFFSET(INDIRECT(ADDRESS($J35,$K35,,,N$8)),0,0,1,COLUMNS('variant 1'!$N:$X)-2),
OFFSET(INDIRECT(ADDRESS($J$31,$K$31,,,N$8)),0,0,1,COLUMNS('variant 1'!$N:$X)-2)),0))),"")</f>
        <v/>
      </c>
      <c r="O35" s="185" t="str">
        <f t="array" aca="1" ref="O35" ca="1">IFERROR(IF(O21=0,"",INDEX(OFFSET(INDIRECT(ADDRESS($J35,$K35,,,O$8)),0,0,1,COLUMNS('variant 1'!$N:$X)-2),
MATCH(MAX(SUMIF(OFFSET(INDIRECT(ADDRESS($J35,$K35,,,O$8)),0,0,1,COLUMNS('variant 1'!$N:$X)-2),
OFFSET(INDIRECT(ADDRESS($J35,$K35,,,O$8)),0,0,1,COLUMNS('variant 1'!$N:$X)-2),
OFFSET(INDIRECT(ADDRESS($J$31,$K$31,,,O$8)),0,0,1,COLUMNS('variant 1'!$N:$X)-2))),
SUMIF(OFFSET(INDIRECT(ADDRESS($J35,$K35,,,O$8)),0,0,1,COLUMNS('variant 1'!$N:$X)-2),
OFFSET(INDIRECT(ADDRESS($J35,$K35,,,O$8)),0,0,1,COLUMNS('variant 1'!$N:$X)-2),
OFFSET(INDIRECT(ADDRESS($J$31,$K$31,,,O$8)),0,0,1,COLUMNS('variant 1'!$N:$X)-2)),0))),"")</f>
        <v/>
      </c>
      <c r="P35" s="185" t="str">
        <f t="array" aca="1" ref="P35" ca="1">IFERROR(IF(P21=0,"",INDEX(OFFSET(INDIRECT(ADDRESS($J35,$K35,,,P$8)),0,0,1,COLUMNS('variant 1'!$N:$X)-2),
MATCH(MAX(SUMIF(OFFSET(INDIRECT(ADDRESS($J35,$K35,,,P$8)),0,0,1,COLUMNS('variant 1'!$N:$X)-2),
OFFSET(INDIRECT(ADDRESS($J35,$K35,,,P$8)),0,0,1,COLUMNS('variant 1'!$N:$X)-2),
OFFSET(INDIRECT(ADDRESS($J$31,$K$31,,,P$8)),0,0,1,COLUMNS('variant 1'!$N:$X)-2))),
SUMIF(OFFSET(INDIRECT(ADDRESS($J35,$K35,,,P$8)),0,0,1,COLUMNS('variant 1'!$N:$X)-2),
OFFSET(INDIRECT(ADDRESS($J35,$K35,,,P$8)),0,0,1,COLUMNS('variant 1'!$N:$X)-2),
OFFSET(INDIRECT(ADDRESS($J$31,$K$31,,,P$8)),0,0,1,COLUMNS('variant 1'!$N:$X)-2)),0))),"")</f>
        <v/>
      </c>
      <c r="Q35" s="185" t="str">
        <f t="array" aca="1" ref="Q35" ca="1">IFERROR(IF(Q21=0,"",INDEX(OFFSET(INDIRECT(ADDRESS($J35,$K35,,,Q$8)),0,0,1,COLUMNS('variant 1'!$N:$X)-2),
MATCH(MAX(SUMIF(OFFSET(INDIRECT(ADDRESS($J35,$K35,,,Q$8)),0,0,1,COLUMNS('variant 1'!$N:$X)-2),
OFFSET(INDIRECT(ADDRESS($J35,$K35,,,Q$8)),0,0,1,COLUMNS('variant 1'!$N:$X)-2),
OFFSET(INDIRECT(ADDRESS($J$31,$K$31,,,Q$8)),0,0,1,COLUMNS('variant 1'!$N:$X)-2))),
SUMIF(OFFSET(INDIRECT(ADDRESS($J35,$K35,,,Q$8)),0,0,1,COLUMNS('variant 1'!$N:$X)-2),
OFFSET(INDIRECT(ADDRESS($J35,$K35,,,Q$8)),0,0,1,COLUMNS('variant 1'!$N:$X)-2),
OFFSET(INDIRECT(ADDRESS($J$31,$K$31,,,Q$8)),0,0,1,COLUMNS('variant 1'!$N:$X)-2)),0))),"")</f>
        <v/>
      </c>
      <c r="R35" s="185" t="str">
        <f t="array" aca="1" ref="R35" ca="1">IFERROR(IF(R21=0,"",INDEX(OFFSET(INDIRECT(ADDRESS($J35,$K35,,,R$8)),0,0,1,COLUMNS('variant 1'!$N:$X)-2),
MATCH(MAX(SUMIF(OFFSET(INDIRECT(ADDRESS($J35,$K35,,,R$8)),0,0,1,COLUMNS('variant 1'!$N:$X)-2),
OFFSET(INDIRECT(ADDRESS($J35,$K35,,,R$8)),0,0,1,COLUMNS('variant 1'!$N:$X)-2),
OFFSET(INDIRECT(ADDRESS($J$31,$K$31,,,R$8)),0,0,1,COLUMNS('variant 1'!$N:$X)-2))),
SUMIF(OFFSET(INDIRECT(ADDRESS($J35,$K35,,,R$8)),0,0,1,COLUMNS('variant 1'!$N:$X)-2),
OFFSET(INDIRECT(ADDRESS($J35,$K35,,,R$8)),0,0,1,COLUMNS('variant 1'!$N:$X)-2),
OFFSET(INDIRECT(ADDRESS($J$31,$K$31,,,R$8)),0,0,1,COLUMNS('variant 1'!$N:$X)-2)),0))),"")</f>
        <v/>
      </c>
      <c r="S35" s="76"/>
      <c r="T35" s="76"/>
    </row>
    <row r="36" spans="1:59" ht="15" hidden="1">
      <c r="A36" s="981" t="s">
        <v>87</v>
      </c>
      <c r="B36" s="798" t="s">
        <v>381</v>
      </c>
      <c r="C36" s="672"/>
      <c r="D36" s="66"/>
      <c r="E36" s="33"/>
      <c r="F36" s="33"/>
      <c r="G36" s="33"/>
      <c r="H36" s="33"/>
      <c r="I36" s="81"/>
      <c r="J36" s="78"/>
      <c r="K36" s="78"/>
      <c r="L36" s="33"/>
      <c r="M36" s="33"/>
      <c r="N36" s="33"/>
      <c r="O36" s="33"/>
      <c r="P36" s="33"/>
      <c r="Q36" s="33"/>
      <c r="R36" s="33"/>
      <c r="S36" s="4"/>
      <c r="T36" s="4"/>
    </row>
    <row r="37" spans="1:59" ht="21" hidden="1">
      <c r="A37" s="981" t="s">
        <v>87</v>
      </c>
      <c r="B37" s="798" t="s">
        <v>381</v>
      </c>
      <c r="C37" s="672"/>
      <c r="D37" s="66"/>
      <c r="E37" s="215" t="s">
        <v>381</v>
      </c>
      <c r="F37" s="215"/>
      <c r="G37" s="215"/>
      <c r="H37" s="4"/>
      <c r="I37" s="623"/>
      <c r="J37" s="623"/>
      <c r="K37" s="623"/>
      <c r="L37" s="33"/>
      <c r="M37" s="638"/>
      <c r="N37" s="638"/>
      <c r="O37" s="638"/>
      <c r="P37" s="638"/>
      <c r="Q37" s="638"/>
      <c r="R37" s="638"/>
      <c r="S37" s="4"/>
      <c r="T37" s="4"/>
    </row>
    <row r="38" spans="1:59" ht="14.25" hidden="1">
      <c r="A38" s="981" t="s">
        <v>87</v>
      </c>
      <c r="B38" s="798" t="s">
        <v>381</v>
      </c>
      <c r="C38" s="672"/>
      <c r="D38" s="66"/>
      <c r="E38" s="627" t="str">
        <f>"locatie 1"&amp;IF('woningen|utiliteit'!$L$17="","",": "&amp;'woningen|utiliteit'!$L$17)</f>
        <v>locatie 1</v>
      </c>
      <c r="F38" s="182"/>
      <c r="G38" s="182" t="s">
        <v>382</v>
      </c>
      <c r="H38" s="82"/>
      <c r="I38" s="628">
        <f>'variant 1'!$M$71</f>
        <v>0</v>
      </c>
      <c r="J38" s="624">
        <f ca="1">ROW(INDIRECT(RIGHT((_xlfn.FORMULATEXT($I38)),LEN(_xlfn.FORMULATEXT($I38))-1)))</f>
        <v>71</v>
      </c>
      <c r="K38" s="624">
        <f ca="1">COLUMN(INDIRECT(RIGHT((_xlfn.FORMULATEXT($I38)),LEN(_xlfn.FORMULATEXT($I38))-1)))</f>
        <v>13</v>
      </c>
      <c r="L38" s="82"/>
      <c r="M38" s="635" t="str">
        <f t="shared" ref="M38:R41" ca="1" si="8">IF(M18=0,"",IFERROR(INDIRECT(ADDRESS($J38,$K38,,,M$8)),0))</f>
        <v/>
      </c>
      <c r="N38" s="635" t="str">
        <f t="shared" ca="1" si="8"/>
        <v/>
      </c>
      <c r="O38" s="635" t="str">
        <f t="shared" ca="1" si="8"/>
        <v/>
      </c>
      <c r="P38" s="635" t="str">
        <f t="shared" ca="1" si="8"/>
        <v/>
      </c>
      <c r="Q38" s="635" t="str">
        <f t="shared" ca="1" si="8"/>
        <v/>
      </c>
      <c r="R38" s="635" t="str">
        <f t="shared" ca="1" si="8"/>
        <v/>
      </c>
      <c r="S38" s="5"/>
      <c r="T38" s="4"/>
    </row>
    <row r="39" spans="1:59" ht="14.25" hidden="1">
      <c r="A39" s="981" t="s">
        <v>87</v>
      </c>
      <c r="B39" s="798" t="s">
        <v>381</v>
      </c>
      <c r="C39" s="672"/>
      <c r="D39" s="66"/>
      <c r="E39" s="627" t="str">
        <f>"locatie 2"&amp;IF('woningen|utiliteit'!$L$31="","",": "&amp;'woningen|utiliteit'!$L$31)</f>
        <v>locatie 2</v>
      </c>
      <c r="F39" s="220"/>
      <c r="G39" s="220" t="s">
        <v>382</v>
      </c>
      <c r="H39" s="33"/>
      <c r="I39" s="628">
        <f>'variant 1'!$Y$71</f>
        <v>0</v>
      </c>
      <c r="J39" s="624">
        <f ca="1">ROW(INDIRECT(RIGHT((_xlfn.FORMULATEXT($I39)),LEN(_xlfn.FORMULATEXT($I39))-1)))</f>
        <v>71</v>
      </c>
      <c r="K39" s="624">
        <f ca="1">COLUMN(INDIRECT(RIGHT((_xlfn.FORMULATEXT($I39)),LEN(_xlfn.FORMULATEXT($I39))-1)))</f>
        <v>25</v>
      </c>
      <c r="L39" s="33"/>
      <c r="M39" s="635" t="str">
        <f t="shared" ca="1" si="8"/>
        <v/>
      </c>
      <c r="N39" s="635" t="str">
        <f t="shared" ca="1" si="8"/>
        <v/>
      </c>
      <c r="O39" s="635" t="str">
        <f t="shared" ca="1" si="8"/>
        <v/>
      </c>
      <c r="P39" s="635" t="str">
        <f t="shared" ca="1" si="8"/>
        <v/>
      </c>
      <c r="Q39" s="635" t="str">
        <f t="shared" ca="1" si="8"/>
        <v/>
      </c>
      <c r="R39" s="635" t="str">
        <f t="shared" ca="1" si="8"/>
        <v/>
      </c>
      <c r="S39" s="6"/>
      <c r="T39" s="4"/>
    </row>
    <row r="40" spans="1:59" ht="14.25" hidden="1">
      <c r="A40" s="981" t="s">
        <v>87</v>
      </c>
      <c r="B40" s="798" t="s">
        <v>381</v>
      </c>
      <c r="C40" s="672"/>
      <c r="D40" s="66"/>
      <c r="E40" s="627" t="str">
        <f>"locatie 3"&amp;IF('woningen|utiliteit'!$L$45="","",": "&amp;'woningen|utiliteit'!$L$45)</f>
        <v>locatie 3</v>
      </c>
      <c r="F40" s="220"/>
      <c r="G40" s="220" t="s">
        <v>382</v>
      </c>
      <c r="H40" s="33"/>
      <c r="I40" s="628">
        <f>'variant 1'!$AK$71</f>
        <v>0</v>
      </c>
      <c r="J40" s="624">
        <f ca="1">ROW(INDIRECT(RIGHT((_xlfn.FORMULATEXT($I40)),LEN(_xlfn.FORMULATEXT($I40))-1)))</f>
        <v>71</v>
      </c>
      <c r="K40" s="624">
        <f ca="1">COLUMN(INDIRECT(RIGHT((_xlfn.FORMULATEXT($I40)),LEN(_xlfn.FORMULATEXT($I40))-1)))</f>
        <v>37</v>
      </c>
      <c r="L40" s="33"/>
      <c r="M40" s="635" t="str">
        <f t="shared" ca="1" si="8"/>
        <v/>
      </c>
      <c r="N40" s="635" t="str">
        <f t="shared" ca="1" si="8"/>
        <v/>
      </c>
      <c r="O40" s="635" t="str">
        <f t="shared" ca="1" si="8"/>
        <v/>
      </c>
      <c r="P40" s="635" t="str">
        <f t="shared" ca="1" si="8"/>
        <v/>
      </c>
      <c r="Q40" s="635" t="str">
        <f t="shared" ca="1" si="8"/>
        <v/>
      </c>
      <c r="R40" s="635" t="str">
        <f t="shared" ca="1" si="8"/>
        <v/>
      </c>
      <c r="S40" s="4"/>
      <c r="T40" s="4"/>
    </row>
    <row r="41" spans="1:59" ht="14.25" hidden="1">
      <c r="A41" s="985" t="s">
        <v>87</v>
      </c>
      <c r="B41" s="798" t="s">
        <v>381</v>
      </c>
      <c r="C41" s="672"/>
      <c r="D41" s="66"/>
      <c r="E41" s="627" t="str">
        <f>"locatie 4"&amp;IF('woningen|utiliteit'!$L$59="","",": "&amp;'woningen|utiliteit'!$L$59)</f>
        <v>locatie 4</v>
      </c>
      <c r="F41" s="182"/>
      <c r="G41" s="182" t="s">
        <v>382</v>
      </c>
      <c r="H41" s="82"/>
      <c r="I41" s="628">
        <f>'variant 1'!$AW$71</f>
        <v>0</v>
      </c>
      <c r="J41" s="624">
        <f ca="1">ROW(INDIRECT(RIGHT((_xlfn.FORMULATEXT($I41)),LEN(_xlfn.FORMULATEXT($I41))-1)))</f>
        <v>71</v>
      </c>
      <c r="K41" s="624">
        <f ca="1">COLUMN(INDIRECT(RIGHT((_xlfn.FORMULATEXT($I41)),LEN(_xlfn.FORMULATEXT($I41))-1)))</f>
        <v>49</v>
      </c>
      <c r="L41" s="82"/>
      <c r="M41" s="635" t="str">
        <f t="shared" ca="1" si="8"/>
        <v/>
      </c>
      <c r="N41" s="635" t="str">
        <f t="shared" ca="1" si="8"/>
        <v/>
      </c>
      <c r="O41" s="635" t="str">
        <f t="shared" ca="1" si="8"/>
        <v/>
      </c>
      <c r="P41" s="635" t="str">
        <f t="shared" ca="1" si="8"/>
        <v/>
      </c>
      <c r="Q41" s="635" t="str">
        <f t="shared" ca="1" si="8"/>
        <v/>
      </c>
      <c r="R41" s="635" t="str">
        <f t="shared" ca="1" si="8"/>
        <v/>
      </c>
      <c r="S41" s="76"/>
      <c r="T41" s="76"/>
    </row>
    <row r="42" spans="1:59" ht="15" hidden="1">
      <c r="A42" s="981" t="s">
        <v>87</v>
      </c>
      <c r="B42" s="798" t="s">
        <v>383</v>
      </c>
      <c r="C42" s="672"/>
      <c r="D42" s="66"/>
      <c r="E42" s="33"/>
      <c r="F42" s="33"/>
      <c r="G42" s="33"/>
      <c r="H42" s="33"/>
      <c r="I42" s="81"/>
      <c r="J42" s="78"/>
      <c r="K42" s="78"/>
      <c r="L42" s="33"/>
      <c r="M42" s="33"/>
      <c r="N42" s="33"/>
      <c r="O42" s="33"/>
      <c r="P42" s="33"/>
      <c r="Q42" s="33"/>
      <c r="R42" s="33"/>
      <c r="S42" s="4"/>
      <c r="T42" s="4"/>
    </row>
    <row r="43" spans="1:59" ht="21" hidden="1">
      <c r="A43" s="981" t="s">
        <v>87</v>
      </c>
      <c r="B43" s="798" t="s">
        <v>383</v>
      </c>
      <c r="C43" s="672"/>
      <c r="D43" s="66"/>
      <c r="E43" s="215" t="s">
        <v>384</v>
      </c>
      <c r="F43" s="215"/>
      <c r="G43" s="215"/>
      <c r="H43" s="4"/>
      <c r="I43" s="623"/>
      <c r="J43" s="623"/>
      <c r="K43" s="623"/>
      <c r="L43" s="33"/>
      <c r="M43" s="638"/>
      <c r="N43" s="638"/>
      <c r="O43" s="638"/>
      <c r="P43" s="638"/>
      <c r="Q43" s="638"/>
      <c r="R43" s="638"/>
      <c r="S43" s="4"/>
      <c r="T43" s="4"/>
    </row>
    <row r="44" spans="1:59" ht="14.25" hidden="1">
      <c r="A44" s="981" t="s">
        <v>87</v>
      </c>
      <c r="B44" s="798" t="s">
        <v>383</v>
      </c>
      <c r="C44" s="672"/>
      <c r="D44" s="66"/>
      <c r="E44" s="627" t="str">
        <f>"locatie 1"&amp;IF('woningen|utiliteit'!$L$17="","",": "&amp;'woningen|utiliteit'!$L$17)</f>
        <v>locatie 1</v>
      </c>
      <c r="F44" s="182"/>
      <c r="G44" s="182" t="s">
        <v>382</v>
      </c>
      <c r="H44" s="82"/>
      <c r="I44" s="628">
        <f>'variant 1'!$M$73</f>
        <v>0</v>
      </c>
      <c r="J44" s="624">
        <f ca="1">ROW(INDIRECT(RIGHT((_xlfn.FORMULATEXT($I44)),LEN(_xlfn.FORMULATEXT($I44))-1)))</f>
        <v>73</v>
      </c>
      <c r="K44" s="624">
        <f ca="1">COLUMN(INDIRECT(RIGHT((_xlfn.FORMULATEXT($I44)),LEN(_xlfn.FORMULATEXT($I44))-1)))</f>
        <v>13</v>
      </c>
      <c r="L44" s="82"/>
      <c r="M44" s="635" t="str">
        <f t="shared" ref="M44:R47" ca="1" si="9">IF(M18=0,"",IFERROR(INDIRECT(ADDRESS($J44,$K44,,,M$8)),0))</f>
        <v/>
      </c>
      <c r="N44" s="635" t="str">
        <f t="shared" ca="1" si="9"/>
        <v/>
      </c>
      <c r="O44" s="635" t="str">
        <f t="shared" ca="1" si="9"/>
        <v/>
      </c>
      <c r="P44" s="635" t="str">
        <f t="shared" ca="1" si="9"/>
        <v/>
      </c>
      <c r="Q44" s="635" t="str">
        <f t="shared" ca="1" si="9"/>
        <v/>
      </c>
      <c r="R44" s="635" t="str">
        <f t="shared" ca="1" si="9"/>
        <v/>
      </c>
      <c r="S44" s="5"/>
      <c r="T44" s="4"/>
    </row>
    <row r="45" spans="1:59" ht="14.25" hidden="1">
      <c r="A45" s="981" t="s">
        <v>87</v>
      </c>
      <c r="B45" s="798" t="s">
        <v>383</v>
      </c>
      <c r="C45" s="672"/>
      <c r="D45" s="66"/>
      <c r="E45" s="627" t="str">
        <f>"locatie 2"&amp;IF('woningen|utiliteit'!$L$31="","",": "&amp;'woningen|utiliteit'!$L$31)</f>
        <v>locatie 2</v>
      </c>
      <c r="F45" s="220"/>
      <c r="G45" s="220" t="s">
        <v>382</v>
      </c>
      <c r="H45" s="33"/>
      <c r="I45" s="628">
        <f>'variant 1'!$Y$73</f>
        <v>0</v>
      </c>
      <c r="J45" s="624">
        <f ca="1">ROW(INDIRECT(RIGHT((_xlfn.FORMULATEXT($I45)),LEN(_xlfn.FORMULATEXT($I45))-1)))</f>
        <v>73</v>
      </c>
      <c r="K45" s="624">
        <f ca="1">COLUMN(INDIRECT(RIGHT((_xlfn.FORMULATEXT($I45)),LEN(_xlfn.FORMULATEXT($I45))-1)))</f>
        <v>25</v>
      </c>
      <c r="L45" s="33"/>
      <c r="M45" s="635" t="str">
        <f t="shared" ca="1" si="9"/>
        <v/>
      </c>
      <c r="N45" s="635" t="str">
        <f t="shared" ca="1" si="9"/>
        <v/>
      </c>
      <c r="O45" s="635" t="str">
        <f t="shared" ref="O45:R45" ca="1" si="10">IF(O19=0,"",IFERROR(INDIRECT(ADDRESS($J45,$K45,,,O$8)),0))</f>
        <v/>
      </c>
      <c r="P45" s="635" t="str">
        <f t="shared" ca="1" si="10"/>
        <v/>
      </c>
      <c r="Q45" s="635" t="str">
        <f t="shared" ca="1" si="10"/>
        <v/>
      </c>
      <c r="R45" s="635" t="str">
        <f t="shared" ca="1" si="10"/>
        <v/>
      </c>
      <c r="S45" s="5"/>
      <c r="T45" s="4"/>
      <c r="X45" s="763"/>
      <c r="Y45" s="224"/>
      <c r="Z45" s="236"/>
      <c r="AA45" s="875"/>
      <c r="AB45" s="875"/>
      <c r="AC45" s="875"/>
      <c r="AD45" s="875"/>
      <c r="AE45" s="875"/>
      <c r="AF45" s="875"/>
      <c r="AG45" s="875"/>
      <c r="AH45" s="875"/>
      <c r="AI45" s="875"/>
      <c r="AJ45" s="763"/>
      <c r="AK45" s="224"/>
      <c r="AL45" s="236"/>
      <c r="AM45" s="875"/>
      <c r="AN45" s="875"/>
      <c r="AO45" s="875"/>
      <c r="AP45" s="875"/>
      <c r="AQ45" s="875"/>
      <c r="AR45" s="875"/>
      <c r="AS45" s="875"/>
      <c r="AT45" s="875"/>
      <c r="AU45" s="875"/>
      <c r="AV45" s="763"/>
      <c r="AW45" s="224"/>
      <c r="AX45" s="236"/>
      <c r="AY45" s="875"/>
      <c r="AZ45" s="875"/>
      <c r="BA45" s="875"/>
      <c r="BB45" s="875"/>
      <c r="BC45" s="875"/>
      <c r="BD45" s="875"/>
      <c r="BE45" s="875"/>
      <c r="BF45" s="875"/>
      <c r="BG45" s="875"/>
    </row>
    <row r="46" spans="1:59" ht="14.25" hidden="1">
      <c r="A46" s="981" t="s">
        <v>87</v>
      </c>
      <c r="B46" s="798" t="s">
        <v>383</v>
      </c>
      <c r="C46" s="672"/>
      <c r="D46" s="66"/>
      <c r="E46" s="627" t="str">
        <f>"locatie 3"&amp;IF('woningen|utiliteit'!$L$45="","",": "&amp;'woningen|utiliteit'!$L$45)</f>
        <v>locatie 3</v>
      </c>
      <c r="F46" s="220"/>
      <c r="G46" s="220" t="s">
        <v>382</v>
      </c>
      <c r="H46" s="33"/>
      <c r="I46" s="628">
        <f>'variant 1'!$AK$73</f>
        <v>0</v>
      </c>
      <c r="J46" s="624">
        <f ca="1">ROW(INDIRECT(RIGHT((_xlfn.FORMULATEXT($I46)),LEN(_xlfn.FORMULATEXT($I46))-1)))</f>
        <v>73</v>
      </c>
      <c r="K46" s="624">
        <f ca="1">COLUMN(INDIRECT(RIGHT((_xlfn.FORMULATEXT($I46)),LEN(_xlfn.FORMULATEXT($I46))-1)))</f>
        <v>37</v>
      </c>
      <c r="L46" s="33"/>
      <c r="M46" s="635" t="str">
        <f t="shared" ca="1" si="9"/>
        <v/>
      </c>
      <c r="N46" s="635" t="str">
        <f t="shared" ca="1" si="9"/>
        <v/>
      </c>
      <c r="O46" s="635" t="str">
        <f t="shared" ref="O46:R46" ca="1" si="11">IF(O20=0,"",IFERROR(INDIRECT(ADDRESS($J46,$K46,,,O$8)),0))</f>
        <v/>
      </c>
      <c r="P46" s="635" t="str">
        <f t="shared" ca="1" si="11"/>
        <v/>
      </c>
      <c r="Q46" s="635" t="str">
        <f t="shared" ca="1" si="11"/>
        <v/>
      </c>
      <c r="R46" s="635" t="str">
        <f t="shared" ca="1" si="11"/>
        <v/>
      </c>
      <c r="S46" s="5"/>
      <c r="T46" s="4"/>
      <c r="X46" s="763"/>
      <c r="Y46" s="224"/>
      <c r="Z46" s="236"/>
      <c r="AA46" s="875"/>
      <c r="AB46" s="875"/>
      <c r="AC46" s="875"/>
      <c r="AD46" s="875"/>
      <c r="AE46" s="875"/>
      <c r="AF46" s="875"/>
      <c r="AG46" s="875"/>
      <c r="AH46" s="875"/>
      <c r="AI46" s="875"/>
      <c r="AJ46" s="763"/>
      <c r="AK46" s="224"/>
      <c r="AL46" s="236"/>
      <c r="AM46" s="875"/>
      <c r="AN46" s="875"/>
      <c r="AO46" s="875"/>
      <c r="AP46" s="875"/>
      <c r="AQ46" s="875"/>
      <c r="AR46" s="875"/>
      <c r="AS46" s="875"/>
      <c r="AT46" s="875"/>
      <c r="AU46" s="875"/>
      <c r="AV46" s="763"/>
      <c r="AW46" s="224"/>
      <c r="AX46" s="236"/>
      <c r="AY46" s="875"/>
      <c r="AZ46" s="875"/>
      <c r="BA46" s="875"/>
      <c r="BB46" s="875"/>
      <c r="BC46" s="875"/>
      <c r="BD46" s="875"/>
      <c r="BE46" s="875"/>
      <c r="BF46" s="875"/>
      <c r="BG46" s="875"/>
    </row>
    <row r="47" spans="1:59" ht="14.25" hidden="1">
      <c r="A47" s="985" t="s">
        <v>87</v>
      </c>
      <c r="B47" s="798" t="s">
        <v>383</v>
      </c>
      <c r="C47" s="672"/>
      <c r="D47" s="66"/>
      <c r="E47" s="627" t="str">
        <f>"locatie 4"&amp;IF('woningen|utiliteit'!$L$59="","",": "&amp;'woningen|utiliteit'!$L$59)</f>
        <v>locatie 4</v>
      </c>
      <c r="F47" s="182"/>
      <c r="G47" s="182" t="s">
        <v>382</v>
      </c>
      <c r="H47" s="82"/>
      <c r="I47" s="628">
        <f>'variant 1'!$AW$73</f>
        <v>0</v>
      </c>
      <c r="J47" s="624">
        <f ca="1">ROW(INDIRECT(RIGHT((_xlfn.FORMULATEXT($I47)),LEN(_xlfn.FORMULATEXT($I47))-1)))</f>
        <v>73</v>
      </c>
      <c r="K47" s="624">
        <f ca="1">COLUMN(INDIRECT(RIGHT((_xlfn.FORMULATEXT($I47)),LEN(_xlfn.FORMULATEXT($I47))-1)))</f>
        <v>49</v>
      </c>
      <c r="L47" s="82"/>
      <c r="M47" s="635" t="str">
        <f t="shared" ca="1" si="9"/>
        <v/>
      </c>
      <c r="N47" s="635" t="str">
        <f t="shared" ca="1" si="9"/>
        <v/>
      </c>
      <c r="O47" s="635" t="str">
        <f t="shared" ca="1" si="9"/>
        <v/>
      </c>
      <c r="P47" s="635" t="str">
        <f t="shared" ca="1" si="9"/>
        <v/>
      </c>
      <c r="Q47" s="635" t="str">
        <f t="shared" ca="1" si="9"/>
        <v/>
      </c>
      <c r="R47" s="635" t="str">
        <f t="shared" ca="1" si="9"/>
        <v/>
      </c>
      <c r="S47" s="76"/>
      <c r="T47" s="76"/>
    </row>
    <row r="48" spans="1:59" ht="15" hidden="1">
      <c r="A48" s="981" t="s">
        <v>87</v>
      </c>
      <c r="B48" s="798" t="s">
        <v>385</v>
      </c>
      <c r="C48" s="672"/>
      <c r="D48" s="66"/>
      <c r="E48" s="33"/>
      <c r="F48" s="33"/>
      <c r="G48" s="33"/>
      <c r="H48" s="33"/>
      <c r="I48" s="81"/>
      <c r="J48" s="78"/>
      <c r="K48" s="78"/>
      <c r="L48" s="33"/>
      <c r="M48" s="33"/>
      <c r="N48" s="33"/>
      <c r="O48" s="33"/>
      <c r="P48" s="33"/>
      <c r="Q48" s="33"/>
      <c r="R48" s="33"/>
      <c r="S48" s="4"/>
      <c r="T48" s="4"/>
    </row>
    <row r="49" spans="1:20" ht="21" hidden="1">
      <c r="A49" s="981" t="s">
        <v>87</v>
      </c>
      <c r="B49" s="798" t="s">
        <v>385</v>
      </c>
      <c r="C49" s="672"/>
      <c r="D49" s="66"/>
      <c r="E49" s="215" t="s">
        <v>386</v>
      </c>
      <c r="F49" s="215"/>
      <c r="G49" s="215"/>
      <c r="H49" s="4"/>
      <c r="I49" s="623"/>
      <c r="J49" s="623"/>
      <c r="K49" s="623"/>
      <c r="L49" s="33"/>
      <c r="M49" s="638"/>
      <c r="N49" s="638"/>
      <c r="O49" s="638"/>
      <c r="P49" s="638"/>
      <c r="Q49" s="638"/>
      <c r="R49" s="638"/>
      <c r="S49" s="4"/>
      <c r="T49" s="4"/>
    </row>
    <row r="50" spans="1:20" ht="14.25" hidden="1">
      <c r="A50" s="981" t="s">
        <v>87</v>
      </c>
      <c r="B50" s="798" t="s">
        <v>385</v>
      </c>
      <c r="C50" s="672"/>
      <c r="D50" s="66"/>
      <c r="E50" s="627" t="str">
        <f>"locatie 1"&amp;IF('woningen|utiliteit'!$L$17="","",": "&amp;'woningen|utiliteit'!$L$17)</f>
        <v>locatie 1</v>
      </c>
      <c r="F50" s="182"/>
      <c r="G50" s="182" t="s">
        <v>68</v>
      </c>
      <c r="H50" s="82"/>
      <c r="I50" s="628" t="str">
        <f>'variant 1'!$O$83</f>
        <v>ind WP, ind bodem, elek bijstook</v>
      </c>
      <c r="J50" s="624">
        <f ca="1">ROW(INDIRECT(RIGHT((_xlfn.FORMULATEXT($I50)),LEN(_xlfn.FORMULATEXT($I50))-1)))</f>
        <v>83</v>
      </c>
      <c r="K50" s="624">
        <f ca="1">COLUMN(INDIRECT(RIGHT((_xlfn.FORMULATEXT($I50)),LEN(_xlfn.FORMULATEXT($I50))-1)))</f>
        <v>15</v>
      </c>
      <c r="L50" s="82"/>
      <c r="M50" s="185" t="str">
        <f t="shared" ref="M50:R53" ca="1" si="12">IF(M18=0,"",IFERROR(INDIRECT(ADDRESS($J50,$K50,,,M$8)),""))</f>
        <v/>
      </c>
      <c r="N50" s="185" t="str">
        <f t="shared" ca="1" si="12"/>
        <v/>
      </c>
      <c r="O50" s="185" t="str">
        <f t="shared" ca="1" si="12"/>
        <v/>
      </c>
      <c r="P50" s="185" t="str">
        <f t="shared" ca="1" si="12"/>
        <v/>
      </c>
      <c r="Q50" s="185" t="str">
        <f t="shared" ca="1" si="12"/>
        <v/>
      </c>
      <c r="R50" s="185" t="str">
        <f t="shared" ca="1" si="12"/>
        <v/>
      </c>
      <c r="S50" s="5"/>
      <c r="T50" s="5"/>
    </row>
    <row r="51" spans="1:20" ht="14.25" hidden="1">
      <c r="A51" s="981" t="s">
        <v>87</v>
      </c>
      <c r="B51" s="798" t="s">
        <v>385</v>
      </c>
      <c r="C51" s="672"/>
      <c r="D51" s="66"/>
      <c r="E51" s="627" t="str">
        <f>"locatie 2"&amp;IF('woningen|utiliteit'!$L$31="","",": "&amp;'woningen|utiliteit'!$L$31)</f>
        <v>locatie 2</v>
      </c>
      <c r="F51" s="220"/>
      <c r="G51" s="220" t="s">
        <v>68</v>
      </c>
      <c r="H51" s="33"/>
      <c r="I51" s="628" t="str">
        <f>'variant 1'!$AA$83</f>
        <v>ind WP, ind bodem, elek bijstook</v>
      </c>
      <c r="J51" s="624">
        <f ca="1">ROW(INDIRECT(RIGHT((_xlfn.FORMULATEXT($I51)),LEN(_xlfn.FORMULATEXT($I51))-1)))</f>
        <v>83</v>
      </c>
      <c r="K51" s="624">
        <f ca="1">COLUMN(INDIRECT(RIGHT((_xlfn.FORMULATEXT($I51)),LEN(_xlfn.FORMULATEXT($I51))-1)))</f>
        <v>27</v>
      </c>
      <c r="L51" s="33"/>
      <c r="M51" s="185" t="str">
        <f t="shared" ca="1" si="12"/>
        <v/>
      </c>
      <c r="N51" s="185" t="str">
        <f t="shared" ca="1" si="12"/>
        <v/>
      </c>
      <c r="O51" s="185" t="str">
        <f t="shared" ca="1" si="12"/>
        <v/>
      </c>
      <c r="P51" s="185" t="str">
        <f t="shared" ca="1" si="12"/>
        <v/>
      </c>
      <c r="Q51" s="185" t="str">
        <f t="shared" ca="1" si="12"/>
        <v/>
      </c>
      <c r="R51" s="185" t="str">
        <f t="shared" ca="1" si="12"/>
        <v/>
      </c>
      <c r="S51" s="6"/>
      <c r="T51" s="4"/>
    </row>
    <row r="52" spans="1:20" ht="14.25" hidden="1">
      <c r="A52" s="981" t="s">
        <v>87</v>
      </c>
      <c r="B52" s="798" t="s">
        <v>385</v>
      </c>
      <c r="C52" s="672"/>
      <c r="D52" s="66"/>
      <c r="E52" s="627" t="str">
        <f>"locatie 3"&amp;IF('woningen|utiliteit'!$L$45="","",": "&amp;'woningen|utiliteit'!$L$45)</f>
        <v>locatie 3</v>
      </c>
      <c r="F52" s="220"/>
      <c r="G52" s="220" t="s">
        <v>68</v>
      </c>
      <c r="H52" s="33"/>
      <c r="I52" s="628" t="str">
        <f>'variant 1'!$AM$83</f>
        <v>ind WP, ind bodem, elek bijstook</v>
      </c>
      <c r="J52" s="624">
        <f ca="1">ROW(INDIRECT(RIGHT((_xlfn.FORMULATEXT($I52)),LEN(_xlfn.FORMULATEXT($I52))-1)))</f>
        <v>83</v>
      </c>
      <c r="K52" s="624">
        <f ca="1">COLUMN(INDIRECT(RIGHT((_xlfn.FORMULATEXT($I52)),LEN(_xlfn.FORMULATEXT($I52))-1)))</f>
        <v>39</v>
      </c>
      <c r="L52" s="33"/>
      <c r="M52" s="185" t="str">
        <f t="shared" ca="1" si="12"/>
        <v/>
      </c>
      <c r="N52" s="185" t="str">
        <f t="shared" ca="1" si="12"/>
        <v/>
      </c>
      <c r="O52" s="185" t="str">
        <f t="shared" ca="1" si="12"/>
        <v/>
      </c>
      <c r="P52" s="185" t="str">
        <f t="shared" ca="1" si="12"/>
        <v/>
      </c>
      <c r="Q52" s="185" t="str">
        <f t="shared" ca="1" si="12"/>
        <v/>
      </c>
      <c r="R52" s="185" t="str">
        <f t="shared" ca="1" si="12"/>
        <v/>
      </c>
      <c r="S52" s="4"/>
      <c r="T52" s="4"/>
    </row>
    <row r="53" spans="1:20" ht="14.25" hidden="1">
      <c r="A53" s="985" t="s">
        <v>87</v>
      </c>
      <c r="B53" s="798" t="s">
        <v>385</v>
      </c>
      <c r="C53" s="673"/>
      <c r="D53" s="66"/>
      <c r="E53" s="627" t="str">
        <f>"locatie 4"&amp;IF('woningen|utiliteit'!$L$59="","",": "&amp;'woningen|utiliteit'!$L$59)</f>
        <v>locatie 4</v>
      </c>
      <c r="F53" s="182"/>
      <c r="G53" s="182" t="s">
        <v>68</v>
      </c>
      <c r="H53" s="82"/>
      <c r="I53" s="628" t="str">
        <f>'variant 1'!$AY$83</f>
        <v>ind WP, ind bodem, elek bijstook</v>
      </c>
      <c r="J53" s="624">
        <f ca="1">ROW(INDIRECT(RIGHT((_xlfn.FORMULATEXT($I53)),LEN(_xlfn.FORMULATEXT($I53))-1)))</f>
        <v>83</v>
      </c>
      <c r="K53" s="624">
        <f ca="1">COLUMN(INDIRECT(RIGHT((_xlfn.FORMULATEXT($I53)),LEN(_xlfn.FORMULATEXT($I53))-1)))</f>
        <v>51</v>
      </c>
      <c r="L53" s="82"/>
      <c r="M53" s="185" t="str">
        <f t="shared" ca="1" si="12"/>
        <v/>
      </c>
      <c r="N53" s="185" t="str">
        <f t="shared" ca="1" si="12"/>
        <v/>
      </c>
      <c r="O53" s="185" t="str">
        <f t="shared" ca="1" si="12"/>
        <v/>
      </c>
      <c r="P53" s="185" t="str">
        <f t="shared" ca="1" si="12"/>
        <v/>
      </c>
      <c r="Q53" s="185" t="str">
        <f t="shared" ca="1" si="12"/>
        <v/>
      </c>
      <c r="R53" s="185" t="str">
        <f t="shared" ca="1" si="12"/>
        <v/>
      </c>
      <c r="S53" s="76"/>
      <c r="T53" s="76"/>
    </row>
    <row r="54" spans="1:20" ht="15" hidden="1">
      <c r="A54" s="981" t="s">
        <v>87</v>
      </c>
      <c r="B54" s="798" t="s">
        <v>385</v>
      </c>
      <c r="C54" s="672"/>
      <c r="D54" s="66"/>
      <c r="E54" s="33"/>
      <c r="F54" s="33"/>
      <c r="G54" s="33"/>
      <c r="H54" s="33"/>
      <c r="I54" s="81"/>
      <c r="J54" s="78"/>
      <c r="K54" s="78"/>
      <c r="L54" s="33"/>
      <c r="M54" s="33"/>
      <c r="N54" s="33"/>
      <c r="O54" s="33"/>
      <c r="P54" s="33"/>
      <c r="Q54" s="33"/>
      <c r="R54" s="33"/>
      <c r="S54" s="4"/>
      <c r="T54" s="4"/>
    </row>
    <row r="55" spans="1:20" ht="21" hidden="1">
      <c r="A55" s="981" t="s">
        <v>87</v>
      </c>
      <c r="B55" s="798" t="s">
        <v>385</v>
      </c>
      <c r="C55" s="672"/>
      <c r="D55" s="66"/>
      <c r="E55" s="215" t="s">
        <v>387</v>
      </c>
      <c r="F55" s="215"/>
      <c r="G55" s="215"/>
      <c r="H55" s="4"/>
      <c r="I55" s="623"/>
      <c r="J55" s="623"/>
      <c r="K55" s="623"/>
      <c r="L55" s="33"/>
      <c r="M55" s="638"/>
      <c r="N55" s="638"/>
      <c r="O55" s="638"/>
      <c r="P55" s="638"/>
      <c r="Q55" s="638"/>
      <c r="R55" s="638"/>
      <c r="S55" s="4"/>
      <c r="T55" s="4"/>
    </row>
    <row r="56" spans="1:20" ht="14.25" hidden="1">
      <c r="A56" s="981" t="s">
        <v>87</v>
      </c>
      <c r="B56" s="798" t="s">
        <v>385</v>
      </c>
      <c r="C56" s="672"/>
      <c r="D56" s="66"/>
      <c r="E56" s="627" t="str">
        <f>"locatie 1"&amp;IF('woningen|utiliteit'!$L$17="","",": "&amp;'woningen|utiliteit'!$L$17)</f>
        <v>locatie 1</v>
      </c>
      <c r="F56" s="182"/>
      <c r="G56" s="182" t="s">
        <v>68</v>
      </c>
      <c r="H56" s="82"/>
      <c r="I56" s="628" t="str">
        <f>'variant 1'!$P$83</f>
        <v>geen</v>
      </c>
      <c r="J56" s="624">
        <f ca="1">ROW(INDIRECT(RIGHT((_xlfn.FORMULATEXT($I56)),LEN(_xlfn.FORMULATEXT($I56))-1)))</f>
        <v>83</v>
      </c>
      <c r="K56" s="624">
        <f ca="1">COLUMN(INDIRECT(RIGHT((_xlfn.FORMULATEXT($I56)),LEN(_xlfn.FORMULATEXT($I56))-1)))</f>
        <v>16</v>
      </c>
      <c r="L56" s="82"/>
      <c r="M56" s="185" t="str">
        <f t="shared" ref="M56:R59" ca="1" si="13">IF(M18=0,"",IFERROR(INDIRECT(ADDRESS($J56,$K56,,,M$8)),""))</f>
        <v/>
      </c>
      <c r="N56" s="185" t="str">
        <f t="shared" ca="1" si="13"/>
        <v/>
      </c>
      <c r="O56" s="185" t="str">
        <f t="shared" ca="1" si="13"/>
        <v/>
      </c>
      <c r="P56" s="185" t="str">
        <f t="shared" ca="1" si="13"/>
        <v/>
      </c>
      <c r="Q56" s="185" t="str">
        <f t="shared" ca="1" si="13"/>
        <v/>
      </c>
      <c r="R56" s="185" t="str">
        <f t="shared" ca="1" si="13"/>
        <v/>
      </c>
      <c r="S56" s="5"/>
      <c r="T56" s="5"/>
    </row>
    <row r="57" spans="1:20" ht="14.25" hidden="1">
      <c r="A57" s="981" t="s">
        <v>87</v>
      </c>
      <c r="B57" s="798" t="s">
        <v>385</v>
      </c>
      <c r="C57" s="672"/>
      <c r="D57" s="66"/>
      <c r="E57" s="627" t="str">
        <f>"locatie 2"&amp;IF('woningen|utiliteit'!$L$31="","",": "&amp;'woningen|utiliteit'!$L$31)</f>
        <v>locatie 2</v>
      </c>
      <c r="F57" s="220"/>
      <c r="G57" s="220" t="s">
        <v>68</v>
      </c>
      <c r="H57" s="33"/>
      <c r="I57" s="628" t="str">
        <f>'variant 1'!$AB$83</f>
        <v>geen</v>
      </c>
      <c r="J57" s="624">
        <f ca="1">ROW(INDIRECT(RIGHT((_xlfn.FORMULATEXT($I57)),LEN(_xlfn.FORMULATEXT($I57))-1)))</f>
        <v>83</v>
      </c>
      <c r="K57" s="624">
        <f ca="1">COLUMN(INDIRECT(RIGHT((_xlfn.FORMULATEXT($I57)),LEN(_xlfn.FORMULATEXT($I57))-1)))</f>
        <v>28</v>
      </c>
      <c r="L57" s="33"/>
      <c r="M57" s="185" t="str">
        <f t="shared" ca="1" si="13"/>
        <v/>
      </c>
      <c r="N57" s="185" t="str">
        <f t="shared" ca="1" si="13"/>
        <v/>
      </c>
      <c r="O57" s="185" t="str">
        <f t="shared" ca="1" si="13"/>
        <v/>
      </c>
      <c r="P57" s="185" t="str">
        <f t="shared" ca="1" si="13"/>
        <v/>
      </c>
      <c r="Q57" s="185" t="str">
        <f t="shared" ca="1" si="13"/>
        <v/>
      </c>
      <c r="R57" s="185" t="str">
        <f t="shared" ca="1" si="13"/>
        <v/>
      </c>
      <c r="S57" s="6"/>
      <c r="T57" s="4"/>
    </row>
    <row r="58" spans="1:20" ht="14.25" hidden="1">
      <c r="A58" s="981" t="s">
        <v>87</v>
      </c>
      <c r="B58" s="798" t="s">
        <v>385</v>
      </c>
      <c r="C58" s="672"/>
      <c r="D58" s="66"/>
      <c r="E58" s="627" t="str">
        <f>"locatie 3"&amp;IF('woningen|utiliteit'!$L$45="","",": "&amp;'woningen|utiliteit'!$L$45)</f>
        <v>locatie 3</v>
      </c>
      <c r="F58" s="220"/>
      <c r="G58" s="220" t="s">
        <v>68</v>
      </c>
      <c r="H58" s="33"/>
      <c r="I58" s="628" t="str">
        <f>'variant 1'!$AN$83</f>
        <v>geen</v>
      </c>
      <c r="J58" s="624">
        <f ca="1">ROW(INDIRECT(RIGHT((_xlfn.FORMULATEXT($I58)),LEN(_xlfn.FORMULATEXT($I58))-1)))</f>
        <v>83</v>
      </c>
      <c r="K58" s="624">
        <f ca="1">COLUMN(INDIRECT(RIGHT((_xlfn.FORMULATEXT($I58)),LEN(_xlfn.FORMULATEXT($I58))-1)))</f>
        <v>40</v>
      </c>
      <c r="L58" s="33"/>
      <c r="M58" s="185" t="str">
        <f t="shared" ca="1" si="13"/>
        <v/>
      </c>
      <c r="N58" s="185" t="str">
        <f t="shared" ca="1" si="13"/>
        <v/>
      </c>
      <c r="O58" s="185" t="str">
        <f t="shared" ca="1" si="13"/>
        <v/>
      </c>
      <c r="P58" s="185" t="str">
        <f t="shared" ca="1" si="13"/>
        <v/>
      </c>
      <c r="Q58" s="185" t="str">
        <f t="shared" ca="1" si="13"/>
        <v/>
      </c>
      <c r="R58" s="185" t="str">
        <f t="shared" ca="1" si="13"/>
        <v/>
      </c>
      <c r="S58" s="4"/>
      <c r="T58" s="4"/>
    </row>
    <row r="59" spans="1:20" ht="14.25" hidden="1">
      <c r="A59" s="985" t="s">
        <v>87</v>
      </c>
      <c r="B59" s="798" t="s">
        <v>385</v>
      </c>
      <c r="C59" s="673"/>
      <c r="D59" s="66"/>
      <c r="E59" s="627" t="str">
        <f>"locatie 4"&amp;IF('woningen|utiliteit'!$L$59="","",": "&amp;'woningen|utiliteit'!$L$59)</f>
        <v>locatie 4</v>
      </c>
      <c r="F59" s="182"/>
      <c r="G59" s="182" t="s">
        <v>68</v>
      </c>
      <c r="H59" s="82"/>
      <c r="I59" s="628" t="str">
        <f>'variant 1'!$AZ$83</f>
        <v>geen</v>
      </c>
      <c r="J59" s="624">
        <f ca="1">ROW(INDIRECT(RIGHT((_xlfn.FORMULATEXT($I59)),LEN(_xlfn.FORMULATEXT($I59))-1)))</f>
        <v>83</v>
      </c>
      <c r="K59" s="624">
        <f ca="1">COLUMN(INDIRECT(RIGHT((_xlfn.FORMULATEXT($I59)),LEN(_xlfn.FORMULATEXT($I59))-1)))</f>
        <v>52</v>
      </c>
      <c r="L59" s="82"/>
      <c r="M59" s="185" t="str">
        <f t="shared" ca="1" si="13"/>
        <v/>
      </c>
      <c r="N59" s="185" t="str">
        <f t="shared" ca="1" si="13"/>
        <v/>
      </c>
      <c r="O59" s="185" t="str">
        <f t="shared" ca="1" si="13"/>
        <v/>
      </c>
      <c r="P59" s="185" t="str">
        <f t="shared" ca="1" si="13"/>
        <v/>
      </c>
      <c r="Q59" s="185" t="str">
        <f t="shared" ca="1" si="13"/>
        <v/>
      </c>
      <c r="R59" s="185" t="str">
        <f t="shared" ca="1" si="13"/>
        <v/>
      </c>
      <c r="S59" s="76"/>
      <c r="T59" s="76"/>
    </row>
    <row r="60" spans="1:20" ht="15" hidden="1">
      <c r="A60" s="981" t="s">
        <v>87</v>
      </c>
      <c r="B60" s="798" t="s">
        <v>385</v>
      </c>
      <c r="C60" s="672"/>
      <c r="D60" s="66"/>
      <c r="E60" s="33"/>
      <c r="F60" s="33"/>
      <c r="G60" s="33"/>
      <c r="H60" s="33"/>
      <c r="I60" s="81"/>
      <c r="J60" s="78"/>
      <c r="K60" s="78"/>
      <c r="L60" s="33"/>
      <c r="M60" s="33"/>
      <c r="N60" s="33"/>
      <c r="O60" s="33"/>
      <c r="P60" s="33"/>
      <c r="Q60" s="33"/>
      <c r="R60" s="33"/>
      <c r="S60" s="4"/>
      <c r="T60" s="4"/>
    </row>
    <row r="61" spans="1:20" ht="21" hidden="1">
      <c r="A61" s="981" t="s">
        <v>87</v>
      </c>
      <c r="B61" s="798" t="s">
        <v>385</v>
      </c>
      <c r="C61" s="672"/>
      <c r="D61" s="66"/>
      <c r="E61" s="215" t="s">
        <v>388</v>
      </c>
      <c r="F61" s="215"/>
      <c r="G61" s="215"/>
      <c r="H61" s="4"/>
      <c r="I61" s="623"/>
      <c r="J61" s="623"/>
      <c r="K61" s="623"/>
      <c r="L61" s="33"/>
      <c r="M61" s="638"/>
      <c r="N61" s="638"/>
      <c r="O61" s="638"/>
      <c r="P61" s="638"/>
      <c r="Q61" s="638"/>
      <c r="R61" s="638"/>
      <c r="S61" s="4"/>
      <c r="T61" s="4"/>
    </row>
    <row r="62" spans="1:20" ht="14.25" hidden="1">
      <c r="A62" s="981" t="s">
        <v>87</v>
      </c>
      <c r="B62" s="798" t="s">
        <v>385</v>
      </c>
      <c r="C62" s="672"/>
      <c r="D62" s="66"/>
      <c r="E62" s="627" t="str">
        <f>"locatie 1"&amp;IF('woningen|utiliteit'!$L$17="","",": "&amp;'woningen|utiliteit'!$L$17)</f>
        <v>locatie 1</v>
      </c>
      <c r="F62" s="182"/>
      <c r="G62" s="182" t="s">
        <v>68</v>
      </c>
      <c r="H62" s="82"/>
      <c r="I62" s="628" t="str">
        <f>'variant 1'!$Q$83</f>
        <v>ind WP, ind bodem, elek bijstook</v>
      </c>
      <c r="J62" s="624">
        <f ca="1">ROW(INDIRECT(RIGHT((_xlfn.FORMULATEXT($I62)),LEN(_xlfn.FORMULATEXT($I62))-1)))</f>
        <v>83</v>
      </c>
      <c r="K62" s="624">
        <f ca="1">COLUMN(INDIRECT(RIGHT((_xlfn.FORMULATEXT($I62)),LEN(_xlfn.FORMULATEXT($I62))-1)))</f>
        <v>17</v>
      </c>
      <c r="L62" s="82"/>
      <c r="M62" s="185" t="str">
        <f t="shared" ref="M62:R65" ca="1" si="14">IF(M18=0,"",IFERROR(INDIRECT(ADDRESS($J62,$K62,,,M$8)),""))</f>
        <v/>
      </c>
      <c r="N62" s="185" t="str">
        <f t="shared" ca="1" si="14"/>
        <v/>
      </c>
      <c r="O62" s="185" t="str">
        <f t="shared" ca="1" si="14"/>
        <v/>
      </c>
      <c r="P62" s="185" t="str">
        <f t="shared" ca="1" si="14"/>
        <v/>
      </c>
      <c r="Q62" s="185" t="str">
        <f t="shared" ca="1" si="14"/>
        <v/>
      </c>
      <c r="R62" s="185" t="str">
        <f t="shared" ca="1" si="14"/>
        <v/>
      </c>
      <c r="S62" s="5"/>
      <c r="T62" s="5"/>
    </row>
    <row r="63" spans="1:20" ht="14.25" hidden="1">
      <c r="A63" s="981" t="s">
        <v>87</v>
      </c>
      <c r="B63" s="798" t="s">
        <v>385</v>
      </c>
      <c r="C63" s="672"/>
      <c r="D63" s="66"/>
      <c r="E63" s="627" t="str">
        <f>"locatie 2"&amp;IF('woningen|utiliteit'!$L$31="","",": "&amp;'woningen|utiliteit'!$L$31)</f>
        <v>locatie 2</v>
      </c>
      <c r="F63" s="220"/>
      <c r="G63" s="220" t="s">
        <v>68</v>
      </c>
      <c r="H63" s="33"/>
      <c r="I63" s="628" t="str">
        <f>'variant 1'!$AC$83</f>
        <v>ind WP, ind bodem, elek bijstook</v>
      </c>
      <c r="J63" s="624">
        <f ca="1">ROW(INDIRECT(RIGHT((_xlfn.FORMULATEXT($I63)),LEN(_xlfn.FORMULATEXT($I63))-1)))</f>
        <v>83</v>
      </c>
      <c r="K63" s="624">
        <f ca="1">COLUMN(INDIRECT(RIGHT((_xlfn.FORMULATEXT($I63)),LEN(_xlfn.FORMULATEXT($I63))-1)))</f>
        <v>29</v>
      </c>
      <c r="L63" s="33"/>
      <c r="M63" s="185" t="str">
        <f t="shared" ca="1" si="14"/>
        <v/>
      </c>
      <c r="N63" s="185" t="str">
        <f t="shared" ca="1" si="14"/>
        <v/>
      </c>
      <c r="O63" s="185" t="str">
        <f t="shared" ca="1" si="14"/>
        <v/>
      </c>
      <c r="P63" s="185" t="str">
        <f t="shared" ca="1" si="14"/>
        <v/>
      </c>
      <c r="Q63" s="185" t="str">
        <f t="shared" ca="1" si="14"/>
        <v/>
      </c>
      <c r="R63" s="185" t="str">
        <f t="shared" ca="1" si="14"/>
        <v/>
      </c>
      <c r="S63" s="6"/>
      <c r="T63" s="4"/>
    </row>
    <row r="64" spans="1:20" ht="14.25" hidden="1">
      <c r="A64" s="981" t="s">
        <v>87</v>
      </c>
      <c r="B64" s="798" t="s">
        <v>385</v>
      </c>
      <c r="C64" s="672"/>
      <c r="D64" s="66"/>
      <c r="E64" s="627" t="str">
        <f>"locatie 3"&amp;IF('woningen|utiliteit'!$L$45="","",": "&amp;'woningen|utiliteit'!$L$45)</f>
        <v>locatie 3</v>
      </c>
      <c r="F64" s="220"/>
      <c r="G64" s="220" t="s">
        <v>68</v>
      </c>
      <c r="H64" s="33"/>
      <c r="I64" s="628" t="str">
        <f>'variant 1'!$AO$83</f>
        <v>ind WP, ind bodem, elek bijstook</v>
      </c>
      <c r="J64" s="624">
        <f ca="1">ROW(INDIRECT(RIGHT((_xlfn.FORMULATEXT($I64)),LEN(_xlfn.FORMULATEXT($I64))-1)))</f>
        <v>83</v>
      </c>
      <c r="K64" s="624">
        <f ca="1">COLUMN(INDIRECT(RIGHT((_xlfn.FORMULATEXT($I64)),LEN(_xlfn.FORMULATEXT($I64))-1)))</f>
        <v>41</v>
      </c>
      <c r="L64" s="33"/>
      <c r="M64" s="185" t="str">
        <f t="shared" ca="1" si="14"/>
        <v/>
      </c>
      <c r="N64" s="185" t="str">
        <f t="shared" ca="1" si="14"/>
        <v/>
      </c>
      <c r="O64" s="185" t="str">
        <f t="shared" ca="1" si="14"/>
        <v/>
      </c>
      <c r="P64" s="185" t="str">
        <f t="shared" ca="1" si="14"/>
        <v/>
      </c>
      <c r="Q64" s="185" t="str">
        <f t="shared" ca="1" si="14"/>
        <v/>
      </c>
      <c r="R64" s="185" t="str">
        <f t="shared" ca="1" si="14"/>
        <v/>
      </c>
      <c r="S64" s="4"/>
      <c r="T64" s="4"/>
    </row>
    <row r="65" spans="1:20" ht="14.25" hidden="1">
      <c r="A65" s="985" t="s">
        <v>87</v>
      </c>
      <c r="B65" s="798" t="s">
        <v>385</v>
      </c>
      <c r="C65" s="673"/>
      <c r="D65" s="66"/>
      <c r="E65" s="627" t="str">
        <f>"locatie 4"&amp;IF('woningen|utiliteit'!$L$59="","",": "&amp;'woningen|utiliteit'!$L$59)</f>
        <v>locatie 4</v>
      </c>
      <c r="F65" s="182"/>
      <c r="G65" s="182" t="s">
        <v>68</v>
      </c>
      <c r="H65" s="82"/>
      <c r="I65" s="628" t="str">
        <f>'variant 1'!$BA$83</f>
        <v>ind WP, ind bodem, elek bijstook</v>
      </c>
      <c r="J65" s="624">
        <f ca="1">ROW(INDIRECT(RIGHT((_xlfn.FORMULATEXT($I65)),LEN(_xlfn.FORMULATEXT($I65))-1)))</f>
        <v>83</v>
      </c>
      <c r="K65" s="624">
        <f ca="1">COLUMN(INDIRECT(RIGHT((_xlfn.FORMULATEXT($I65)),LEN(_xlfn.FORMULATEXT($I65))-1)))</f>
        <v>53</v>
      </c>
      <c r="L65" s="82"/>
      <c r="M65" s="185" t="str">
        <f t="shared" ca="1" si="14"/>
        <v/>
      </c>
      <c r="N65" s="185" t="str">
        <f t="shared" ca="1" si="14"/>
        <v/>
      </c>
      <c r="O65" s="185" t="str">
        <f t="shared" ca="1" si="14"/>
        <v/>
      </c>
      <c r="P65" s="185" t="str">
        <f t="shared" ca="1" si="14"/>
        <v/>
      </c>
      <c r="Q65" s="185" t="str">
        <f t="shared" ca="1" si="14"/>
        <v/>
      </c>
      <c r="R65" s="185" t="str">
        <f t="shared" ca="1" si="14"/>
        <v/>
      </c>
      <c r="S65" s="76"/>
      <c r="T65" s="76"/>
    </row>
    <row r="66" spans="1:20" ht="15" hidden="1">
      <c r="A66" s="981" t="s">
        <v>87</v>
      </c>
      <c r="B66" s="798" t="s">
        <v>389</v>
      </c>
      <c r="C66" s="672"/>
      <c r="D66" s="66"/>
      <c r="E66" s="4"/>
      <c r="F66" s="4"/>
      <c r="G66" s="4"/>
      <c r="H66" s="33"/>
      <c r="I66" s="78"/>
      <c r="J66" s="78"/>
      <c r="K66" s="78"/>
      <c r="L66" s="33"/>
      <c r="M66" s="4"/>
      <c r="N66" s="4"/>
      <c r="O66" s="4"/>
      <c r="P66" s="4"/>
      <c r="Q66" s="4"/>
      <c r="R66" s="4"/>
      <c r="S66" s="4"/>
      <c r="T66" s="4"/>
    </row>
    <row r="67" spans="1:20" ht="21" hidden="1">
      <c r="A67" s="981" t="s">
        <v>87</v>
      </c>
      <c r="B67" s="798" t="s">
        <v>389</v>
      </c>
      <c r="C67" s="672"/>
      <c r="D67" s="66"/>
      <c r="E67" s="215" t="s">
        <v>390</v>
      </c>
      <c r="F67" s="215"/>
      <c r="G67" s="215"/>
      <c r="H67" s="4"/>
      <c r="I67" s="623"/>
      <c r="J67" s="623"/>
      <c r="K67" s="623"/>
      <c r="L67" s="33"/>
      <c r="M67" s="638"/>
      <c r="N67" s="638"/>
      <c r="O67" s="638"/>
      <c r="P67" s="638"/>
      <c r="Q67" s="638"/>
      <c r="R67" s="638"/>
      <c r="S67" s="4"/>
      <c r="T67" s="4"/>
    </row>
    <row r="68" spans="1:20" ht="14.25" hidden="1">
      <c r="A68" s="986" t="s">
        <v>87</v>
      </c>
      <c r="B68" s="798" t="s">
        <v>389</v>
      </c>
      <c r="C68" s="672"/>
      <c r="D68" s="66"/>
      <c r="E68" s="627" t="str">
        <f>"locatie 1"&amp;IF('woningen|utiliteit'!$L$17="","",": "&amp;'woningen|utiliteit'!$L$17)</f>
        <v>locatie 1</v>
      </c>
      <c r="F68" s="182"/>
      <c r="G68" s="220" t="s">
        <v>391</v>
      </c>
      <c r="H68" s="33"/>
      <c r="I68" s="628">
        <f>'variant 1'!$M$14</f>
        <v>0</v>
      </c>
      <c r="J68" s="624">
        <f ca="1">ROW(INDIRECT(RIGHT((_xlfn.FORMULATEXT($I68)),LEN(_xlfn.FORMULATEXT($I68))-1)))</f>
        <v>14</v>
      </c>
      <c r="K68" s="624">
        <f ca="1">COLUMN(INDIRECT(RIGHT((_xlfn.FORMULATEXT($I68)),LEN(_xlfn.FORMULATEXT($I68))-1)))</f>
        <v>13</v>
      </c>
      <c r="L68" s="33"/>
      <c r="M68" s="207" t="str">
        <f t="shared" ref="M68:R71" ca="1" si="15">IF(M18=0,"",IFERROR(IF(INDIRECT(ADDRESS($J68,$K68,,,M$8))=0,"",INDIRECT(ADDRESS($J68,$K68,,,M$8))),""))</f>
        <v/>
      </c>
      <c r="N68" s="207" t="str">
        <f t="shared" ca="1" si="15"/>
        <v/>
      </c>
      <c r="O68" s="207" t="str">
        <f t="shared" ca="1" si="15"/>
        <v/>
      </c>
      <c r="P68" s="207" t="str">
        <f t="shared" ca="1" si="15"/>
        <v/>
      </c>
      <c r="Q68" s="207" t="str">
        <f t="shared" ca="1" si="15"/>
        <v/>
      </c>
      <c r="R68" s="207" t="str">
        <f t="shared" ca="1" si="15"/>
        <v/>
      </c>
      <c r="S68" s="4"/>
      <c r="T68" s="4"/>
    </row>
    <row r="69" spans="1:20" ht="14.25" hidden="1">
      <c r="A69" s="986" t="s">
        <v>87</v>
      </c>
      <c r="B69" s="798" t="s">
        <v>389</v>
      </c>
      <c r="C69" s="672"/>
      <c r="D69" s="66"/>
      <c r="E69" s="627" t="str">
        <f>"locatie 2"&amp;IF('woningen|utiliteit'!$L$31="","",": "&amp;'woningen|utiliteit'!$L$31)</f>
        <v>locatie 2</v>
      </c>
      <c r="F69" s="220"/>
      <c r="G69" s="220" t="s">
        <v>391</v>
      </c>
      <c r="H69" s="33"/>
      <c r="I69" s="628">
        <f>'variant 1'!$Y$14</f>
        <v>0</v>
      </c>
      <c r="J69" s="624">
        <f ca="1">ROW(INDIRECT(RIGHT((_xlfn.FORMULATEXT($I69)),LEN(_xlfn.FORMULATEXT($I69))-1)))</f>
        <v>14</v>
      </c>
      <c r="K69" s="624">
        <f ca="1">COLUMN(INDIRECT(RIGHT((_xlfn.FORMULATEXT($I69)),LEN(_xlfn.FORMULATEXT($I69))-1)))</f>
        <v>25</v>
      </c>
      <c r="L69" s="33"/>
      <c r="M69" s="207" t="str">
        <f t="shared" ca="1" si="15"/>
        <v/>
      </c>
      <c r="N69" s="207" t="str">
        <f t="shared" ca="1" si="15"/>
        <v/>
      </c>
      <c r="O69" s="207" t="str">
        <f t="shared" ca="1" si="15"/>
        <v/>
      </c>
      <c r="P69" s="207" t="str">
        <f t="shared" ca="1" si="15"/>
        <v/>
      </c>
      <c r="Q69" s="207" t="str">
        <f t="shared" ca="1" si="15"/>
        <v/>
      </c>
      <c r="R69" s="207" t="str">
        <f t="shared" ca="1" si="15"/>
        <v/>
      </c>
      <c r="S69" s="4"/>
      <c r="T69" s="4"/>
    </row>
    <row r="70" spans="1:20" ht="14.25" hidden="1">
      <c r="A70" s="986" t="s">
        <v>87</v>
      </c>
      <c r="B70" s="798" t="s">
        <v>389</v>
      </c>
      <c r="C70" s="672"/>
      <c r="D70" s="66"/>
      <c r="E70" s="627" t="str">
        <f>"locatie 3"&amp;IF('woningen|utiliteit'!$L$45="","",": "&amp;'woningen|utiliteit'!$L$45)</f>
        <v>locatie 3</v>
      </c>
      <c r="F70" s="220"/>
      <c r="G70" s="220" t="s">
        <v>391</v>
      </c>
      <c r="H70" s="33"/>
      <c r="I70" s="628">
        <f>'variant 1'!$AK$14</f>
        <v>0</v>
      </c>
      <c r="J70" s="624">
        <f ca="1">ROW(INDIRECT(RIGHT((_xlfn.FORMULATEXT($I70)),LEN(_xlfn.FORMULATEXT($I70))-1)))</f>
        <v>14</v>
      </c>
      <c r="K70" s="624">
        <f ca="1">COLUMN(INDIRECT(RIGHT((_xlfn.FORMULATEXT($I70)),LEN(_xlfn.FORMULATEXT($I70))-1)))</f>
        <v>37</v>
      </c>
      <c r="L70" s="33"/>
      <c r="M70" s="207" t="str">
        <f t="shared" ca="1" si="15"/>
        <v/>
      </c>
      <c r="N70" s="207" t="str">
        <f t="shared" ca="1" si="15"/>
        <v/>
      </c>
      <c r="O70" s="207" t="str">
        <f t="shared" ca="1" si="15"/>
        <v/>
      </c>
      <c r="P70" s="207" t="str">
        <f t="shared" ca="1" si="15"/>
        <v/>
      </c>
      <c r="Q70" s="207" t="str">
        <f t="shared" ca="1" si="15"/>
        <v/>
      </c>
      <c r="R70" s="207" t="str">
        <f t="shared" ca="1" si="15"/>
        <v/>
      </c>
      <c r="S70" s="4"/>
      <c r="T70" s="4"/>
    </row>
    <row r="71" spans="1:20" ht="14.25" hidden="1">
      <c r="A71" s="986" t="s">
        <v>87</v>
      </c>
      <c r="B71" s="798" t="s">
        <v>389</v>
      </c>
      <c r="C71" s="672"/>
      <c r="D71" s="66"/>
      <c r="E71" s="627" t="str">
        <f>"locatie 4"&amp;IF('woningen|utiliteit'!$L$59="","",": "&amp;'woningen|utiliteit'!$L$59)</f>
        <v>locatie 4</v>
      </c>
      <c r="F71" s="182"/>
      <c r="G71" s="220" t="s">
        <v>391</v>
      </c>
      <c r="H71" s="33"/>
      <c r="I71" s="628">
        <f>'variant 1'!$AW$14</f>
        <v>0</v>
      </c>
      <c r="J71" s="624">
        <f ca="1">ROW(INDIRECT(RIGHT((_xlfn.FORMULATEXT($I71)),LEN(_xlfn.FORMULATEXT($I71))-1)))</f>
        <v>14</v>
      </c>
      <c r="K71" s="624">
        <f ca="1">COLUMN(INDIRECT(RIGHT((_xlfn.FORMULATEXT($I71)),LEN(_xlfn.FORMULATEXT($I71))-1)))</f>
        <v>49</v>
      </c>
      <c r="L71" s="33"/>
      <c r="M71" s="207" t="str">
        <f t="shared" ca="1" si="15"/>
        <v/>
      </c>
      <c r="N71" s="207" t="str">
        <f t="shared" ca="1" si="15"/>
        <v/>
      </c>
      <c r="O71" s="207" t="str">
        <f t="shared" ca="1" si="15"/>
        <v/>
      </c>
      <c r="P71" s="207" t="str">
        <f t="shared" ca="1" si="15"/>
        <v/>
      </c>
      <c r="Q71" s="207" t="str">
        <f t="shared" ca="1" si="15"/>
        <v/>
      </c>
      <c r="R71" s="207" t="str">
        <f t="shared" ca="1" si="15"/>
        <v/>
      </c>
      <c r="S71" s="4"/>
      <c r="T71" s="4"/>
    </row>
    <row r="72" spans="1:20" ht="15" hidden="1">
      <c r="A72" s="981" t="s">
        <v>87</v>
      </c>
      <c r="B72" s="798" t="s">
        <v>389</v>
      </c>
      <c r="C72" s="672"/>
      <c r="D72" s="66"/>
      <c r="E72" s="220" t="s">
        <v>392</v>
      </c>
      <c r="F72" s="220"/>
      <c r="G72" s="220" t="s">
        <v>391</v>
      </c>
      <c r="H72" s="33"/>
      <c r="I72" s="629"/>
      <c r="J72" s="629"/>
      <c r="K72" s="629"/>
      <c r="L72" s="33"/>
      <c r="M72" s="207">
        <f t="shared" ref="M72:R72" ca="1" si="16">SUM(M68:M71)</f>
        <v>0</v>
      </c>
      <c r="N72" s="207">
        <f t="shared" ca="1" si="16"/>
        <v>0</v>
      </c>
      <c r="O72" s="207">
        <f t="shared" ca="1" si="16"/>
        <v>0</v>
      </c>
      <c r="P72" s="207">
        <f t="shared" ca="1" si="16"/>
        <v>0</v>
      </c>
      <c r="Q72" s="207">
        <f t="shared" ca="1" si="16"/>
        <v>0</v>
      </c>
      <c r="R72" s="207">
        <f t="shared" ca="1" si="16"/>
        <v>0</v>
      </c>
      <c r="S72" s="4"/>
      <c r="T72" s="4"/>
    </row>
    <row r="73" spans="1:20" s="611" customFormat="1" ht="5.25" hidden="1">
      <c r="A73" s="982" t="s">
        <v>87</v>
      </c>
      <c r="B73" s="797" t="s">
        <v>389</v>
      </c>
      <c r="C73" s="667"/>
      <c r="D73" s="610"/>
      <c r="E73" s="642"/>
      <c r="F73" s="642"/>
      <c r="G73" s="642"/>
      <c r="H73" s="642"/>
      <c r="I73" s="643"/>
      <c r="J73" s="643"/>
      <c r="K73" s="643"/>
      <c r="L73" s="642"/>
      <c r="M73" s="642"/>
      <c r="N73" s="676"/>
      <c r="O73" s="642"/>
      <c r="P73" s="642"/>
      <c r="Q73" s="642"/>
      <c r="R73" s="642"/>
      <c r="S73" s="610"/>
      <c r="T73" s="610"/>
    </row>
    <row r="74" spans="1:20" ht="15" hidden="1">
      <c r="A74" s="981" t="s">
        <v>87</v>
      </c>
      <c r="B74" s="798" t="s">
        <v>389</v>
      </c>
      <c r="C74" s="672"/>
      <c r="D74" s="66"/>
      <c r="E74" s="754" t="str">
        <f>"resultaten tov "&amp;$F$5</f>
        <v>resultaten tov variant 1</v>
      </c>
      <c r="F74" s="754"/>
      <c r="G74" s="755" t="s">
        <v>391</v>
      </c>
      <c r="H74" s="33"/>
      <c r="I74" s="629"/>
      <c r="J74" s="629"/>
      <c r="K74" s="629"/>
      <c r="L74" s="33"/>
      <c r="M74" s="756">
        <f t="shared" ref="M74:R74" ca="1" si="17">IF(M72="","",M72-INDEX($L72:$S72,MATCH($F$5,$L$8:$S$8,0)))</f>
        <v>0</v>
      </c>
      <c r="N74" s="756">
        <f t="shared" ca="1" si="17"/>
        <v>0</v>
      </c>
      <c r="O74" s="756">
        <f t="shared" ca="1" si="17"/>
        <v>0</v>
      </c>
      <c r="P74" s="756">
        <f t="shared" ca="1" si="17"/>
        <v>0</v>
      </c>
      <c r="Q74" s="756">
        <f t="shared" ca="1" si="17"/>
        <v>0</v>
      </c>
      <c r="R74" s="756">
        <f t="shared" ca="1" si="17"/>
        <v>0</v>
      </c>
      <c r="S74" s="4"/>
      <c r="T74" s="4"/>
    </row>
    <row r="75" spans="1:20" ht="15" hidden="1">
      <c r="A75" s="981" t="s">
        <v>87</v>
      </c>
      <c r="B75" s="798" t="s">
        <v>389</v>
      </c>
      <c r="C75" s="672"/>
      <c r="D75" s="66"/>
      <c r="E75" s="757"/>
      <c r="F75" s="757"/>
      <c r="G75" s="755" t="s">
        <v>147</v>
      </c>
      <c r="H75" s="33"/>
      <c r="I75" s="630"/>
      <c r="J75" s="630"/>
      <c r="K75" s="630"/>
      <c r="L75" s="33"/>
      <c r="M75" s="761" t="str">
        <f t="shared" ref="M75:R75" ca="1" si="18">IFERROR(M74/INDEX($L72:$S72,MATCH($F$5,$L$8:$S$8,0)),"")</f>
        <v/>
      </c>
      <c r="N75" s="761" t="str">
        <f t="shared" ca="1" si="18"/>
        <v/>
      </c>
      <c r="O75" s="761" t="str">
        <f t="shared" ca="1" si="18"/>
        <v/>
      </c>
      <c r="P75" s="761" t="str">
        <f t="shared" ca="1" si="18"/>
        <v/>
      </c>
      <c r="Q75" s="761" t="str">
        <f t="shared" ca="1" si="18"/>
        <v/>
      </c>
      <c r="R75" s="761" t="str">
        <f t="shared" ca="1" si="18"/>
        <v/>
      </c>
      <c r="S75" s="4"/>
      <c r="T75" s="4"/>
    </row>
    <row r="76" spans="1:20" ht="15">
      <c r="A76" s="981" t="s">
        <v>87</v>
      </c>
      <c r="B76" s="798" t="s">
        <v>112</v>
      </c>
      <c r="C76" s="672"/>
      <c r="D76" s="66"/>
      <c r="E76" s="4"/>
      <c r="F76" s="4"/>
      <c r="G76" s="4"/>
      <c r="H76" s="33"/>
      <c r="I76" s="78"/>
      <c r="J76" s="78"/>
      <c r="K76" s="78"/>
      <c r="L76" s="33"/>
      <c r="M76" s="4"/>
      <c r="N76" s="4"/>
      <c r="O76" s="4"/>
      <c r="P76" s="4"/>
      <c r="Q76" s="4"/>
      <c r="R76" s="4"/>
      <c r="S76" s="4"/>
      <c r="T76" s="4"/>
    </row>
    <row r="77" spans="1:20" ht="21">
      <c r="A77" s="981" t="s">
        <v>87</v>
      </c>
      <c r="B77" s="798" t="s">
        <v>112</v>
      </c>
      <c r="C77" s="672"/>
      <c r="D77" s="66"/>
      <c r="E77" s="215" t="s">
        <v>393</v>
      </c>
      <c r="F77" s="215"/>
      <c r="G77" s="215"/>
      <c r="H77" s="4"/>
      <c r="I77" s="623"/>
      <c r="J77" s="623"/>
      <c r="K77" s="623"/>
      <c r="L77" s="33"/>
      <c r="M77" s="638"/>
      <c r="N77" s="638"/>
      <c r="O77" s="638"/>
      <c r="P77" s="638"/>
      <c r="Q77" s="638"/>
      <c r="R77" s="638"/>
      <c r="S77" s="4"/>
      <c r="T77" s="4"/>
    </row>
    <row r="78" spans="1:20" ht="14.25">
      <c r="A78" s="986" t="s">
        <v>87</v>
      </c>
      <c r="B78" s="798" t="s">
        <v>112</v>
      </c>
      <c r="C78" s="672"/>
      <c r="D78" s="66"/>
      <c r="E78" s="627" t="str">
        <f>"locatie 1"&amp;IF('woningen|utiliteit'!$L$17="","",": "&amp;'woningen|utiliteit'!$L$17)</f>
        <v>locatie 1</v>
      </c>
      <c r="F78" s="182"/>
      <c r="G78" s="220" t="s">
        <v>394</v>
      </c>
      <c r="H78" s="33"/>
      <c r="I78" s="628">
        <f>'variant 1'!$M$258</f>
        <v>0</v>
      </c>
      <c r="J78" s="624">
        <f ca="1">ROW(INDIRECT(RIGHT((_xlfn.FORMULATEXT($I78)),LEN(_xlfn.FORMULATEXT($I78))-1)))</f>
        <v>258</v>
      </c>
      <c r="K78" s="624">
        <f ca="1">COLUMN(INDIRECT(RIGHT((_xlfn.FORMULATEXT($I78)),LEN(_xlfn.FORMULATEXT($I78))-1)))</f>
        <v>13</v>
      </c>
      <c r="L78" s="33"/>
      <c r="M78" s="207" t="str">
        <f t="shared" ref="M78:R81" ca="1" si="19">IF(M18=0,"",IFERROR(IF(INDIRECT(ADDRESS($J78,$K78,,,M$8))=0,"",INDIRECT(ADDRESS($J78,$K78,,,M$8))),""))</f>
        <v/>
      </c>
      <c r="N78" s="207" t="str">
        <f t="shared" ca="1" si="19"/>
        <v/>
      </c>
      <c r="O78" s="207" t="str">
        <f t="shared" ca="1" si="19"/>
        <v/>
      </c>
      <c r="P78" s="207" t="str">
        <f t="shared" ca="1" si="19"/>
        <v/>
      </c>
      <c r="Q78" s="207" t="str">
        <f t="shared" ca="1" si="19"/>
        <v/>
      </c>
      <c r="R78" s="207" t="str">
        <f t="shared" ca="1" si="19"/>
        <v/>
      </c>
      <c r="S78" s="4"/>
      <c r="T78" s="4"/>
    </row>
    <row r="79" spans="1:20" ht="14.25">
      <c r="A79" s="986" t="s">
        <v>87</v>
      </c>
      <c r="B79" s="798" t="s">
        <v>112</v>
      </c>
      <c r="C79" s="672"/>
      <c r="D79" s="66"/>
      <c r="E79" s="627" t="str">
        <f>"locatie 2"&amp;IF('woningen|utiliteit'!$L$31="","",": "&amp;'woningen|utiliteit'!$L$31)</f>
        <v>locatie 2</v>
      </c>
      <c r="F79" s="220"/>
      <c r="G79" s="220" t="s">
        <v>394</v>
      </c>
      <c r="H79" s="33"/>
      <c r="I79" s="628">
        <f>'variant 1'!$Y$258</f>
        <v>0</v>
      </c>
      <c r="J79" s="624">
        <f ca="1">ROW(INDIRECT(RIGHT((_xlfn.FORMULATEXT($I79)),LEN(_xlfn.FORMULATEXT($I79))-1)))</f>
        <v>258</v>
      </c>
      <c r="K79" s="624">
        <f ca="1">COLUMN(INDIRECT(RIGHT((_xlfn.FORMULATEXT($I79)),LEN(_xlfn.FORMULATEXT($I79))-1)))</f>
        <v>25</v>
      </c>
      <c r="L79" s="33"/>
      <c r="M79" s="207" t="str">
        <f t="shared" ca="1" si="19"/>
        <v/>
      </c>
      <c r="N79" s="207" t="str">
        <f t="shared" ca="1" si="19"/>
        <v/>
      </c>
      <c r="O79" s="207" t="str">
        <f t="shared" ca="1" si="19"/>
        <v/>
      </c>
      <c r="P79" s="207" t="str">
        <f t="shared" ca="1" si="19"/>
        <v/>
      </c>
      <c r="Q79" s="207" t="str">
        <f t="shared" ca="1" si="19"/>
        <v/>
      </c>
      <c r="R79" s="207" t="str">
        <f t="shared" ca="1" si="19"/>
        <v/>
      </c>
      <c r="S79" s="4"/>
      <c r="T79" s="4"/>
    </row>
    <row r="80" spans="1:20" ht="14.25">
      <c r="A80" s="986" t="s">
        <v>87</v>
      </c>
      <c r="B80" s="798" t="s">
        <v>112</v>
      </c>
      <c r="C80" s="672"/>
      <c r="D80" s="66"/>
      <c r="E80" s="627" t="str">
        <f>"locatie 3"&amp;IF('woningen|utiliteit'!$L$45="","",": "&amp;'woningen|utiliteit'!$L$45)</f>
        <v>locatie 3</v>
      </c>
      <c r="F80" s="220"/>
      <c r="G80" s="220" t="s">
        <v>394</v>
      </c>
      <c r="H80" s="33"/>
      <c r="I80" s="628">
        <f>'variant 1'!$AK$258</f>
        <v>0</v>
      </c>
      <c r="J80" s="624">
        <f ca="1">ROW(INDIRECT(RIGHT((_xlfn.FORMULATEXT($I80)),LEN(_xlfn.FORMULATEXT($I80))-1)))</f>
        <v>258</v>
      </c>
      <c r="K80" s="624">
        <f ca="1">COLUMN(INDIRECT(RIGHT((_xlfn.FORMULATEXT($I80)),LEN(_xlfn.FORMULATEXT($I80))-1)))</f>
        <v>37</v>
      </c>
      <c r="L80" s="33"/>
      <c r="M80" s="207" t="str">
        <f t="shared" ca="1" si="19"/>
        <v/>
      </c>
      <c r="N80" s="207" t="str">
        <f t="shared" ca="1" si="19"/>
        <v/>
      </c>
      <c r="O80" s="207" t="str">
        <f t="shared" ca="1" si="19"/>
        <v/>
      </c>
      <c r="P80" s="207" t="str">
        <f t="shared" ca="1" si="19"/>
        <v/>
      </c>
      <c r="Q80" s="207" t="str">
        <f t="shared" ca="1" si="19"/>
        <v/>
      </c>
      <c r="R80" s="207" t="str">
        <f t="shared" ca="1" si="19"/>
        <v/>
      </c>
      <c r="S80" s="4"/>
      <c r="T80" s="4"/>
    </row>
    <row r="81" spans="1:20" ht="14.25">
      <c r="A81" s="986" t="s">
        <v>87</v>
      </c>
      <c r="B81" s="798" t="s">
        <v>112</v>
      </c>
      <c r="C81" s="672"/>
      <c r="D81" s="66"/>
      <c r="E81" s="627" t="str">
        <f>"locatie 4"&amp;IF('woningen|utiliteit'!$L$59="","",": "&amp;'woningen|utiliteit'!$L$59)</f>
        <v>locatie 4</v>
      </c>
      <c r="F81" s="182"/>
      <c r="G81" s="220" t="s">
        <v>394</v>
      </c>
      <c r="H81" s="33"/>
      <c r="I81" s="628">
        <f>'variant 1'!$AW$258</f>
        <v>0</v>
      </c>
      <c r="J81" s="624">
        <f ca="1">ROW(INDIRECT(RIGHT((_xlfn.FORMULATEXT($I81)),LEN(_xlfn.FORMULATEXT($I81))-1)))</f>
        <v>258</v>
      </c>
      <c r="K81" s="624">
        <f ca="1">COLUMN(INDIRECT(RIGHT((_xlfn.FORMULATEXT($I81)),LEN(_xlfn.FORMULATEXT($I81))-1)))</f>
        <v>49</v>
      </c>
      <c r="L81" s="33"/>
      <c r="M81" s="207" t="str">
        <f t="shared" ca="1" si="19"/>
        <v/>
      </c>
      <c r="N81" s="207" t="str">
        <f t="shared" ca="1" si="19"/>
        <v/>
      </c>
      <c r="O81" s="207" t="str">
        <f t="shared" ca="1" si="19"/>
        <v/>
      </c>
      <c r="P81" s="207" t="str">
        <f t="shared" ca="1" si="19"/>
        <v/>
      </c>
      <c r="Q81" s="207" t="str">
        <f t="shared" ca="1" si="19"/>
        <v/>
      </c>
      <c r="R81" s="207" t="str">
        <f t="shared" ca="1" si="19"/>
        <v/>
      </c>
      <c r="S81" s="4"/>
      <c r="T81" s="4"/>
    </row>
    <row r="82" spans="1:20" ht="15">
      <c r="A82" s="981" t="s">
        <v>87</v>
      </c>
      <c r="B82" s="798" t="s">
        <v>112</v>
      </c>
      <c r="C82" s="672"/>
      <c r="D82" s="66"/>
      <c r="E82" s="220" t="s">
        <v>392</v>
      </c>
      <c r="F82" s="220"/>
      <c r="G82" s="220" t="s">
        <v>394</v>
      </c>
      <c r="H82" s="33"/>
      <c r="I82" s="78"/>
      <c r="J82" s="78"/>
      <c r="K82" s="78"/>
      <c r="L82" s="33"/>
      <c r="M82" s="207">
        <f t="shared" ref="M82:R82" ca="1" si="20">SUM(M78:M81)</f>
        <v>0</v>
      </c>
      <c r="N82" s="207">
        <f t="shared" ca="1" si="20"/>
        <v>0</v>
      </c>
      <c r="O82" s="207">
        <f t="shared" ca="1" si="20"/>
        <v>0</v>
      </c>
      <c r="P82" s="207">
        <f t="shared" ca="1" si="20"/>
        <v>0</v>
      </c>
      <c r="Q82" s="207">
        <f t="shared" ca="1" si="20"/>
        <v>0</v>
      </c>
      <c r="R82" s="207">
        <f t="shared" ca="1" si="20"/>
        <v>0</v>
      </c>
      <c r="S82" s="4"/>
      <c r="T82" s="4"/>
    </row>
    <row r="83" spans="1:20" s="611" customFormat="1" ht="5.25">
      <c r="A83" s="982" t="s">
        <v>87</v>
      </c>
      <c r="B83" s="797" t="s">
        <v>112</v>
      </c>
      <c r="C83" s="667"/>
      <c r="D83" s="610"/>
      <c r="E83" s="642"/>
      <c r="F83" s="642"/>
      <c r="G83" s="642"/>
      <c r="H83" s="642"/>
      <c r="I83" s="643"/>
      <c r="J83" s="643"/>
      <c r="K83" s="643"/>
      <c r="L83" s="642"/>
      <c r="M83" s="642"/>
      <c r="N83" s="676"/>
      <c r="O83" s="642"/>
      <c r="P83" s="642"/>
      <c r="Q83" s="642"/>
      <c r="R83" s="642"/>
      <c r="S83" s="610"/>
      <c r="T83" s="610"/>
    </row>
    <row r="84" spans="1:20" ht="15">
      <c r="A84" s="981" t="s">
        <v>87</v>
      </c>
      <c r="B84" s="798" t="s">
        <v>112</v>
      </c>
      <c r="C84" s="672"/>
      <c r="D84" s="66"/>
      <c r="E84" s="754" t="str">
        <f>"resultaten tov "&amp;$F$5</f>
        <v>resultaten tov variant 1</v>
      </c>
      <c r="F84" s="754"/>
      <c r="G84" s="755" t="s">
        <v>394</v>
      </c>
      <c r="H84" s="33"/>
      <c r="I84" s="629"/>
      <c r="J84" s="629"/>
      <c r="K84" s="629"/>
      <c r="L84" s="33"/>
      <c r="M84" s="756">
        <f t="shared" ref="M84:R84" ca="1" si="21">IF(M82="","",M82-INDEX($L82:$S82,MATCH($F$5,$L$8:$S$8,0)))</f>
        <v>0</v>
      </c>
      <c r="N84" s="756">
        <f t="shared" ca="1" si="21"/>
        <v>0</v>
      </c>
      <c r="O84" s="756">
        <f t="shared" ca="1" si="21"/>
        <v>0</v>
      </c>
      <c r="P84" s="756">
        <f t="shared" ca="1" si="21"/>
        <v>0</v>
      </c>
      <c r="Q84" s="756">
        <f t="shared" ca="1" si="21"/>
        <v>0</v>
      </c>
      <c r="R84" s="756">
        <f t="shared" ca="1" si="21"/>
        <v>0</v>
      </c>
      <c r="S84" s="4"/>
      <c r="T84" s="4"/>
    </row>
    <row r="85" spans="1:20" ht="15">
      <c r="A85" s="981" t="s">
        <v>87</v>
      </c>
      <c r="B85" s="798" t="s">
        <v>112</v>
      </c>
      <c r="C85" s="672"/>
      <c r="D85" s="66"/>
      <c r="E85" s="757"/>
      <c r="F85" s="757"/>
      <c r="G85" s="755" t="s">
        <v>147</v>
      </c>
      <c r="H85" s="33"/>
      <c r="I85" s="630"/>
      <c r="J85" s="630"/>
      <c r="K85" s="630"/>
      <c r="L85" s="33"/>
      <c r="M85" s="761" t="str">
        <f t="shared" ref="M85:R85" ca="1" si="22">IFERROR(M84/INDEX($L82:$S82,MATCH($F$5,$L$8:$S$8,0)),"")</f>
        <v/>
      </c>
      <c r="N85" s="761" t="str">
        <f t="shared" ca="1" si="22"/>
        <v/>
      </c>
      <c r="O85" s="761" t="str">
        <f t="shared" ca="1" si="22"/>
        <v/>
      </c>
      <c r="P85" s="761" t="str">
        <f t="shared" ca="1" si="22"/>
        <v/>
      </c>
      <c r="Q85" s="761" t="str">
        <f t="shared" ca="1" si="22"/>
        <v/>
      </c>
      <c r="R85" s="761" t="str">
        <f t="shared" ca="1" si="22"/>
        <v/>
      </c>
      <c r="S85" s="4"/>
      <c r="T85" s="4"/>
    </row>
    <row r="86" spans="1:20" ht="15" hidden="1">
      <c r="A86" s="981" t="s">
        <v>87</v>
      </c>
      <c r="B86" s="798" t="s">
        <v>395</v>
      </c>
      <c r="C86" s="672"/>
      <c r="D86" s="66"/>
      <c r="E86" s="4"/>
      <c r="F86" s="4"/>
      <c r="G86" s="4"/>
      <c r="H86" s="33"/>
      <c r="I86" s="78"/>
      <c r="J86" s="78"/>
      <c r="K86" s="78"/>
      <c r="L86" s="33"/>
      <c r="M86" s="13"/>
      <c r="N86" s="13"/>
      <c r="O86" s="13"/>
      <c r="P86" s="13"/>
      <c r="Q86" s="13"/>
      <c r="R86" s="13"/>
      <c r="S86" s="4"/>
      <c r="T86" s="4"/>
    </row>
    <row r="87" spans="1:20" ht="21" hidden="1">
      <c r="A87" s="981" t="s">
        <v>87</v>
      </c>
      <c r="B87" s="798" t="s">
        <v>395</v>
      </c>
      <c r="C87" s="672"/>
      <c r="D87" s="66"/>
      <c r="E87" s="215" t="s">
        <v>396</v>
      </c>
      <c r="F87" s="215"/>
      <c r="G87" s="215"/>
      <c r="H87" s="4"/>
      <c r="I87" s="623"/>
      <c r="J87" s="623"/>
      <c r="K87" s="623"/>
      <c r="L87" s="33"/>
      <c r="M87" s="638"/>
      <c r="N87" s="638"/>
      <c r="O87" s="638"/>
      <c r="P87" s="638"/>
      <c r="Q87" s="638"/>
      <c r="R87" s="638"/>
      <c r="S87" s="4"/>
      <c r="T87" s="4"/>
    </row>
    <row r="88" spans="1:20" ht="14.25" hidden="1">
      <c r="A88" s="986" t="s">
        <v>87</v>
      </c>
      <c r="B88" s="798" t="s">
        <v>395</v>
      </c>
      <c r="C88" s="672"/>
      <c r="D88" s="66"/>
      <c r="E88" s="367" t="str">
        <f>'variant 1'!$E$62</f>
        <v>verwarming</v>
      </c>
      <c r="F88" s="220"/>
      <c r="G88" s="220" t="s">
        <v>394</v>
      </c>
      <c r="H88" s="33"/>
      <c r="I88" s="628">
        <f>'variant 1'!$M$244</f>
        <v>0</v>
      </c>
      <c r="J88" s="624">
        <f t="shared" ref="J88:J96" ca="1" si="23">ROW(INDIRECT(RIGHT((_xlfn.FORMULATEXT($I88)),LEN(_xlfn.FORMULATEXT($I88))-1)))</f>
        <v>244</v>
      </c>
      <c r="K88" s="624">
        <f t="shared" ref="K88:K96" ca="1" si="24">COLUMN(INDIRECT(RIGHT((_xlfn.FORMULATEXT($I88)),LEN(_xlfn.FORMULATEXT($I88))-1)))</f>
        <v>13</v>
      </c>
      <c r="L88" s="33"/>
      <c r="M88" s="207" t="str">
        <f t="shared" ref="M88:R96" ca="1" si="25">IF(M$18=0,"",IFERROR(IF(INDIRECT(ADDRESS($J88,$K88,,,M$8))=0,"",INDIRECT(ADDRESS($J88,$K88,,,M$8))),""))</f>
        <v/>
      </c>
      <c r="N88" s="207" t="str">
        <f t="shared" ca="1" si="25"/>
        <v/>
      </c>
      <c r="O88" s="207" t="str">
        <f t="shared" ca="1" si="25"/>
        <v/>
      </c>
      <c r="P88" s="207" t="str">
        <f t="shared" ca="1" si="25"/>
        <v/>
      </c>
      <c r="Q88" s="207" t="str">
        <f t="shared" ca="1" si="25"/>
        <v/>
      </c>
      <c r="R88" s="207" t="str">
        <f t="shared" ca="1" si="25"/>
        <v/>
      </c>
      <c r="S88" s="4"/>
      <c r="T88" s="4"/>
    </row>
    <row r="89" spans="1:20" ht="14.25" hidden="1">
      <c r="A89" s="986" t="s">
        <v>87</v>
      </c>
      <c r="B89" s="798" t="s">
        <v>395</v>
      </c>
      <c r="C89" s="672"/>
      <c r="D89" s="66"/>
      <c r="E89" s="367" t="str">
        <f>'variant 1'!$E$64</f>
        <v>koeling</v>
      </c>
      <c r="F89" s="220"/>
      <c r="G89" s="220" t="s">
        <v>394</v>
      </c>
      <c r="H89" s="33"/>
      <c r="I89" s="628">
        <f>'variant 1'!$M$245</f>
        <v>0</v>
      </c>
      <c r="J89" s="624">
        <f t="shared" ca="1" si="23"/>
        <v>245</v>
      </c>
      <c r="K89" s="624">
        <f t="shared" ca="1" si="24"/>
        <v>13</v>
      </c>
      <c r="L89" s="33"/>
      <c r="M89" s="207" t="str">
        <f t="shared" ca="1" si="25"/>
        <v/>
      </c>
      <c r="N89" s="207" t="str">
        <f t="shared" ca="1" si="25"/>
        <v/>
      </c>
      <c r="O89" s="207" t="str">
        <f t="shared" ca="1" si="25"/>
        <v/>
      </c>
      <c r="P89" s="207" t="str">
        <f t="shared" ca="1" si="25"/>
        <v/>
      </c>
      <c r="Q89" s="207" t="str">
        <f t="shared" ca="1" si="25"/>
        <v/>
      </c>
      <c r="R89" s="207" t="str">
        <f t="shared" ca="1" si="25"/>
        <v/>
      </c>
      <c r="S89" s="4"/>
      <c r="T89" s="4"/>
    </row>
    <row r="90" spans="1:20" ht="14.25" hidden="1">
      <c r="A90" s="986" t="s">
        <v>87</v>
      </c>
      <c r="B90" s="798" t="s">
        <v>395</v>
      </c>
      <c r="C90" s="672"/>
      <c r="D90" s="66"/>
      <c r="E90" s="367" t="str">
        <f>'variant 1'!$E$65</f>
        <v>tapwater</v>
      </c>
      <c r="F90" s="220"/>
      <c r="G90" s="220" t="s">
        <v>394</v>
      </c>
      <c r="H90" s="33"/>
      <c r="I90" s="628">
        <f>'variant 1'!$M$246</f>
        <v>0</v>
      </c>
      <c r="J90" s="624">
        <f t="shared" ca="1" si="23"/>
        <v>246</v>
      </c>
      <c r="K90" s="624">
        <f t="shared" ca="1" si="24"/>
        <v>13</v>
      </c>
      <c r="L90" s="33"/>
      <c r="M90" s="207" t="str">
        <f t="shared" ca="1" si="25"/>
        <v/>
      </c>
      <c r="N90" s="207" t="str">
        <f t="shared" ca="1" si="25"/>
        <v/>
      </c>
      <c r="O90" s="207" t="str">
        <f t="shared" ca="1" si="25"/>
        <v/>
      </c>
      <c r="P90" s="207" t="str">
        <f t="shared" ca="1" si="25"/>
        <v/>
      </c>
      <c r="Q90" s="207" t="str">
        <f t="shared" ca="1" si="25"/>
        <v/>
      </c>
      <c r="R90" s="207" t="str">
        <f t="shared" ca="1" si="25"/>
        <v/>
      </c>
      <c r="S90" s="4"/>
      <c r="T90" s="4"/>
    </row>
    <row r="91" spans="1:20" ht="14.25" hidden="1">
      <c r="A91" s="986" t="s">
        <v>87</v>
      </c>
      <c r="B91" s="798" t="s">
        <v>395</v>
      </c>
      <c r="C91" s="672"/>
      <c r="D91" s="66"/>
      <c r="E91" s="367" t="str">
        <f>'variant 1'!$E$66</f>
        <v>verlichting</v>
      </c>
      <c r="F91" s="220"/>
      <c r="G91" s="220" t="s">
        <v>394</v>
      </c>
      <c r="H91" s="33"/>
      <c r="I91" s="628">
        <f>'variant 1'!$M$247</f>
        <v>0</v>
      </c>
      <c r="J91" s="624">
        <f t="shared" ca="1" si="23"/>
        <v>247</v>
      </c>
      <c r="K91" s="624">
        <f t="shared" ca="1" si="24"/>
        <v>13</v>
      </c>
      <c r="L91" s="33"/>
      <c r="M91" s="207" t="str">
        <f t="shared" ca="1" si="25"/>
        <v/>
      </c>
      <c r="N91" s="207" t="str">
        <f t="shared" ca="1" si="25"/>
        <v/>
      </c>
      <c r="O91" s="207" t="str">
        <f t="shared" ca="1" si="25"/>
        <v/>
      </c>
      <c r="P91" s="207" t="str">
        <f t="shared" ca="1" si="25"/>
        <v/>
      </c>
      <c r="Q91" s="207" t="str">
        <f t="shared" ca="1" si="25"/>
        <v/>
      </c>
      <c r="R91" s="207" t="str">
        <f t="shared" ca="1" si="25"/>
        <v/>
      </c>
      <c r="S91" s="4"/>
      <c r="T91" s="4"/>
    </row>
    <row r="92" spans="1:20" ht="14.25" hidden="1">
      <c r="A92" s="986" t="s">
        <v>87</v>
      </c>
      <c r="B92" s="798" t="s">
        <v>395</v>
      </c>
      <c r="C92" s="672"/>
      <c r="D92" s="66"/>
      <c r="E92" s="367" t="str">
        <f>'variant 1'!$E$67</f>
        <v>ventilatoren</v>
      </c>
      <c r="F92" s="220"/>
      <c r="G92" s="220" t="s">
        <v>394</v>
      </c>
      <c r="H92" s="33"/>
      <c r="I92" s="628">
        <f>'variant 1'!$M$248</f>
        <v>0</v>
      </c>
      <c r="J92" s="624">
        <f t="shared" ca="1" si="23"/>
        <v>248</v>
      </c>
      <c r="K92" s="624">
        <f t="shared" ca="1" si="24"/>
        <v>13</v>
      </c>
      <c r="L92" s="33"/>
      <c r="M92" s="207" t="str">
        <f t="shared" ca="1" si="25"/>
        <v/>
      </c>
      <c r="N92" s="207" t="str">
        <f t="shared" ca="1" si="25"/>
        <v/>
      </c>
      <c r="O92" s="207" t="str">
        <f t="shared" ca="1" si="25"/>
        <v/>
      </c>
      <c r="P92" s="207" t="str">
        <f t="shared" ca="1" si="25"/>
        <v/>
      </c>
      <c r="Q92" s="207" t="str">
        <f t="shared" ca="1" si="25"/>
        <v/>
      </c>
      <c r="R92" s="207" t="str">
        <f t="shared" ca="1" si="25"/>
        <v/>
      </c>
      <c r="S92" s="4"/>
      <c r="T92" s="4"/>
    </row>
    <row r="93" spans="1:20" ht="14.25" hidden="1">
      <c r="A93" s="986" t="s">
        <v>87</v>
      </c>
      <c r="B93" s="798" t="s">
        <v>395</v>
      </c>
      <c r="C93" s="672"/>
      <c r="D93" s="66"/>
      <c r="E93" s="367" t="str">
        <f>'variant 1'!$E$69</f>
        <v>overig elektra</v>
      </c>
      <c r="F93" s="220"/>
      <c r="G93" s="220" t="s">
        <v>394</v>
      </c>
      <c r="H93" s="33"/>
      <c r="I93" s="628">
        <f>'variant 1'!$M$250</f>
        <v>0</v>
      </c>
      <c r="J93" s="624">
        <f t="shared" ca="1" si="23"/>
        <v>250</v>
      </c>
      <c r="K93" s="624">
        <f t="shared" ca="1" si="24"/>
        <v>13</v>
      </c>
      <c r="L93" s="33"/>
      <c r="M93" s="207" t="str">
        <f t="shared" ca="1" si="25"/>
        <v/>
      </c>
      <c r="N93" s="207" t="str">
        <f t="shared" ca="1" si="25"/>
        <v/>
      </c>
      <c r="O93" s="207" t="str">
        <f t="shared" ca="1" si="25"/>
        <v/>
      </c>
      <c r="P93" s="207" t="str">
        <f t="shared" ca="1" si="25"/>
        <v/>
      </c>
      <c r="Q93" s="207" t="str">
        <f t="shared" ca="1" si="25"/>
        <v/>
      </c>
      <c r="R93" s="207" t="str">
        <f t="shared" ca="1" si="25"/>
        <v/>
      </c>
      <c r="S93" s="4"/>
      <c r="T93" s="4"/>
    </row>
    <row r="94" spans="1:20" ht="14.25" hidden="1">
      <c r="A94" s="986" t="s">
        <v>87</v>
      </c>
      <c r="B94" s="798" t="s">
        <v>395</v>
      </c>
      <c r="C94" s="672"/>
      <c r="D94" s="66"/>
      <c r="E94" s="367" t="str">
        <f>'variant 1'!$E$71</f>
        <v>mobiliteit</v>
      </c>
      <c r="F94" s="220"/>
      <c r="G94" s="220" t="s">
        <v>394</v>
      </c>
      <c r="H94" s="33"/>
      <c r="I94" s="628">
        <f>'variant 1'!$M$251</f>
        <v>0</v>
      </c>
      <c r="J94" s="624">
        <f t="shared" ca="1" si="23"/>
        <v>251</v>
      </c>
      <c r="K94" s="624">
        <f t="shared" ca="1" si="24"/>
        <v>13</v>
      </c>
      <c r="L94" s="33"/>
      <c r="M94" s="207" t="str">
        <f t="shared" ca="1" si="25"/>
        <v/>
      </c>
      <c r="N94" s="207" t="str">
        <f t="shared" ca="1" si="25"/>
        <v/>
      </c>
      <c r="O94" s="207" t="str">
        <f t="shared" ca="1" si="25"/>
        <v/>
      </c>
      <c r="P94" s="207" t="str">
        <f t="shared" ca="1" si="25"/>
        <v/>
      </c>
      <c r="Q94" s="207" t="str">
        <f t="shared" ca="1" si="25"/>
        <v/>
      </c>
      <c r="R94" s="207" t="str">
        <f t="shared" ca="1" si="25"/>
        <v/>
      </c>
      <c r="S94" s="4"/>
      <c r="T94" s="4"/>
    </row>
    <row r="95" spans="1:20" ht="14.25" hidden="1">
      <c r="A95" s="986" t="s">
        <v>87</v>
      </c>
      <c r="B95" s="798" t="s">
        <v>395</v>
      </c>
      <c r="C95" s="672"/>
      <c r="D95" s="66"/>
      <c r="E95" s="367" t="str">
        <f>'variant 1'!$E$254</f>
        <v>warmtekracht (vermeden primair)</v>
      </c>
      <c r="F95" s="220"/>
      <c r="G95" s="220" t="s">
        <v>394</v>
      </c>
      <c r="H95" s="33"/>
      <c r="I95" s="628">
        <f>'variant 1'!$M$254</f>
        <v>0</v>
      </c>
      <c r="J95" s="624">
        <f t="shared" ca="1" si="23"/>
        <v>254</v>
      </c>
      <c r="K95" s="624">
        <f t="shared" ca="1" si="24"/>
        <v>13</v>
      </c>
      <c r="L95" s="33"/>
      <c r="M95" s="207" t="str">
        <f t="shared" ca="1" si="25"/>
        <v/>
      </c>
      <c r="N95" s="207" t="str">
        <f t="shared" ca="1" si="25"/>
        <v/>
      </c>
      <c r="O95" s="207" t="str">
        <f t="shared" ca="1" si="25"/>
        <v/>
      </c>
      <c r="P95" s="207" t="str">
        <f t="shared" ca="1" si="25"/>
        <v/>
      </c>
      <c r="Q95" s="207" t="str">
        <f t="shared" ca="1" si="25"/>
        <v/>
      </c>
      <c r="R95" s="207" t="str">
        <f t="shared" ca="1" si="25"/>
        <v/>
      </c>
      <c r="S95" s="4"/>
      <c r="T95" s="4"/>
    </row>
    <row r="96" spans="1:20" ht="14.25" hidden="1">
      <c r="A96" s="986" t="s">
        <v>87</v>
      </c>
      <c r="B96" s="798" t="s">
        <v>395</v>
      </c>
      <c r="C96" s="672"/>
      <c r="D96" s="66"/>
      <c r="E96" s="367" t="str">
        <f>'variant 1'!$E$255</f>
        <v>zonnepanelen (vermeden primair)</v>
      </c>
      <c r="F96" s="220"/>
      <c r="G96" s="220" t="s">
        <v>394</v>
      </c>
      <c r="H96" s="33"/>
      <c r="I96" s="628">
        <f>'variant 1'!$M$255</f>
        <v>0</v>
      </c>
      <c r="J96" s="624">
        <f t="shared" ca="1" si="23"/>
        <v>255</v>
      </c>
      <c r="K96" s="624">
        <f t="shared" ca="1" si="24"/>
        <v>13</v>
      </c>
      <c r="L96" s="33"/>
      <c r="M96" s="207" t="str">
        <f t="shared" ca="1" si="25"/>
        <v/>
      </c>
      <c r="N96" s="207" t="str">
        <f t="shared" ca="1" si="25"/>
        <v/>
      </c>
      <c r="O96" s="207" t="str">
        <f t="shared" ca="1" si="25"/>
        <v/>
      </c>
      <c r="P96" s="207" t="str">
        <f t="shared" ca="1" si="25"/>
        <v/>
      </c>
      <c r="Q96" s="207" t="str">
        <f t="shared" ca="1" si="25"/>
        <v/>
      </c>
      <c r="R96" s="207" t="str">
        <f t="shared" ca="1" si="25"/>
        <v/>
      </c>
      <c r="S96" s="4"/>
      <c r="T96" s="4"/>
    </row>
    <row r="97" spans="1:20" ht="15" hidden="1">
      <c r="A97" s="986" t="s">
        <v>87</v>
      </c>
      <c r="B97" s="798" t="s">
        <v>395</v>
      </c>
      <c r="C97" s="672"/>
      <c r="D97" s="66"/>
      <c r="E97" s="220" t="s">
        <v>255</v>
      </c>
      <c r="F97" s="220"/>
      <c r="G97" s="220" t="s">
        <v>394</v>
      </c>
      <c r="H97" s="33"/>
      <c r="I97" s="626"/>
      <c r="J97" s="626"/>
      <c r="K97" s="626"/>
      <c r="L97" s="33"/>
      <c r="M97" s="207" t="str">
        <f t="shared" ref="M97:R97" ca="1" si="26">IF(M88="","",SUM(M88:M96))</f>
        <v/>
      </c>
      <c r="N97" s="207" t="str">
        <f t="shared" ca="1" si="26"/>
        <v/>
      </c>
      <c r="O97" s="207" t="str">
        <f t="shared" ca="1" si="26"/>
        <v/>
      </c>
      <c r="P97" s="207" t="str">
        <f t="shared" ca="1" si="26"/>
        <v/>
      </c>
      <c r="Q97" s="207" t="str">
        <f t="shared" ca="1" si="26"/>
        <v/>
      </c>
      <c r="R97" s="207" t="str">
        <f t="shared" ca="1" si="26"/>
        <v/>
      </c>
      <c r="S97" s="4"/>
      <c r="T97" s="4"/>
    </row>
    <row r="98" spans="1:20" s="611" customFormat="1" ht="5.25" hidden="1">
      <c r="A98" s="982" t="s">
        <v>87</v>
      </c>
      <c r="B98" s="797" t="s">
        <v>395</v>
      </c>
      <c r="C98" s="667"/>
      <c r="D98" s="610"/>
      <c r="E98" s="642"/>
      <c r="F98" s="642"/>
      <c r="G98" s="642"/>
      <c r="H98" s="642"/>
      <c r="I98" s="643"/>
      <c r="J98" s="643"/>
      <c r="K98" s="643"/>
      <c r="L98" s="642"/>
      <c r="M98" s="642"/>
      <c r="N98" s="676"/>
      <c r="O98" s="642"/>
      <c r="P98" s="642"/>
      <c r="Q98" s="642"/>
      <c r="R98" s="642"/>
      <c r="S98" s="610"/>
      <c r="T98" s="610"/>
    </row>
    <row r="99" spans="1:20" ht="15" hidden="1">
      <c r="A99" s="981" t="s">
        <v>87</v>
      </c>
      <c r="B99" s="798" t="s">
        <v>395</v>
      </c>
      <c r="C99" s="672"/>
      <c r="D99" s="66"/>
      <c r="E99" s="754" t="str">
        <f>"resultaten tov "&amp;$F$5</f>
        <v>resultaten tov variant 1</v>
      </c>
      <c r="F99" s="754"/>
      <c r="G99" s="755" t="s">
        <v>394</v>
      </c>
      <c r="H99" s="33"/>
      <c r="I99" s="629"/>
      <c r="J99" s="629"/>
      <c r="K99" s="629"/>
      <c r="L99" s="33"/>
      <c r="M99" s="756" t="str">
        <f t="shared" ref="M99:R99" ca="1" si="27">IF(M97="","",M97-INDEX($L97:$S97,MATCH($F$5,$L$8:$S$8,0)))</f>
        <v/>
      </c>
      <c r="N99" s="756" t="str">
        <f t="shared" ca="1" si="27"/>
        <v/>
      </c>
      <c r="O99" s="756" t="str">
        <f t="shared" ca="1" si="27"/>
        <v/>
      </c>
      <c r="P99" s="756" t="str">
        <f t="shared" ca="1" si="27"/>
        <v/>
      </c>
      <c r="Q99" s="756" t="str">
        <f t="shared" ca="1" si="27"/>
        <v/>
      </c>
      <c r="R99" s="756" t="str">
        <f t="shared" ca="1" si="27"/>
        <v/>
      </c>
      <c r="S99" s="4"/>
      <c r="T99" s="4"/>
    </row>
    <row r="100" spans="1:20" ht="15" hidden="1">
      <c r="A100" s="981" t="s">
        <v>87</v>
      </c>
      <c r="B100" s="798" t="s">
        <v>395</v>
      </c>
      <c r="C100" s="672"/>
      <c r="D100" s="66"/>
      <c r="E100" s="757"/>
      <c r="F100" s="757"/>
      <c r="G100" s="755" t="s">
        <v>147</v>
      </c>
      <c r="H100" s="33"/>
      <c r="I100" s="630"/>
      <c r="J100" s="630"/>
      <c r="K100" s="630"/>
      <c r="L100" s="33"/>
      <c r="M100" s="761" t="str">
        <f t="shared" ref="M100:R100" ca="1" si="28">IFERROR(M99/INDEX($L97:$S97,MATCH($F$5,$L$8:$S$8,0)),"")</f>
        <v/>
      </c>
      <c r="N100" s="761" t="str">
        <f t="shared" ca="1" si="28"/>
        <v/>
      </c>
      <c r="O100" s="761" t="str">
        <f t="shared" ca="1" si="28"/>
        <v/>
      </c>
      <c r="P100" s="761" t="str">
        <f t="shared" ca="1" si="28"/>
        <v/>
      </c>
      <c r="Q100" s="761" t="str">
        <f t="shared" ca="1" si="28"/>
        <v/>
      </c>
      <c r="R100" s="761" t="str">
        <f t="shared" ca="1" si="28"/>
        <v/>
      </c>
      <c r="S100" s="4"/>
      <c r="T100" s="4"/>
    </row>
    <row r="101" spans="1:20" ht="15" hidden="1">
      <c r="A101" s="986" t="s">
        <v>87</v>
      </c>
      <c r="B101" s="798" t="s">
        <v>395</v>
      </c>
      <c r="C101" s="672"/>
      <c r="D101" s="66"/>
      <c r="E101" s="4"/>
      <c r="F101" s="4"/>
      <c r="G101" s="4"/>
      <c r="H101" s="33"/>
      <c r="I101" s="78"/>
      <c r="J101" s="78"/>
      <c r="K101" s="78"/>
      <c r="L101" s="33"/>
      <c r="M101" s="13"/>
      <c r="N101" s="13"/>
      <c r="O101" s="13"/>
      <c r="P101" s="13"/>
      <c r="Q101" s="13"/>
      <c r="R101" s="13"/>
      <c r="S101" s="4"/>
      <c r="T101" s="4"/>
    </row>
    <row r="102" spans="1:20" ht="21" hidden="1">
      <c r="A102" s="981" t="s">
        <v>87</v>
      </c>
      <c r="B102" s="798" t="s">
        <v>395</v>
      </c>
      <c r="C102" s="672"/>
      <c r="D102" s="66"/>
      <c r="E102" s="215" t="s">
        <v>397</v>
      </c>
      <c r="F102" s="215"/>
      <c r="G102" s="215"/>
      <c r="H102" s="4"/>
      <c r="I102" s="623"/>
      <c r="J102" s="623"/>
      <c r="K102" s="623"/>
      <c r="L102" s="33"/>
      <c r="M102" s="638"/>
      <c r="N102" s="638"/>
      <c r="O102" s="638"/>
      <c r="P102" s="638"/>
      <c r="Q102" s="638"/>
      <c r="R102" s="638"/>
      <c r="S102" s="4"/>
      <c r="T102" s="4"/>
    </row>
    <row r="103" spans="1:20" ht="14.25" hidden="1">
      <c r="A103" s="986" t="s">
        <v>87</v>
      </c>
      <c r="B103" s="798" t="s">
        <v>395</v>
      </c>
      <c r="C103" s="672"/>
      <c r="D103" s="66"/>
      <c r="E103" s="367" t="str">
        <f>'variant 1'!$E$62</f>
        <v>verwarming</v>
      </c>
      <c r="F103" s="220"/>
      <c r="G103" s="220" t="s">
        <v>394</v>
      </c>
      <c r="H103" s="33"/>
      <c r="I103" s="628">
        <f>'variant 1'!$Y$244</f>
        <v>0</v>
      </c>
      <c r="J103" s="624">
        <f t="shared" ref="J103:J111" ca="1" si="29">ROW(INDIRECT(RIGHT((_xlfn.FORMULATEXT($I103)),LEN(_xlfn.FORMULATEXT($I103))-1)))</f>
        <v>244</v>
      </c>
      <c r="K103" s="624">
        <f t="shared" ref="K103:K111" ca="1" si="30">COLUMN(INDIRECT(RIGHT((_xlfn.FORMULATEXT($I103)),LEN(_xlfn.FORMULATEXT($I103))-1)))</f>
        <v>25</v>
      </c>
      <c r="L103" s="33"/>
      <c r="M103" s="207" t="str">
        <f t="shared" ref="M103:R111" ca="1" si="31">IF(M$19=0,"",IFERROR(IF(INDIRECT(ADDRESS($J103,$K103,,,M$8))=0,"",INDIRECT(ADDRESS($J103,$K103,,,M$8))),""))</f>
        <v/>
      </c>
      <c r="N103" s="207" t="str">
        <f t="shared" ca="1" si="31"/>
        <v/>
      </c>
      <c r="O103" s="207" t="str">
        <f t="shared" ca="1" si="31"/>
        <v/>
      </c>
      <c r="P103" s="207" t="str">
        <f t="shared" ca="1" si="31"/>
        <v/>
      </c>
      <c r="Q103" s="207" t="str">
        <f t="shared" ca="1" si="31"/>
        <v/>
      </c>
      <c r="R103" s="207" t="str">
        <f t="shared" ca="1" si="31"/>
        <v/>
      </c>
      <c r="S103" s="4"/>
      <c r="T103" s="4"/>
    </row>
    <row r="104" spans="1:20" ht="14.25" hidden="1">
      <c r="A104" s="986" t="s">
        <v>87</v>
      </c>
      <c r="B104" s="798" t="s">
        <v>395</v>
      </c>
      <c r="C104" s="672"/>
      <c r="D104" s="66"/>
      <c r="E104" s="367" t="str">
        <f>'variant 1'!$E$64</f>
        <v>koeling</v>
      </c>
      <c r="F104" s="220"/>
      <c r="G104" s="220" t="s">
        <v>394</v>
      </c>
      <c r="H104" s="33"/>
      <c r="I104" s="628">
        <f>'variant 1'!$Y$245</f>
        <v>0</v>
      </c>
      <c r="J104" s="624">
        <f t="shared" ca="1" si="29"/>
        <v>245</v>
      </c>
      <c r="K104" s="624">
        <f t="shared" ca="1" si="30"/>
        <v>25</v>
      </c>
      <c r="L104" s="33"/>
      <c r="M104" s="207" t="str">
        <f t="shared" ca="1" si="31"/>
        <v/>
      </c>
      <c r="N104" s="207" t="str">
        <f t="shared" ca="1" si="31"/>
        <v/>
      </c>
      <c r="O104" s="207" t="str">
        <f t="shared" ca="1" si="31"/>
        <v/>
      </c>
      <c r="P104" s="207" t="str">
        <f t="shared" ca="1" si="31"/>
        <v/>
      </c>
      <c r="Q104" s="207" t="str">
        <f t="shared" ca="1" si="31"/>
        <v/>
      </c>
      <c r="R104" s="207" t="str">
        <f t="shared" ca="1" si="31"/>
        <v/>
      </c>
      <c r="S104" s="4"/>
      <c r="T104" s="4"/>
    </row>
    <row r="105" spans="1:20" ht="14.25" hidden="1">
      <c r="A105" s="986" t="s">
        <v>87</v>
      </c>
      <c r="B105" s="798" t="s">
        <v>395</v>
      </c>
      <c r="C105" s="672"/>
      <c r="D105" s="66"/>
      <c r="E105" s="367" t="str">
        <f>'variant 1'!$E$65</f>
        <v>tapwater</v>
      </c>
      <c r="F105" s="220"/>
      <c r="G105" s="220" t="s">
        <v>394</v>
      </c>
      <c r="H105" s="33"/>
      <c r="I105" s="628">
        <f>'variant 1'!$Y$246</f>
        <v>0</v>
      </c>
      <c r="J105" s="624">
        <f t="shared" ca="1" si="29"/>
        <v>246</v>
      </c>
      <c r="K105" s="624">
        <f t="shared" ca="1" si="30"/>
        <v>25</v>
      </c>
      <c r="L105" s="33"/>
      <c r="M105" s="207" t="str">
        <f t="shared" ca="1" si="31"/>
        <v/>
      </c>
      <c r="N105" s="207" t="str">
        <f t="shared" ca="1" si="31"/>
        <v/>
      </c>
      <c r="O105" s="207" t="str">
        <f t="shared" ca="1" si="31"/>
        <v/>
      </c>
      <c r="P105" s="207" t="str">
        <f t="shared" ca="1" si="31"/>
        <v/>
      </c>
      <c r="Q105" s="207" t="str">
        <f t="shared" ca="1" si="31"/>
        <v/>
      </c>
      <c r="R105" s="207" t="str">
        <f t="shared" ca="1" si="31"/>
        <v/>
      </c>
      <c r="S105" s="4"/>
      <c r="T105" s="4"/>
    </row>
    <row r="106" spans="1:20" ht="14.25" hidden="1">
      <c r="A106" s="986" t="s">
        <v>87</v>
      </c>
      <c r="B106" s="798" t="s">
        <v>395</v>
      </c>
      <c r="C106" s="672"/>
      <c r="D106" s="66"/>
      <c r="E106" s="367" t="str">
        <f>'variant 1'!$E$66</f>
        <v>verlichting</v>
      </c>
      <c r="F106" s="220"/>
      <c r="G106" s="220" t="s">
        <v>394</v>
      </c>
      <c r="H106" s="33"/>
      <c r="I106" s="628">
        <f>'variant 1'!$Y$247</f>
        <v>0</v>
      </c>
      <c r="J106" s="624">
        <f t="shared" ca="1" si="29"/>
        <v>247</v>
      </c>
      <c r="K106" s="624">
        <f t="shared" ca="1" si="30"/>
        <v>25</v>
      </c>
      <c r="L106" s="33"/>
      <c r="M106" s="207" t="str">
        <f t="shared" ca="1" si="31"/>
        <v/>
      </c>
      <c r="N106" s="207" t="str">
        <f t="shared" ca="1" si="31"/>
        <v/>
      </c>
      <c r="O106" s="207" t="str">
        <f t="shared" ca="1" si="31"/>
        <v/>
      </c>
      <c r="P106" s="207" t="str">
        <f t="shared" ca="1" si="31"/>
        <v/>
      </c>
      <c r="Q106" s="207" t="str">
        <f t="shared" ca="1" si="31"/>
        <v/>
      </c>
      <c r="R106" s="207" t="str">
        <f t="shared" ca="1" si="31"/>
        <v/>
      </c>
      <c r="S106" s="4"/>
      <c r="T106" s="4"/>
    </row>
    <row r="107" spans="1:20" ht="14.25" hidden="1">
      <c r="A107" s="986" t="s">
        <v>87</v>
      </c>
      <c r="B107" s="798" t="s">
        <v>395</v>
      </c>
      <c r="C107" s="672"/>
      <c r="D107" s="66"/>
      <c r="E107" s="367" t="str">
        <f>'variant 1'!$E$67</f>
        <v>ventilatoren</v>
      </c>
      <c r="F107" s="220"/>
      <c r="G107" s="220" t="s">
        <v>394</v>
      </c>
      <c r="H107" s="33"/>
      <c r="I107" s="628">
        <f>'variant 1'!$Y$248</f>
        <v>0</v>
      </c>
      <c r="J107" s="624">
        <f t="shared" ca="1" si="29"/>
        <v>248</v>
      </c>
      <c r="K107" s="624">
        <f t="shared" ca="1" si="30"/>
        <v>25</v>
      </c>
      <c r="L107" s="33"/>
      <c r="M107" s="207" t="str">
        <f t="shared" ca="1" si="31"/>
        <v/>
      </c>
      <c r="N107" s="207" t="str">
        <f t="shared" ca="1" si="31"/>
        <v/>
      </c>
      <c r="O107" s="207" t="str">
        <f t="shared" ca="1" si="31"/>
        <v/>
      </c>
      <c r="P107" s="207" t="str">
        <f t="shared" ca="1" si="31"/>
        <v/>
      </c>
      <c r="Q107" s="207" t="str">
        <f t="shared" ca="1" si="31"/>
        <v/>
      </c>
      <c r="R107" s="207" t="str">
        <f t="shared" ca="1" si="31"/>
        <v/>
      </c>
      <c r="S107" s="4"/>
      <c r="T107" s="4"/>
    </row>
    <row r="108" spans="1:20" ht="14.25" hidden="1">
      <c r="A108" s="986" t="s">
        <v>87</v>
      </c>
      <c r="B108" s="798" t="s">
        <v>395</v>
      </c>
      <c r="C108" s="672"/>
      <c r="D108" s="66"/>
      <c r="E108" s="367" t="str">
        <f>'variant 1'!$E$69</f>
        <v>overig elektra</v>
      </c>
      <c r="F108" s="220"/>
      <c r="G108" s="220" t="s">
        <v>394</v>
      </c>
      <c r="H108" s="33"/>
      <c r="I108" s="628">
        <f>'variant 1'!$Y$250</f>
        <v>0</v>
      </c>
      <c r="J108" s="624">
        <f t="shared" ca="1" si="29"/>
        <v>250</v>
      </c>
      <c r="K108" s="624">
        <f t="shared" ca="1" si="30"/>
        <v>25</v>
      </c>
      <c r="L108" s="33"/>
      <c r="M108" s="207" t="str">
        <f t="shared" ca="1" si="31"/>
        <v/>
      </c>
      <c r="N108" s="207" t="str">
        <f t="shared" ca="1" si="31"/>
        <v/>
      </c>
      <c r="O108" s="207" t="str">
        <f t="shared" ca="1" si="31"/>
        <v/>
      </c>
      <c r="P108" s="207" t="str">
        <f t="shared" ca="1" si="31"/>
        <v/>
      </c>
      <c r="Q108" s="207" t="str">
        <f t="shared" ca="1" si="31"/>
        <v/>
      </c>
      <c r="R108" s="207" t="str">
        <f t="shared" ca="1" si="31"/>
        <v/>
      </c>
      <c r="S108" s="4"/>
      <c r="T108" s="4"/>
    </row>
    <row r="109" spans="1:20" ht="14.25" hidden="1">
      <c r="A109" s="986" t="s">
        <v>87</v>
      </c>
      <c r="B109" s="798" t="s">
        <v>395</v>
      </c>
      <c r="C109" s="672"/>
      <c r="D109" s="66"/>
      <c r="E109" s="367" t="str">
        <f>'variant 1'!$E$71</f>
        <v>mobiliteit</v>
      </c>
      <c r="F109" s="220"/>
      <c r="G109" s="220" t="s">
        <v>394</v>
      </c>
      <c r="H109" s="33"/>
      <c r="I109" s="628">
        <f>'variant 1'!$Y$251</f>
        <v>0</v>
      </c>
      <c r="J109" s="624">
        <f t="shared" ca="1" si="29"/>
        <v>251</v>
      </c>
      <c r="K109" s="624">
        <f t="shared" ca="1" si="30"/>
        <v>25</v>
      </c>
      <c r="L109" s="33"/>
      <c r="M109" s="207" t="str">
        <f t="shared" ca="1" si="31"/>
        <v/>
      </c>
      <c r="N109" s="207" t="str">
        <f t="shared" ca="1" si="31"/>
        <v/>
      </c>
      <c r="O109" s="207" t="str">
        <f t="shared" ca="1" si="31"/>
        <v/>
      </c>
      <c r="P109" s="207" t="str">
        <f t="shared" ca="1" si="31"/>
        <v/>
      </c>
      <c r="Q109" s="207" t="str">
        <f t="shared" ca="1" si="31"/>
        <v/>
      </c>
      <c r="R109" s="207" t="str">
        <f t="shared" ca="1" si="31"/>
        <v/>
      </c>
      <c r="S109" s="4"/>
      <c r="T109" s="4"/>
    </row>
    <row r="110" spans="1:20" ht="14.25" hidden="1">
      <c r="A110" s="986" t="s">
        <v>87</v>
      </c>
      <c r="B110" s="798" t="s">
        <v>395</v>
      </c>
      <c r="C110" s="672"/>
      <c r="D110" s="66"/>
      <c r="E110" s="367" t="str">
        <f>'variant 1'!$E$254</f>
        <v>warmtekracht (vermeden primair)</v>
      </c>
      <c r="F110" s="220"/>
      <c r="G110" s="220" t="s">
        <v>394</v>
      </c>
      <c r="H110" s="33"/>
      <c r="I110" s="628">
        <f>'variant 1'!$Y$254</f>
        <v>0</v>
      </c>
      <c r="J110" s="624">
        <f t="shared" ca="1" si="29"/>
        <v>254</v>
      </c>
      <c r="K110" s="624">
        <f t="shared" ca="1" si="30"/>
        <v>25</v>
      </c>
      <c r="L110" s="33"/>
      <c r="M110" s="207" t="str">
        <f t="shared" ca="1" si="31"/>
        <v/>
      </c>
      <c r="N110" s="207" t="str">
        <f t="shared" ca="1" si="31"/>
        <v/>
      </c>
      <c r="O110" s="207" t="str">
        <f t="shared" ca="1" si="31"/>
        <v/>
      </c>
      <c r="P110" s="207" t="str">
        <f t="shared" ca="1" si="31"/>
        <v/>
      </c>
      <c r="Q110" s="207" t="str">
        <f t="shared" ca="1" si="31"/>
        <v/>
      </c>
      <c r="R110" s="207" t="str">
        <f t="shared" ca="1" si="31"/>
        <v/>
      </c>
      <c r="S110" s="4"/>
      <c r="T110" s="4"/>
    </row>
    <row r="111" spans="1:20" ht="14.25" hidden="1">
      <c r="A111" s="986" t="s">
        <v>87</v>
      </c>
      <c r="B111" s="798" t="s">
        <v>395</v>
      </c>
      <c r="C111" s="672"/>
      <c r="D111" s="66"/>
      <c r="E111" s="367" t="str">
        <f>'variant 1'!$E$255</f>
        <v>zonnepanelen (vermeden primair)</v>
      </c>
      <c r="F111" s="220"/>
      <c r="G111" s="220" t="s">
        <v>394</v>
      </c>
      <c r="H111" s="33"/>
      <c r="I111" s="628">
        <f>'variant 1'!$Y$255</f>
        <v>0</v>
      </c>
      <c r="J111" s="624">
        <f t="shared" ca="1" si="29"/>
        <v>255</v>
      </c>
      <c r="K111" s="624">
        <f t="shared" ca="1" si="30"/>
        <v>25</v>
      </c>
      <c r="L111" s="33"/>
      <c r="M111" s="207" t="str">
        <f t="shared" ca="1" si="31"/>
        <v/>
      </c>
      <c r="N111" s="207" t="str">
        <f t="shared" ca="1" si="31"/>
        <v/>
      </c>
      <c r="O111" s="207" t="str">
        <f t="shared" ca="1" si="31"/>
        <v/>
      </c>
      <c r="P111" s="207" t="str">
        <f t="shared" ca="1" si="31"/>
        <v/>
      </c>
      <c r="Q111" s="207" t="str">
        <f t="shared" ca="1" si="31"/>
        <v/>
      </c>
      <c r="R111" s="207" t="str">
        <f t="shared" ca="1" si="31"/>
        <v/>
      </c>
      <c r="S111" s="4"/>
      <c r="T111" s="4"/>
    </row>
    <row r="112" spans="1:20" ht="15" hidden="1">
      <c r="A112" s="986" t="s">
        <v>87</v>
      </c>
      <c r="B112" s="798" t="s">
        <v>395</v>
      </c>
      <c r="C112" s="672"/>
      <c r="D112" s="66"/>
      <c r="E112" s="220" t="s">
        <v>255</v>
      </c>
      <c r="F112" s="220"/>
      <c r="G112" s="220" t="s">
        <v>394</v>
      </c>
      <c r="H112" s="33"/>
      <c r="I112" s="626"/>
      <c r="J112" s="626"/>
      <c r="K112" s="626"/>
      <c r="L112" s="33"/>
      <c r="M112" s="207" t="str">
        <f t="shared" ref="M112:R112" ca="1" si="32">IF(M103="","",SUM(M103:M111))</f>
        <v/>
      </c>
      <c r="N112" s="207" t="str">
        <f t="shared" ca="1" si="32"/>
        <v/>
      </c>
      <c r="O112" s="207" t="str">
        <f t="shared" ca="1" si="32"/>
        <v/>
      </c>
      <c r="P112" s="207" t="str">
        <f t="shared" ca="1" si="32"/>
        <v/>
      </c>
      <c r="Q112" s="207" t="str">
        <f t="shared" ca="1" si="32"/>
        <v/>
      </c>
      <c r="R112" s="207" t="str">
        <f t="shared" ca="1" si="32"/>
        <v/>
      </c>
      <c r="S112" s="4"/>
      <c r="T112" s="4"/>
    </row>
    <row r="113" spans="1:20" s="611" customFormat="1" ht="5.25" hidden="1">
      <c r="A113" s="982" t="s">
        <v>87</v>
      </c>
      <c r="B113" s="797" t="s">
        <v>395</v>
      </c>
      <c r="C113" s="667"/>
      <c r="D113" s="610"/>
      <c r="E113" s="642"/>
      <c r="F113" s="642"/>
      <c r="G113" s="642"/>
      <c r="H113" s="642"/>
      <c r="I113" s="643"/>
      <c r="J113" s="643"/>
      <c r="K113" s="643"/>
      <c r="L113" s="642"/>
      <c r="M113" s="642"/>
      <c r="N113" s="676"/>
      <c r="O113" s="642"/>
      <c r="P113" s="642"/>
      <c r="Q113" s="642"/>
      <c r="R113" s="642"/>
      <c r="S113" s="610"/>
      <c r="T113" s="610"/>
    </row>
    <row r="114" spans="1:20" ht="15" hidden="1">
      <c r="A114" s="986" t="s">
        <v>87</v>
      </c>
      <c r="B114" s="798" t="s">
        <v>395</v>
      </c>
      <c r="C114" s="672"/>
      <c r="D114" s="66"/>
      <c r="E114" s="754" t="str">
        <f>"resultaten tov "&amp;$F$5</f>
        <v>resultaten tov variant 1</v>
      </c>
      <c r="F114" s="754"/>
      <c r="G114" s="755" t="s">
        <v>394</v>
      </c>
      <c r="H114" s="33"/>
      <c r="I114" s="629"/>
      <c r="J114" s="629"/>
      <c r="K114" s="629"/>
      <c r="L114" s="33"/>
      <c r="M114" s="756" t="str">
        <f t="shared" ref="M114:R114" ca="1" si="33">IF(M112="","",M112-INDEX($L112:$S112,MATCH($F$5,$L$8:$S$8,0)))</f>
        <v/>
      </c>
      <c r="N114" s="756" t="str">
        <f t="shared" ca="1" si="33"/>
        <v/>
      </c>
      <c r="O114" s="756" t="str">
        <f t="shared" ca="1" si="33"/>
        <v/>
      </c>
      <c r="P114" s="756" t="str">
        <f t="shared" ca="1" si="33"/>
        <v/>
      </c>
      <c r="Q114" s="756" t="str">
        <f t="shared" ca="1" si="33"/>
        <v/>
      </c>
      <c r="R114" s="756" t="str">
        <f t="shared" ca="1" si="33"/>
        <v/>
      </c>
      <c r="S114" s="4"/>
      <c r="T114" s="4"/>
    </row>
    <row r="115" spans="1:20" ht="15" hidden="1">
      <c r="A115" s="981" t="s">
        <v>87</v>
      </c>
      <c r="B115" s="798" t="s">
        <v>395</v>
      </c>
      <c r="C115" s="672"/>
      <c r="D115" s="66"/>
      <c r="E115" s="757"/>
      <c r="F115" s="757"/>
      <c r="G115" s="755" t="s">
        <v>147</v>
      </c>
      <c r="H115" s="33"/>
      <c r="I115" s="630"/>
      <c r="J115" s="630"/>
      <c r="K115" s="630"/>
      <c r="L115" s="33"/>
      <c r="M115" s="761" t="str">
        <f t="shared" ref="M115:R115" ca="1" si="34">IFERROR(M114/INDEX($L112:$S112,MATCH($F$5,$L$8:$S$8,0)),"")</f>
        <v/>
      </c>
      <c r="N115" s="761" t="str">
        <f t="shared" ca="1" si="34"/>
        <v/>
      </c>
      <c r="O115" s="761" t="str">
        <f t="shared" ca="1" si="34"/>
        <v/>
      </c>
      <c r="P115" s="761" t="str">
        <f t="shared" ca="1" si="34"/>
        <v/>
      </c>
      <c r="Q115" s="761" t="str">
        <f t="shared" ca="1" si="34"/>
        <v/>
      </c>
      <c r="R115" s="761" t="str">
        <f t="shared" ca="1" si="34"/>
        <v/>
      </c>
      <c r="S115" s="4"/>
      <c r="T115" s="4"/>
    </row>
    <row r="116" spans="1:20" ht="15" hidden="1">
      <c r="A116" s="986" t="s">
        <v>87</v>
      </c>
      <c r="B116" s="798" t="s">
        <v>395</v>
      </c>
      <c r="C116" s="672"/>
      <c r="D116" s="66"/>
      <c r="E116" s="4"/>
      <c r="F116" s="4"/>
      <c r="G116" s="4"/>
      <c r="H116" s="33"/>
      <c r="I116" s="78"/>
      <c r="J116" s="78"/>
      <c r="K116" s="78"/>
      <c r="L116" s="33"/>
      <c r="M116" s="13"/>
      <c r="N116" s="13"/>
      <c r="O116" s="13"/>
      <c r="P116" s="13"/>
      <c r="Q116" s="13"/>
      <c r="R116" s="13"/>
      <c r="S116" s="4"/>
      <c r="T116" s="4"/>
    </row>
    <row r="117" spans="1:20" ht="21" hidden="1">
      <c r="A117" s="981" t="s">
        <v>87</v>
      </c>
      <c r="B117" s="798" t="s">
        <v>395</v>
      </c>
      <c r="C117" s="672"/>
      <c r="D117" s="66"/>
      <c r="E117" s="215" t="s">
        <v>398</v>
      </c>
      <c r="F117" s="215"/>
      <c r="G117" s="215"/>
      <c r="H117" s="4"/>
      <c r="I117" s="623"/>
      <c r="J117" s="623"/>
      <c r="K117" s="623"/>
      <c r="L117" s="33"/>
      <c r="M117" s="638"/>
      <c r="N117" s="638"/>
      <c r="O117" s="638"/>
      <c r="P117" s="638"/>
      <c r="Q117" s="638"/>
      <c r="R117" s="638"/>
      <c r="S117" s="4"/>
      <c r="T117" s="4"/>
    </row>
    <row r="118" spans="1:20" ht="14.25" hidden="1">
      <c r="A118" s="986" t="s">
        <v>87</v>
      </c>
      <c r="B118" s="798" t="s">
        <v>395</v>
      </c>
      <c r="C118" s="672"/>
      <c r="D118" s="66"/>
      <c r="E118" s="367" t="str">
        <f>'variant 1'!$E$62</f>
        <v>verwarming</v>
      </c>
      <c r="F118" s="220"/>
      <c r="G118" s="220" t="s">
        <v>394</v>
      </c>
      <c r="H118" s="33"/>
      <c r="I118" s="628">
        <f>'variant 1'!$AK$244</f>
        <v>0</v>
      </c>
      <c r="J118" s="624">
        <f t="shared" ref="J118:J126" ca="1" si="35">ROW(INDIRECT(RIGHT((_xlfn.FORMULATEXT($I118)),LEN(_xlfn.FORMULATEXT($I118))-1)))</f>
        <v>244</v>
      </c>
      <c r="K118" s="624">
        <f t="shared" ref="K118:K126" ca="1" si="36">COLUMN(INDIRECT(RIGHT((_xlfn.FORMULATEXT($I118)),LEN(_xlfn.FORMULATEXT($I118))-1)))</f>
        <v>37</v>
      </c>
      <c r="L118" s="33"/>
      <c r="M118" s="207" t="str">
        <f t="shared" ref="M118:R126" ca="1" si="37">IF(M$20=0,"",IFERROR(IF(INDIRECT(ADDRESS($J118,$K118,,,M$8))=0,"",INDIRECT(ADDRESS($J118,$K118,,,M$8))),""))</f>
        <v/>
      </c>
      <c r="N118" s="207" t="str">
        <f t="shared" ca="1" si="37"/>
        <v/>
      </c>
      <c r="O118" s="207" t="str">
        <f t="shared" ca="1" si="37"/>
        <v/>
      </c>
      <c r="P118" s="207" t="str">
        <f t="shared" ca="1" si="37"/>
        <v/>
      </c>
      <c r="Q118" s="207" t="str">
        <f t="shared" ca="1" si="37"/>
        <v/>
      </c>
      <c r="R118" s="207" t="str">
        <f t="shared" ca="1" si="37"/>
        <v/>
      </c>
      <c r="S118" s="4"/>
      <c r="T118" s="4"/>
    </row>
    <row r="119" spans="1:20" ht="14.25" hidden="1">
      <c r="A119" s="986" t="s">
        <v>87</v>
      </c>
      <c r="B119" s="798" t="s">
        <v>395</v>
      </c>
      <c r="C119" s="672"/>
      <c r="D119" s="66"/>
      <c r="E119" s="367" t="str">
        <f>'variant 1'!$E$64</f>
        <v>koeling</v>
      </c>
      <c r="F119" s="220"/>
      <c r="G119" s="220" t="s">
        <v>394</v>
      </c>
      <c r="H119" s="33"/>
      <c r="I119" s="628">
        <f>'variant 1'!$AK$245</f>
        <v>0</v>
      </c>
      <c r="J119" s="624">
        <f t="shared" ca="1" si="35"/>
        <v>245</v>
      </c>
      <c r="K119" s="624">
        <f t="shared" ca="1" si="36"/>
        <v>37</v>
      </c>
      <c r="L119" s="33"/>
      <c r="M119" s="207" t="str">
        <f t="shared" ca="1" si="37"/>
        <v/>
      </c>
      <c r="N119" s="207" t="str">
        <f t="shared" ca="1" si="37"/>
        <v/>
      </c>
      <c r="O119" s="207" t="str">
        <f t="shared" ca="1" si="37"/>
        <v/>
      </c>
      <c r="P119" s="207" t="str">
        <f t="shared" ca="1" si="37"/>
        <v/>
      </c>
      <c r="Q119" s="207" t="str">
        <f t="shared" ca="1" si="37"/>
        <v/>
      </c>
      <c r="R119" s="207" t="str">
        <f t="shared" ca="1" si="37"/>
        <v/>
      </c>
      <c r="S119" s="4"/>
      <c r="T119" s="4"/>
    </row>
    <row r="120" spans="1:20" ht="14.25" hidden="1">
      <c r="A120" s="986" t="s">
        <v>87</v>
      </c>
      <c r="B120" s="798" t="s">
        <v>395</v>
      </c>
      <c r="C120" s="672"/>
      <c r="D120" s="66"/>
      <c r="E120" s="367" t="str">
        <f>'variant 1'!$E$65</f>
        <v>tapwater</v>
      </c>
      <c r="F120" s="220"/>
      <c r="G120" s="220" t="s">
        <v>394</v>
      </c>
      <c r="H120" s="33"/>
      <c r="I120" s="628">
        <f>'variant 1'!$AK$246</f>
        <v>0</v>
      </c>
      <c r="J120" s="624">
        <f t="shared" ca="1" si="35"/>
        <v>246</v>
      </c>
      <c r="K120" s="624">
        <f t="shared" ca="1" si="36"/>
        <v>37</v>
      </c>
      <c r="L120" s="33"/>
      <c r="M120" s="207" t="str">
        <f t="shared" ca="1" si="37"/>
        <v/>
      </c>
      <c r="N120" s="207" t="str">
        <f t="shared" ca="1" si="37"/>
        <v/>
      </c>
      <c r="O120" s="207" t="str">
        <f t="shared" ca="1" si="37"/>
        <v/>
      </c>
      <c r="P120" s="207" t="str">
        <f t="shared" ca="1" si="37"/>
        <v/>
      </c>
      <c r="Q120" s="207" t="str">
        <f t="shared" ca="1" si="37"/>
        <v/>
      </c>
      <c r="R120" s="207" t="str">
        <f t="shared" ca="1" si="37"/>
        <v/>
      </c>
      <c r="S120" s="4"/>
      <c r="T120" s="4"/>
    </row>
    <row r="121" spans="1:20" ht="14.25" hidden="1">
      <c r="A121" s="986" t="s">
        <v>87</v>
      </c>
      <c r="B121" s="798" t="s">
        <v>395</v>
      </c>
      <c r="C121" s="672"/>
      <c r="D121" s="66"/>
      <c r="E121" s="367" t="str">
        <f>'variant 1'!$E$66</f>
        <v>verlichting</v>
      </c>
      <c r="F121" s="220"/>
      <c r="G121" s="220" t="s">
        <v>394</v>
      </c>
      <c r="H121" s="33"/>
      <c r="I121" s="628">
        <f>'variant 1'!$AK$247</f>
        <v>0</v>
      </c>
      <c r="J121" s="624">
        <f t="shared" ca="1" si="35"/>
        <v>247</v>
      </c>
      <c r="K121" s="624">
        <f t="shared" ca="1" si="36"/>
        <v>37</v>
      </c>
      <c r="L121" s="33"/>
      <c r="M121" s="207" t="str">
        <f t="shared" ca="1" si="37"/>
        <v/>
      </c>
      <c r="N121" s="207" t="str">
        <f t="shared" ca="1" si="37"/>
        <v/>
      </c>
      <c r="O121" s="207" t="str">
        <f t="shared" ca="1" si="37"/>
        <v/>
      </c>
      <c r="P121" s="207" t="str">
        <f t="shared" ca="1" si="37"/>
        <v/>
      </c>
      <c r="Q121" s="207" t="str">
        <f t="shared" ca="1" si="37"/>
        <v/>
      </c>
      <c r="R121" s="207" t="str">
        <f t="shared" ca="1" si="37"/>
        <v/>
      </c>
      <c r="S121" s="4"/>
      <c r="T121" s="4"/>
    </row>
    <row r="122" spans="1:20" ht="14.25" hidden="1">
      <c r="A122" s="986" t="s">
        <v>87</v>
      </c>
      <c r="B122" s="798" t="s">
        <v>395</v>
      </c>
      <c r="C122" s="672"/>
      <c r="D122" s="66"/>
      <c r="E122" s="367" t="str">
        <f>'variant 1'!$E$67</f>
        <v>ventilatoren</v>
      </c>
      <c r="F122" s="220"/>
      <c r="G122" s="220" t="s">
        <v>394</v>
      </c>
      <c r="H122" s="33"/>
      <c r="I122" s="628">
        <f>'variant 1'!$AK$248</f>
        <v>0</v>
      </c>
      <c r="J122" s="624">
        <f t="shared" ca="1" si="35"/>
        <v>248</v>
      </c>
      <c r="K122" s="624">
        <f t="shared" ca="1" si="36"/>
        <v>37</v>
      </c>
      <c r="L122" s="33"/>
      <c r="M122" s="207" t="str">
        <f t="shared" ca="1" si="37"/>
        <v/>
      </c>
      <c r="N122" s="207" t="str">
        <f t="shared" ca="1" si="37"/>
        <v/>
      </c>
      <c r="O122" s="207" t="str">
        <f t="shared" ca="1" si="37"/>
        <v/>
      </c>
      <c r="P122" s="207" t="str">
        <f t="shared" ca="1" si="37"/>
        <v/>
      </c>
      <c r="Q122" s="207" t="str">
        <f t="shared" ca="1" si="37"/>
        <v/>
      </c>
      <c r="R122" s="207" t="str">
        <f t="shared" ca="1" si="37"/>
        <v/>
      </c>
      <c r="S122" s="4"/>
      <c r="T122" s="4"/>
    </row>
    <row r="123" spans="1:20" ht="14.25" hidden="1">
      <c r="A123" s="986" t="s">
        <v>87</v>
      </c>
      <c r="B123" s="798" t="s">
        <v>395</v>
      </c>
      <c r="C123" s="672"/>
      <c r="D123" s="66"/>
      <c r="E123" s="367" t="str">
        <f>'variant 1'!$E$69</f>
        <v>overig elektra</v>
      </c>
      <c r="F123" s="220"/>
      <c r="G123" s="220" t="s">
        <v>394</v>
      </c>
      <c r="H123" s="33"/>
      <c r="I123" s="628">
        <f>'variant 1'!$AK$250</f>
        <v>0</v>
      </c>
      <c r="J123" s="624">
        <f t="shared" ca="1" si="35"/>
        <v>250</v>
      </c>
      <c r="K123" s="624">
        <f t="shared" ca="1" si="36"/>
        <v>37</v>
      </c>
      <c r="L123" s="33"/>
      <c r="M123" s="207" t="str">
        <f t="shared" ca="1" si="37"/>
        <v/>
      </c>
      <c r="N123" s="207" t="str">
        <f t="shared" ca="1" si="37"/>
        <v/>
      </c>
      <c r="O123" s="207" t="str">
        <f t="shared" ca="1" si="37"/>
        <v/>
      </c>
      <c r="P123" s="207" t="str">
        <f t="shared" ca="1" si="37"/>
        <v/>
      </c>
      <c r="Q123" s="207" t="str">
        <f t="shared" ca="1" si="37"/>
        <v/>
      </c>
      <c r="R123" s="207" t="str">
        <f t="shared" ca="1" si="37"/>
        <v/>
      </c>
      <c r="S123" s="4"/>
      <c r="T123" s="4"/>
    </row>
    <row r="124" spans="1:20" ht="14.25" hidden="1">
      <c r="A124" s="986" t="s">
        <v>87</v>
      </c>
      <c r="B124" s="798" t="s">
        <v>395</v>
      </c>
      <c r="C124" s="672"/>
      <c r="D124" s="66"/>
      <c r="E124" s="367" t="str">
        <f>'variant 1'!$E$71</f>
        <v>mobiliteit</v>
      </c>
      <c r="F124" s="220"/>
      <c r="G124" s="220" t="s">
        <v>394</v>
      </c>
      <c r="H124" s="33"/>
      <c r="I124" s="628">
        <f>'variant 1'!$AK$251</f>
        <v>0</v>
      </c>
      <c r="J124" s="624">
        <f t="shared" ca="1" si="35"/>
        <v>251</v>
      </c>
      <c r="K124" s="624">
        <f t="shared" ca="1" si="36"/>
        <v>37</v>
      </c>
      <c r="L124" s="33"/>
      <c r="M124" s="207" t="str">
        <f t="shared" ca="1" si="37"/>
        <v/>
      </c>
      <c r="N124" s="207" t="str">
        <f t="shared" ca="1" si="37"/>
        <v/>
      </c>
      <c r="O124" s="207" t="str">
        <f t="shared" ca="1" si="37"/>
        <v/>
      </c>
      <c r="P124" s="207" t="str">
        <f t="shared" ca="1" si="37"/>
        <v/>
      </c>
      <c r="Q124" s="207" t="str">
        <f t="shared" ca="1" si="37"/>
        <v/>
      </c>
      <c r="R124" s="207" t="str">
        <f t="shared" ca="1" si="37"/>
        <v/>
      </c>
      <c r="S124" s="4"/>
      <c r="T124" s="4"/>
    </row>
    <row r="125" spans="1:20" ht="14.25" hidden="1">
      <c r="A125" s="986" t="s">
        <v>87</v>
      </c>
      <c r="B125" s="798" t="s">
        <v>395</v>
      </c>
      <c r="C125" s="672"/>
      <c r="D125" s="66"/>
      <c r="E125" s="367" t="str">
        <f>'variant 1'!$E$254</f>
        <v>warmtekracht (vermeden primair)</v>
      </c>
      <c r="F125" s="220"/>
      <c r="G125" s="220" t="s">
        <v>394</v>
      </c>
      <c r="H125" s="33"/>
      <c r="I125" s="628">
        <f>'variant 1'!$AK$254</f>
        <v>0</v>
      </c>
      <c r="J125" s="624">
        <f t="shared" ca="1" si="35"/>
        <v>254</v>
      </c>
      <c r="K125" s="624">
        <f t="shared" ca="1" si="36"/>
        <v>37</v>
      </c>
      <c r="L125" s="33"/>
      <c r="M125" s="207" t="str">
        <f t="shared" ca="1" si="37"/>
        <v/>
      </c>
      <c r="N125" s="207" t="str">
        <f t="shared" ca="1" si="37"/>
        <v/>
      </c>
      <c r="O125" s="207" t="str">
        <f t="shared" ca="1" si="37"/>
        <v/>
      </c>
      <c r="P125" s="207" t="str">
        <f t="shared" ca="1" si="37"/>
        <v/>
      </c>
      <c r="Q125" s="207" t="str">
        <f t="shared" ca="1" si="37"/>
        <v/>
      </c>
      <c r="R125" s="207" t="str">
        <f t="shared" ca="1" si="37"/>
        <v/>
      </c>
      <c r="S125" s="4"/>
      <c r="T125" s="4"/>
    </row>
    <row r="126" spans="1:20" ht="14.25" hidden="1">
      <c r="A126" s="986" t="s">
        <v>87</v>
      </c>
      <c r="B126" s="798" t="s">
        <v>395</v>
      </c>
      <c r="C126" s="672"/>
      <c r="D126" s="66"/>
      <c r="E126" s="367" t="str">
        <f>'variant 1'!$E$255</f>
        <v>zonnepanelen (vermeden primair)</v>
      </c>
      <c r="F126" s="220"/>
      <c r="G126" s="220" t="s">
        <v>394</v>
      </c>
      <c r="H126" s="33"/>
      <c r="I126" s="628">
        <f>'variant 1'!$AK$255</f>
        <v>0</v>
      </c>
      <c r="J126" s="624">
        <f t="shared" ca="1" si="35"/>
        <v>255</v>
      </c>
      <c r="K126" s="624">
        <f t="shared" ca="1" si="36"/>
        <v>37</v>
      </c>
      <c r="L126" s="33"/>
      <c r="M126" s="207" t="str">
        <f t="shared" ca="1" si="37"/>
        <v/>
      </c>
      <c r="N126" s="207" t="str">
        <f t="shared" ca="1" si="37"/>
        <v/>
      </c>
      <c r="O126" s="207" t="str">
        <f t="shared" ca="1" si="37"/>
        <v/>
      </c>
      <c r="P126" s="207" t="str">
        <f t="shared" ca="1" si="37"/>
        <v/>
      </c>
      <c r="Q126" s="207" t="str">
        <f t="shared" ca="1" si="37"/>
        <v/>
      </c>
      <c r="R126" s="207" t="str">
        <f t="shared" ca="1" si="37"/>
        <v/>
      </c>
      <c r="S126" s="4"/>
      <c r="T126" s="4"/>
    </row>
    <row r="127" spans="1:20" ht="15" hidden="1">
      <c r="A127" s="986" t="s">
        <v>87</v>
      </c>
      <c r="B127" s="798" t="s">
        <v>395</v>
      </c>
      <c r="C127" s="672"/>
      <c r="D127" s="66"/>
      <c r="E127" s="220" t="s">
        <v>255</v>
      </c>
      <c r="F127" s="220"/>
      <c r="G127" s="220" t="s">
        <v>394</v>
      </c>
      <c r="H127" s="33"/>
      <c r="I127" s="626"/>
      <c r="J127" s="626"/>
      <c r="K127" s="626"/>
      <c r="L127" s="33"/>
      <c r="M127" s="207" t="str">
        <f t="shared" ref="M127:R127" ca="1" si="38">IF(M118="","",SUM(M118:M126))</f>
        <v/>
      </c>
      <c r="N127" s="207" t="str">
        <f t="shared" ca="1" si="38"/>
        <v/>
      </c>
      <c r="O127" s="207" t="str">
        <f t="shared" ca="1" si="38"/>
        <v/>
      </c>
      <c r="P127" s="207" t="str">
        <f t="shared" ca="1" si="38"/>
        <v/>
      </c>
      <c r="Q127" s="207" t="str">
        <f t="shared" ca="1" si="38"/>
        <v/>
      </c>
      <c r="R127" s="207" t="str">
        <f t="shared" ca="1" si="38"/>
        <v/>
      </c>
      <c r="S127" s="4"/>
      <c r="T127" s="4"/>
    </row>
    <row r="128" spans="1:20" s="611" customFormat="1" ht="5.25" hidden="1">
      <c r="A128" s="982" t="s">
        <v>87</v>
      </c>
      <c r="B128" s="797" t="s">
        <v>395</v>
      </c>
      <c r="C128" s="667"/>
      <c r="D128" s="610"/>
      <c r="E128" s="642"/>
      <c r="F128" s="642"/>
      <c r="G128" s="642"/>
      <c r="H128" s="642"/>
      <c r="I128" s="643"/>
      <c r="J128" s="643"/>
      <c r="K128" s="643"/>
      <c r="L128" s="642"/>
      <c r="M128" s="642"/>
      <c r="N128" s="676"/>
      <c r="O128" s="642"/>
      <c r="P128" s="642"/>
      <c r="Q128" s="642"/>
      <c r="R128" s="642"/>
      <c r="S128" s="610"/>
      <c r="T128" s="610"/>
    </row>
    <row r="129" spans="1:20" ht="15" hidden="1">
      <c r="A129" s="986" t="s">
        <v>87</v>
      </c>
      <c r="B129" s="798" t="s">
        <v>395</v>
      </c>
      <c r="C129" s="672"/>
      <c r="D129" s="66"/>
      <c r="E129" s="754" t="str">
        <f>"resultaten tov "&amp;$F$5</f>
        <v>resultaten tov variant 1</v>
      </c>
      <c r="F129" s="754"/>
      <c r="G129" s="755" t="s">
        <v>394</v>
      </c>
      <c r="H129" s="33"/>
      <c r="I129" s="629"/>
      <c r="J129" s="629"/>
      <c r="K129" s="629"/>
      <c r="L129" s="33"/>
      <c r="M129" s="756" t="str">
        <f t="shared" ref="M129:R129" ca="1" si="39">IF(M127="","",M127-INDEX($L127:$S127,MATCH($F$5,$L$8:$S$8,0)))</f>
        <v/>
      </c>
      <c r="N129" s="756" t="str">
        <f t="shared" ca="1" si="39"/>
        <v/>
      </c>
      <c r="O129" s="756" t="str">
        <f t="shared" ca="1" si="39"/>
        <v/>
      </c>
      <c r="P129" s="756" t="str">
        <f t="shared" ca="1" si="39"/>
        <v/>
      </c>
      <c r="Q129" s="756" t="str">
        <f t="shared" ca="1" si="39"/>
        <v/>
      </c>
      <c r="R129" s="756" t="str">
        <f t="shared" ca="1" si="39"/>
        <v/>
      </c>
      <c r="S129" s="4"/>
      <c r="T129" s="4"/>
    </row>
    <row r="130" spans="1:20" ht="15" hidden="1">
      <c r="A130" s="981" t="s">
        <v>87</v>
      </c>
      <c r="B130" s="798" t="s">
        <v>395</v>
      </c>
      <c r="C130" s="672"/>
      <c r="D130" s="66"/>
      <c r="E130" s="757"/>
      <c r="F130" s="757"/>
      <c r="G130" s="755" t="s">
        <v>147</v>
      </c>
      <c r="H130" s="33"/>
      <c r="I130" s="630"/>
      <c r="J130" s="630"/>
      <c r="K130" s="630"/>
      <c r="L130" s="33"/>
      <c r="M130" s="761" t="str">
        <f t="shared" ref="M130:R130" ca="1" si="40">IFERROR(M129/INDEX($L127:$S127,MATCH($F$5,$L$8:$S$8,0)),"")</f>
        <v/>
      </c>
      <c r="N130" s="761" t="str">
        <f t="shared" ca="1" si="40"/>
        <v/>
      </c>
      <c r="O130" s="761" t="str">
        <f t="shared" ca="1" si="40"/>
        <v/>
      </c>
      <c r="P130" s="761" t="str">
        <f t="shared" ca="1" si="40"/>
        <v/>
      </c>
      <c r="Q130" s="761" t="str">
        <f t="shared" ca="1" si="40"/>
        <v/>
      </c>
      <c r="R130" s="761" t="str">
        <f t="shared" ca="1" si="40"/>
        <v/>
      </c>
      <c r="S130" s="4"/>
      <c r="T130" s="4"/>
    </row>
    <row r="131" spans="1:20" ht="15" hidden="1">
      <c r="A131" s="986" t="s">
        <v>87</v>
      </c>
      <c r="B131" s="798" t="s">
        <v>395</v>
      </c>
      <c r="C131" s="672"/>
      <c r="D131" s="66"/>
      <c r="E131" s="4"/>
      <c r="F131" s="4"/>
      <c r="G131" s="4"/>
      <c r="H131" s="33"/>
      <c r="I131" s="78"/>
      <c r="J131" s="78"/>
      <c r="K131" s="78"/>
      <c r="L131" s="33"/>
      <c r="M131" s="13"/>
      <c r="N131" s="13"/>
      <c r="O131" s="13"/>
      <c r="P131" s="13"/>
      <c r="Q131" s="13"/>
      <c r="R131" s="13"/>
      <c r="S131" s="4"/>
      <c r="T131" s="4"/>
    </row>
    <row r="132" spans="1:20" ht="21" hidden="1">
      <c r="A132" s="981" t="s">
        <v>87</v>
      </c>
      <c r="B132" s="798" t="s">
        <v>395</v>
      </c>
      <c r="C132" s="672"/>
      <c r="D132" s="66"/>
      <c r="E132" s="215" t="s">
        <v>399</v>
      </c>
      <c r="F132" s="215"/>
      <c r="G132" s="215"/>
      <c r="H132" s="4"/>
      <c r="I132" s="623"/>
      <c r="J132" s="623"/>
      <c r="K132" s="623"/>
      <c r="L132" s="33"/>
      <c r="M132" s="638"/>
      <c r="N132" s="638"/>
      <c r="O132" s="638"/>
      <c r="P132" s="638"/>
      <c r="Q132" s="638"/>
      <c r="R132" s="638"/>
      <c r="S132" s="4"/>
      <c r="T132" s="4"/>
    </row>
    <row r="133" spans="1:20" ht="14.25" hidden="1">
      <c r="A133" s="986" t="s">
        <v>87</v>
      </c>
      <c r="B133" s="798" t="s">
        <v>395</v>
      </c>
      <c r="C133" s="672"/>
      <c r="D133" s="66"/>
      <c r="E133" s="367" t="str">
        <f>'variant 1'!$E$62</f>
        <v>verwarming</v>
      </c>
      <c r="F133" s="220"/>
      <c r="G133" s="220" t="s">
        <v>394</v>
      </c>
      <c r="H133" s="33"/>
      <c r="I133" s="628">
        <f>'variant 1'!$AW$244</f>
        <v>0</v>
      </c>
      <c r="J133" s="624">
        <f t="shared" ref="J133:J141" ca="1" si="41">ROW(INDIRECT(RIGHT((_xlfn.FORMULATEXT($I133)),LEN(_xlfn.FORMULATEXT($I133))-1)))</f>
        <v>244</v>
      </c>
      <c r="K133" s="624">
        <f t="shared" ref="K133:K141" ca="1" si="42">COLUMN(INDIRECT(RIGHT((_xlfn.FORMULATEXT($I133)),LEN(_xlfn.FORMULATEXT($I133))-1)))</f>
        <v>49</v>
      </c>
      <c r="L133" s="33"/>
      <c r="M133" s="207" t="str">
        <f t="shared" ref="M133:R141" ca="1" si="43">IF(M$21=0,"",IFERROR(IF(INDIRECT(ADDRESS($J133,$K133,,,M$8))=0,"",INDIRECT(ADDRESS($J133,$K133,,,M$8))),""))</f>
        <v/>
      </c>
      <c r="N133" s="207" t="str">
        <f t="shared" ca="1" si="43"/>
        <v/>
      </c>
      <c r="O133" s="207" t="str">
        <f t="shared" ca="1" si="43"/>
        <v/>
      </c>
      <c r="P133" s="207" t="str">
        <f t="shared" ca="1" si="43"/>
        <v/>
      </c>
      <c r="Q133" s="207" t="str">
        <f t="shared" ca="1" si="43"/>
        <v/>
      </c>
      <c r="R133" s="207" t="str">
        <f t="shared" ca="1" si="43"/>
        <v/>
      </c>
      <c r="S133" s="4"/>
      <c r="T133" s="4"/>
    </row>
    <row r="134" spans="1:20" ht="14.25" hidden="1">
      <c r="A134" s="986" t="s">
        <v>87</v>
      </c>
      <c r="B134" s="798" t="s">
        <v>395</v>
      </c>
      <c r="C134" s="672"/>
      <c r="D134" s="66"/>
      <c r="E134" s="367" t="str">
        <f>'variant 1'!$E$64</f>
        <v>koeling</v>
      </c>
      <c r="F134" s="220"/>
      <c r="G134" s="220" t="s">
        <v>394</v>
      </c>
      <c r="H134" s="33"/>
      <c r="I134" s="628">
        <f>'variant 1'!$AW$245</f>
        <v>0</v>
      </c>
      <c r="J134" s="624">
        <f t="shared" ca="1" si="41"/>
        <v>245</v>
      </c>
      <c r="K134" s="624">
        <f t="shared" ca="1" si="42"/>
        <v>49</v>
      </c>
      <c r="L134" s="33"/>
      <c r="M134" s="207" t="str">
        <f t="shared" ca="1" si="43"/>
        <v/>
      </c>
      <c r="N134" s="207" t="str">
        <f t="shared" ca="1" si="43"/>
        <v/>
      </c>
      <c r="O134" s="207" t="str">
        <f t="shared" ca="1" si="43"/>
        <v/>
      </c>
      <c r="P134" s="207" t="str">
        <f t="shared" ca="1" si="43"/>
        <v/>
      </c>
      <c r="Q134" s="207" t="str">
        <f t="shared" ca="1" si="43"/>
        <v/>
      </c>
      <c r="R134" s="207" t="str">
        <f t="shared" ca="1" si="43"/>
        <v/>
      </c>
      <c r="S134" s="4"/>
      <c r="T134" s="4"/>
    </row>
    <row r="135" spans="1:20" ht="14.25" hidden="1">
      <c r="A135" s="986" t="s">
        <v>87</v>
      </c>
      <c r="B135" s="798" t="s">
        <v>395</v>
      </c>
      <c r="C135" s="672"/>
      <c r="D135" s="66"/>
      <c r="E135" s="367" t="str">
        <f>'variant 1'!$E$65</f>
        <v>tapwater</v>
      </c>
      <c r="F135" s="220"/>
      <c r="G135" s="220" t="s">
        <v>394</v>
      </c>
      <c r="H135" s="33"/>
      <c r="I135" s="628">
        <f>'variant 1'!$AW$246</f>
        <v>0</v>
      </c>
      <c r="J135" s="624">
        <f t="shared" ca="1" si="41"/>
        <v>246</v>
      </c>
      <c r="K135" s="624">
        <f t="shared" ca="1" si="42"/>
        <v>49</v>
      </c>
      <c r="L135" s="33"/>
      <c r="M135" s="207" t="str">
        <f t="shared" ca="1" si="43"/>
        <v/>
      </c>
      <c r="N135" s="207" t="str">
        <f t="shared" ca="1" si="43"/>
        <v/>
      </c>
      <c r="O135" s="207" t="str">
        <f t="shared" ca="1" si="43"/>
        <v/>
      </c>
      <c r="P135" s="207" t="str">
        <f t="shared" ca="1" si="43"/>
        <v/>
      </c>
      <c r="Q135" s="207" t="str">
        <f t="shared" ca="1" si="43"/>
        <v/>
      </c>
      <c r="R135" s="207" t="str">
        <f t="shared" ca="1" si="43"/>
        <v/>
      </c>
      <c r="S135" s="4"/>
      <c r="T135" s="4"/>
    </row>
    <row r="136" spans="1:20" ht="14.25" hidden="1">
      <c r="A136" s="986" t="s">
        <v>87</v>
      </c>
      <c r="B136" s="798" t="s">
        <v>395</v>
      </c>
      <c r="C136" s="672"/>
      <c r="D136" s="66"/>
      <c r="E136" s="367" t="str">
        <f>'variant 1'!$E$66</f>
        <v>verlichting</v>
      </c>
      <c r="F136" s="220"/>
      <c r="G136" s="220" t="s">
        <v>394</v>
      </c>
      <c r="H136" s="33"/>
      <c r="I136" s="628">
        <f>'variant 1'!$AW$247</f>
        <v>0</v>
      </c>
      <c r="J136" s="624">
        <f t="shared" ca="1" si="41"/>
        <v>247</v>
      </c>
      <c r="K136" s="624">
        <f t="shared" ca="1" si="42"/>
        <v>49</v>
      </c>
      <c r="L136" s="33"/>
      <c r="M136" s="207" t="str">
        <f t="shared" ca="1" si="43"/>
        <v/>
      </c>
      <c r="N136" s="207" t="str">
        <f t="shared" ca="1" si="43"/>
        <v/>
      </c>
      <c r="O136" s="207" t="str">
        <f t="shared" ca="1" si="43"/>
        <v/>
      </c>
      <c r="P136" s="207" t="str">
        <f t="shared" ca="1" si="43"/>
        <v/>
      </c>
      <c r="Q136" s="207" t="str">
        <f t="shared" ca="1" si="43"/>
        <v/>
      </c>
      <c r="R136" s="207" t="str">
        <f t="shared" ca="1" si="43"/>
        <v/>
      </c>
      <c r="S136" s="4"/>
      <c r="T136" s="4"/>
    </row>
    <row r="137" spans="1:20" ht="14.25" hidden="1">
      <c r="A137" s="986" t="s">
        <v>87</v>
      </c>
      <c r="B137" s="798" t="s">
        <v>395</v>
      </c>
      <c r="C137" s="672"/>
      <c r="D137" s="66"/>
      <c r="E137" s="367" t="str">
        <f>'variant 1'!$E$67</f>
        <v>ventilatoren</v>
      </c>
      <c r="F137" s="220"/>
      <c r="G137" s="220" t="s">
        <v>394</v>
      </c>
      <c r="H137" s="33"/>
      <c r="I137" s="628">
        <f>'variant 1'!$AW$248</f>
        <v>0</v>
      </c>
      <c r="J137" s="624">
        <f t="shared" ca="1" si="41"/>
        <v>248</v>
      </c>
      <c r="K137" s="624">
        <f t="shared" ca="1" si="42"/>
        <v>49</v>
      </c>
      <c r="L137" s="33"/>
      <c r="M137" s="207" t="str">
        <f t="shared" ca="1" si="43"/>
        <v/>
      </c>
      <c r="N137" s="207" t="str">
        <f t="shared" ca="1" si="43"/>
        <v/>
      </c>
      <c r="O137" s="207" t="str">
        <f t="shared" ca="1" si="43"/>
        <v/>
      </c>
      <c r="P137" s="207" t="str">
        <f t="shared" ca="1" si="43"/>
        <v/>
      </c>
      <c r="Q137" s="207" t="str">
        <f t="shared" ca="1" si="43"/>
        <v/>
      </c>
      <c r="R137" s="207" t="str">
        <f t="shared" ca="1" si="43"/>
        <v/>
      </c>
      <c r="S137" s="4"/>
      <c r="T137" s="4"/>
    </row>
    <row r="138" spans="1:20" ht="14.25" hidden="1">
      <c r="A138" s="986" t="s">
        <v>87</v>
      </c>
      <c r="B138" s="798" t="s">
        <v>395</v>
      </c>
      <c r="C138" s="672"/>
      <c r="D138" s="66"/>
      <c r="E138" s="367" t="str">
        <f>'variant 1'!$E$69</f>
        <v>overig elektra</v>
      </c>
      <c r="F138" s="220"/>
      <c r="G138" s="220" t="s">
        <v>394</v>
      </c>
      <c r="H138" s="33"/>
      <c r="I138" s="628">
        <f>'variant 1'!$AW$250</f>
        <v>0</v>
      </c>
      <c r="J138" s="624">
        <f t="shared" ca="1" si="41"/>
        <v>250</v>
      </c>
      <c r="K138" s="624">
        <f t="shared" ca="1" si="42"/>
        <v>49</v>
      </c>
      <c r="L138" s="33"/>
      <c r="M138" s="207" t="str">
        <f t="shared" ca="1" si="43"/>
        <v/>
      </c>
      <c r="N138" s="207" t="str">
        <f t="shared" ca="1" si="43"/>
        <v/>
      </c>
      <c r="O138" s="207" t="str">
        <f t="shared" ca="1" si="43"/>
        <v/>
      </c>
      <c r="P138" s="207" t="str">
        <f t="shared" ca="1" si="43"/>
        <v/>
      </c>
      <c r="Q138" s="207" t="str">
        <f t="shared" ca="1" si="43"/>
        <v/>
      </c>
      <c r="R138" s="207" t="str">
        <f t="shared" ca="1" si="43"/>
        <v/>
      </c>
      <c r="S138" s="4"/>
      <c r="T138" s="4"/>
    </row>
    <row r="139" spans="1:20" ht="14.25" hidden="1">
      <c r="A139" s="986" t="s">
        <v>87</v>
      </c>
      <c r="B139" s="798" t="s">
        <v>395</v>
      </c>
      <c r="C139" s="672"/>
      <c r="D139" s="66"/>
      <c r="E139" s="367" t="str">
        <f>'variant 1'!$E$71</f>
        <v>mobiliteit</v>
      </c>
      <c r="F139" s="220"/>
      <c r="G139" s="220" t="s">
        <v>394</v>
      </c>
      <c r="H139" s="33"/>
      <c r="I139" s="628">
        <f>'variant 1'!$AW$251</f>
        <v>0</v>
      </c>
      <c r="J139" s="624">
        <f t="shared" ca="1" si="41"/>
        <v>251</v>
      </c>
      <c r="K139" s="624">
        <f t="shared" ca="1" si="42"/>
        <v>49</v>
      </c>
      <c r="L139" s="33"/>
      <c r="M139" s="207" t="str">
        <f t="shared" ca="1" si="43"/>
        <v/>
      </c>
      <c r="N139" s="207" t="str">
        <f t="shared" ca="1" si="43"/>
        <v/>
      </c>
      <c r="O139" s="207" t="str">
        <f t="shared" ca="1" si="43"/>
        <v/>
      </c>
      <c r="P139" s="207" t="str">
        <f t="shared" ca="1" si="43"/>
        <v/>
      </c>
      <c r="Q139" s="207" t="str">
        <f t="shared" ca="1" si="43"/>
        <v/>
      </c>
      <c r="R139" s="207" t="str">
        <f t="shared" ca="1" si="43"/>
        <v/>
      </c>
      <c r="S139" s="4"/>
      <c r="T139" s="4"/>
    </row>
    <row r="140" spans="1:20" ht="14.25" hidden="1">
      <c r="A140" s="986" t="s">
        <v>87</v>
      </c>
      <c r="B140" s="798" t="s">
        <v>395</v>
      </c>
      <c r="C140" s="672"/>
      <c r="D140" s="66"/>
      <c r="E140" s="367" t="str">
        <f>'variant 1'!$E$254</f>
        <v>warmtekracht (vermeden primair)</v>
      </c>
      <c r="F140" s="220"/>
      <c r="G140" s="220" t="s">
        <v>394</v>
      </c>
      <c r="H140" s="33"/>
      <c r="I140" s="628">
        <f>'variant 1'!$AW$254</f>
        <v>0</v>
      </c>
      <c r="J140" s="624">
        <f t="shared" ca="1" si="41"/>
        <v>254</v>
      </c>
      <c r="K140" s="624">
        <f t="shared" ca="1" si="42"/>
        <v>49</v>
      </c>
      <c r="L140" s="33"/>
      <c r="M140" s="207" t="str">
        <f t="shared" ca="1" si="43"/>
        <v/>
      </c>
      <c r="N140" s="207" t="str">
        <f t="shared" ca="1" si="43"/>
        <v/>
      </c>
      <c r="O140" s="207" t="str">
        <f t="shared" ca="1" si="43"/>
        <v/>
      </c>
      <c r="P140" s="207" t="str">
        <f t="shared" ca="1" si="43"/>
        <v/>
      </c>
      <c r="Q140" s="207" t="str">
        <f t="shared" ca="1" si="43"/>
        <v/>
      </c>
      <c r="R140" s="207" t="str">
        <f t="shared" ca="1" si="43"/>
        <v/>
      </c>
      <c r="S140" s="4"/>
      <c r="T140" s="4"/>
    </row>
    <row r="141" spans="1:20" ht="14.25" hidden="1">
      <c r="A141" s="986" t="s">
        <v>87</v>
      </c>
      <c r="B141" s="798" t="s">
        <v>395</v>
      </c>
      <c r="C141" s="672"/>
      <c r="D141" s="66"/>
      <c r="E141" s="367" t="str">
        <f>'variant 1'!$E$255</f>
        <v>zonnepanelen (vermeden primair)</v>
      </c>
      <c r="F141" s="220"/>
      <c r="G141" s="220" t="s">
        <v>394</v>
      </c>
      <c r="H141" s="33"/>
      <c r="I141" s="628">
        <f>'variant 1'!$AW$255</f>
        <v>0</v>
      </c>
      <c r="J141" s="624">
        <f t="shared" ca="1" si="41"/>
        <v>255</v>
      </c>
      <c r="K141" s="624">
        <f t="shared" ca="1" si="42"/>
        <v>49</v>
      </c>
      <c r="L141" s="33"/>
      <c r="M141" s="207" t="str">
        <f t="shared" ca="1" si="43"/>
        <v/>
      </c>
      <c r="N141" s="207" t="str">
        <f t="shared" ca="1" si="43"/>
        <v/>
      </c>
      <c r="O141" s="207" t="str">
        <f t="shared" ca="1" si="43"/>
        <v/>
      </c>
      <c r="P141" s="207" t="str">
        <f t="shared" ca="1" si="43"/>
        <v/>
      </c>
      <c r="Q141" s="207" t="str">
        <f t="shared" ca="1" si="43"/>
        <v/>
      </c>
      <c r="R141" s="207" t="str">
        <f t="shared" ca="1" si="43"/>
        <v/>
      </c>
      <c r="S141" s="4"/>
      <c r="T141" s="4"/>
    </row>
    <row r="142" spans="1:20" ht="15" hidden="1">
      <c r="A142" s="986" t="s">
        <v>87</v>
      </c>
      <c r="B142" s="798" t="s">
        <v>395</v>
      </c>
      <c r="C142" s="672"/>
      <c r="D142" s="66"/>
      <c r="E142" s="220" t="s">
        <v>255</v>
      </c>
      <c r="F142" s="220"/>
      <c r="G142" s="220" t="s">
        <v>394</v>
      </c>
      <c r="H142" s="33"/>
      <c r="I142" s="626"/>
      <c r="J142" s="626"/>
      <c r="K142" s="626"/>
      <c r="L142" s="33"/>
      <c r="M142" s="207" t="str">
        <f t="shared" ref="M142:R142" ca="1" si="44">IF(M133="","",SUM(M133:M141))</f>
        <v/>
      </c>
      <c r="N142" s="207" t="str">
        <f t="shared" ca="1" si="44"/>
        <v/>
      </c>
      <c r="O142" s="207" t="str">
        <f t="shared" ca="1" si="44"/>
        <v/>
      </c>
      <c r="P142" s="207" t="str">
        <f t="shared" ca="1" si="44"/>
        <v/>
      </c>
      <c r="Q142" s="207" t="str">
        <f t="shared" ca="1" si="44"/>
        <v/>
      </c>
      <c r="R142" s="207" t="str">
        <f t="shared" ca="1" si="44"/>
        <v/>
      </c>
      <c r="S142" s="4"/>
      <c r="T142" s="4"/>
    </row>
    <row r="143" spans="1:20" s="611" customFormat="1" ht="5.25" hidden="1">
      <c r="A143" s="982" t="s">
        <v>87</v>
      </c>
      <c r="B143" s="797" t="s">
        <v>395</v>
      </c>
      <c r="C143" s="667"/>
      <c r="D143" s="610"/>
      <c r="E143" s="642"/>
      <c r="F143" s="642"/>
      <c r="G143" s="642"/>
      <c r="H143" s="642"/>
      <c r="I143" s="643"/>
      <c r="J143" s="643"/>
      <c r="K143" s="643"/>
      <c r="L143" s="642"/>
      <c r="M143" s="642"/>
      <c r="N143" s="676"/>
      <c r="O143" s="642"/>
      <c r="P143" s="642"/>
      <c r="Q143" s="642"/>
      <c r="R143" s="642"/>
      <c r="S143" s="610"/>
      <c r="T143" s="610"/>
    </row>
    <row r="144" spans="1:20" ht="15" hidden="1">
      <c r="A144" s="986" t="s">
        <v>87</v>
      </c>
      <c r="B144" s="798" t="s">
        <v>395</v>
      </c>
      <c r="C144" s="672"/>
      <c r="D144" s="66"/>
      <c r="E144" s="754" t="str">
        <f>"resultaten tov "&amp;$F$5</f>
        <v>resultaten tov variant 1</v>
      </c>
      <c r="F144" s="754"/>
      <c r="G144" s="755" t="s">
        <v>394</v>
      </c>
      <c r="H144" s="33"/>
      <c r="I144" s="629"/>
      <c r="J144" s="629"/>
      <c r="K144" s="629"/>
      <c r="L144" s="33"/>
      <c r="M144" s="756" t="str">
        <f t="shared" ref="M144:R144" ca="1" si="45">IF(M142="","",M142-INDEX($L142:$S142,MATCH($F$5,$L$8:$S$8,0)))</f>
        <v/>
      </c>
      <c r="N144" s="756" t="str">
        <f t="shared" ca="1" si="45"/>
        <v/>
      </c>
      <c r="O144" s="756" t="str">
        <f t="shared" ca="1" si="45"/>
        <v/>
      </c>
      <c r="P144" s="756" t="str">
        <f t="shared" ca="1" si="45"/>
        <v/>
      </c>
      <c r="Q144" s="756" t="str">
        <f t="shared" ca="1" si="45"/>
        <v/>
      </c>
      <c r="R144" s="756" t="str">
        <f t="shared" ca="1" si="45"/>
        <v/>
      </c>
      <c r="S144" s="4"/>
      <c r="T144" s="4"/>
    </row>
    <row r="145" spans="1:20" ht="15" hidden="1">
      <c r="A145" s="981" t="s">
        <v>87</v>
      </c>
      <c r="B145" s="798" t="s">
        <v>395</v>
      </c>
      <c r="C145" s="672"/>
      <c r="D145" s="66"/>
      <c r="E145" s="757"/>
      <c r="F145" s="757"/>
      <c r="G145" s="755" t="s">
        <v>147</v>
      </c>
      <c r="H145" s="33"/>
      <c r="I145" s="630"/>
      <c r="J145" s="630"/>
      <c r="K145" s="630"/>
      <c r="L145" s="33"/>
      <c r="M145" s="761" t="str">
        <f t="shared" ref="M145:R145" ca="1" si="46">IFERROR(M144/INDEX($L142:$S142,MATCH($F$5,$L$8:$S$8,0)),"")</f>
        <v/>
      </c>
      <c r="N145" s="761" t="str">
        <f t="shared" ca="1" si="46"/>
        <v/>
      </c>
      <c r="O145" s="761" t="str">
        <f t="shared" ca="1" si="46"/>
        <v/>
      </c>
      <c r="P145" s="761" t="str">
        <f t="shared" ca="1" si="46"/>
        <v/>
      </c>
      <c r="Q145" s="761" t="str">
        <f t="shared" ca="1" si="46"/>
        <v/>
      </c>
      <c r="R145" s="761" t="str">
        <f t="shared" ca="1" si="46"/>
        <v/>
      </c>
      <c r="S145" s="4"/>
      <c r="T145" s="4"/>
    </row>
    <row r="146" spans="1:20" ht="15">
      <c r="A146" s="981" t="s">
        <v>87</v>
      </c>
      <c r="B146" s="798" t="s">
        <v>114</v>
      </c>
      <c r="C146" s="672"/>
      <c r="D146" s="66"/>
      <c r="E146" s="4"/>
      <c r="F146" s="4"/>
      <c r="G146" s="4"/>
      <c r="H146" s="33"/>
      <c r="I146" s="78"/>
      <c r="J146" s="78"/>
      <c r="K146" s="78"/>
      <c r="L146" s="33"/>
      <c r="M146" s="13"/>
      <c r="N146" s="13"/>
      <c r="O146" s="13"/>
      <c r="P146" s="13"/>
      <c r="Q146" s="13"/>
      <c r="R146" s="13"/>
      <c r="S146" s="4"/>
      <c r="T146" s="4"/>
    </row>
    <row r="147" spans="1:20" ht="21">
      <c r="A147" s="981" t="s">
        <v>87</v>
      </c>
      <c r="B147" s="798" t="s">
        <v>114</v>
      </c>
      <c r="C147" s="672"/>
      <c r="D147" s="66"/>
      <c r="E147" s="215" t="s">
        <v>400</v>
      </c>
      <c r="F147" s="215"/>
      <c r="G147" s="215"/>
      <c r="H147" s="4"/>
      <c r="I147" s="623"/>
      <c r="J147" s="623"/>
      <c r="K147" s="623"/>
      <c r="L147" s="33"/>
      <c r="M147" s="638"/>
      <c r="N147" s="638"/>
      <c r="O147" s="638"/>
      <c r="P147" s="638"/>
      <c r="Q147" s="638"/>
      <c r="R147" s="638"/>
      <c r="S147" s="4"/>
      <c r="T147" s="4"/>
    </row>
    <row r="148" spans="1:20" ht="14.25">
      <c r="A148" s="986" t="s">
        <v>87</v>
      </c>
      <c r="B148" s="798" t="s">
        <v>114</v>
      </c>
      <c r="C148" s="672"/>
      <c r="D148" s="66"/>
      <c r="E148" s="627" t="str">
        <f>"locatie 1"&amp;IF('woningen|utiliteit'!$L$17="","",": "&amp;'woningen|utiliteit'!$L$17)</f>
        <v>locatie 1</v>
      </c>
      <c r="F148" s="182"/>
      <c r="G148" s="220" t="s">
        <v>401</v>
      </c>
      <c r="H148" s="33"/>
      <c r="I148" s="628">
        <f>'variant 1'!$M$320</f>
        <v>0</v>
      </c>
      <c r="J148" s="624">
        <f ca="1">ROW(INDIRECT(RIGHT((_xlfn.FORMULATEXT($I148)),LEN(_xlfn.FORMULATEXT($I148))-1)))</f>
        <v>320</v>
      </c>
      <c r="K148" s="624">
        <f ca="1">COLUMN(INDIRECT(RIGHT((_xlfn.FORMULATEXT($I148)),LEN(_xlfn.FORMULATEXT($I148))-1)))</f>
        <v>13</v>
      </c>
      <c r="L148" s="33"/>
      <c r="M148" s="207" t="str">
        <f t="shared" ref="M148:R151" ca="1" si="47">IF(M18=0,"",IFERROR(IF(INDIRECT(ADDRESS($J148,$K148,,,M$8))=0,"",INDIRECT(ADDRESS($J148,$K148,,,M$8))),""))</f>
        <v/>
      </c>
      <c r="N148" s="207" t="str">
        <f t="shared" ca="1" si="47"/>
        <v/>
      </c>
      <c r="O148" s="207" t="str">
        <f t="shared" ca="1" si="47"/>
        <v/>
      </c>
      <c r="P148" s="207" t="str">
        <f t="shared" ca="1" si="47"/>
        <v/>
      </c>
      <c r="Q148" s="207" t="str">
        <f t="shared" ca="1" si="47"/>
        <v/>
      </c>
      <c r="R148" s="207" t="str">
        <f t="shared" ca="1" si="47"/>
        <v/>
      </c>
      <c r="S148" s="4"/>
      <c r="T148" s="4"/>
    </row>
    <row r="149" spans="1:20" ht="14.25">
      <c r="A149" s="986" t="s">
        <v>87</v>
      </c>
      <c r="B149" s="798" t="s">
        <v>114</v>
      </c>
      <c r="C149" s="672"/>
      <c r="D149" s="66"/>
      <c r="E149" s="627" t="str">
        <f>"locatie 2"&amp;IF('woningen|utiliteit'!$L$31="","",": "&amp;'woningen|utiliteit'!$L$31)</f>
        <v>locatie 2</v>
      </c>
      <c r="F149" s="220"/>
      <c r="G149" s="220" t="s">
        <v>401</v>
      </c>
      <c r="H149" s="33"/>
      <c r="I149" s="628">
        <f>'variant 1'!$Y$320</f>
        <v>0</v>
      </c>
      <c r="J149" s="624">
        <f ca="1">ROW(INDIRECT(RIGHT((_xlfn.FORMULATEXT($I149)),LEN(_xlfn.FORMULATEXT($I149))-1)))</f>
        <v>320</v>
      </c>
      <c r="K149" s="624">
        <f ca="1">COLUMN(INDIRECT(RIGHT((_xlfn.FORMULATEXT($I149)),LEN(_xlfn.FORMULATEXT($I149))-1)))</f>
        <v>25</v>
      </c>
      <c r="L149" s="33"/>
      <c r="M149" s="207" t="str">
        <f t="shared" ca="1" si="47"/>
        <v/>
      </c>
      <c r="N149" s="207" t="str">
        <f t="shared" ca="1" si="47"/>
        <v/>
      </c>
      <c r="O149" s="207" t="str">
        <f t="shared" ca="1" si="47"/>
        <v/>
      </c>
      <c r="P149" s="207" t="str">
        <f t="shared" ca="1" si="47"/>
        <v/>
      </c>
      <c r="Q149" s="207" t="str">
        <f t="shared" ca="1" si="47"/>
        <v/>
      </c>
      <c r="R149" s="207" t="str">
        <f t="shared" ca="1" si="47"/>
        <v/>
      </c>
      <c r="S149" s="4"/>
      <c r="T149" s="4"/>
    </row>
    <row r="150" spans="1:20" ht="14.25">
      <c r="A150" s="986" t="s">
        <v>87</v>
      </c>
      <c r="B150" s="798" t="s">
        <v>114</v>
      </c>
      <c r="C150" s="672"/>
      <c r="D150" s="66"/>
      <c r="E150" s="627" t="str">
        <f>"locatie 3"&amp;IF('woningen|utiliteit'!$L$45="","",": "&amp;'woningen|utiliteit'!$L$45)</f>
        <v>locatie 3</v>
      </c>
      <c r="F150" s="220"/>
      <c r="G150" s="220" t="s">
        <v>401</v>
      </c>
      <c r="H150" s="33"/>
      <c r="I150" s="628">
        <f>'variant 1'!$AK$320</f>
        <v>0</v>
      </c>
      <c r="J150" s="624">
        <f ca="1">ROW(INDIRECT(RIGHT((_xlfn.FORMULATEXT($I150)),LEN(_xlfn.FORMULATEXT($I150))-1)))</f>
        <v>320</v>
      </c>
      <c r="K150" s="624">
        <f ca="1">COLUMN(INDIRECT(RIGHT((_xlfn.FORMULATEXT($I150)),LEN(_xlfn.FORMULATEXT($I150))-1)))</f>
        <v>37</v>
      </c>
      <c r="L150" s="33"/>
      <c r="M150" s="207" t="str">
        <f t="shared" ca="1" si="47"/>
        <v/>
      </c>
      <c r="N150" s="207" t="str">
        <f t="shared" ca="1" si="47"/>
        <v/>
      </c>
      <c r="O150" s="207" t="str">
        <f t="shared" ca="1" si="47"/>
        <v/>
      </c>
      <c r="P150" s="207" t="str">
        <f t="shared" ca="1" si="47"/>
        <v/>
      </c>
      <c r="Q150" s="207" t="str">
        <f t="shared" ca="1" si="47"/>
        <v/>
      </c>
      <c r="R150" s="207" t="str">
        <f t="shared" ca="1" si="47"/>
        <v/>
      </c>
      <c r="S150" s="4"/>
      <c r="T150" s="4"/>
    </row>
    <row r="151" spans="1:20" ht="14.25">
      <c r="A151" s="986" t="s">
        <v>87</v>
      </c>
      <c r="B151" s="798" t="s">
        <v>114</v>
      </c>
      <c r="C151" s="672"/>
      <c r="D151" s="66"/>
      <c r="E151" s="627" t="str">
        <f>"locatie 4"&amp;IF('woningen|utiliteit'!$L$59="","",": "&amp;'woningen|utiliteit'!$L$59)</f>
        <v>locatie 4</v>
      </c>
      <c r="F151" s="182"/>
      <c r="G151" s="220" t="s">
        <v>401</v>
      </c>
      <c r="H151" s="33"/>
      <c r="I151" s="628">
        <f>'variant 1'!$AW$320</f>
        <v>0</v>
      </c>
      <c r="J151" s="624">
        <f ca="1">ROW(INDIRECT(RIGHT((_xlfn.FORMULATEXT($I151)),LEN(_xlfn.FORMULATEXT($I151))-1)))</f>
        <v>320</v>
      </c>
      <c r="K151" s="624">
        <f ca="1">COLUMN(INDIRECT(RIGHT((_xlfn.FORMULATEXT($I151)),LEN(_xlfn.FORMULATEXT($I151))-1)))</f>
        <v>49</v>
      </c>
      <c r="L151" s="33"/>
      <c r="M151" s="207" t="str">
        <f t="shared" ca="1" si="47"/>
        <v/>
      </c>
      <c r="N151" s="207" t="str">
        <f t="shared" ca="1" si="47"/>
        <v/>
      </c>
      <c r="O151" s="207" t="str">
        <f t="shared" ca="1" si="47"/>
        <v/>
      </c>
      <c r="P151" s="207" t="str">
        <f t="shared" ca="1" si="47"/>
        <v/>
      </c>
      <c r="Q151" s="207" t="str">
        <f t="shared" ca="1" si="47"/>
        <v/>
      </c>
      <c r="R151" s="207" t="str">
        <f t="shared" ca="1" si="47"/>
        <v/>
      </c>
      <c r="S151" s="4"/>
      <c r="T151" s="4"/>
    </row>
    <row r="152" spans="1:20" ht="15">
      <c r="A152" s="981" t="s">
        <v>87</v>
      </c>
      <c r="B152" s="798" t="s">
        <v>114</v>
      </c>
      <c r="C152" s="672"/>
      <c r="D152" s="66"/>
      <c r="E152" s="220" t="s">
        <v>392</v>
      </c>
      <c r="F152" s="220"/>
      <c r="G152" s="220" t="s">
        <v>401</v>
      </c>
      <c r="H152" s="33"/>
      <c r="I152" s="626"/>
      <c r="J152" s="626"/>
      <c r="K152" s="626"/>
      <c r="L152" s="33"/>
      <c r="M152" s="207" t="str">
        <f ca="1">IF(M$22=0,"",SUM(M148:M151))</f>
        <v/>
      </c>
      <c r="N152" s="207">
        <f ca="1">SUM(N148:N151)</f>
        <v>0</v>
      </c>
      <c r="O152" s="207">
        <f ca="1">SUM(O148:O151)</f>
        <v>0</v>
      </c>
      <c r="P152" s="207">
        <f ca="1">SUM(P148:P151)</f>
        <v>0</v>
      </c>
      <c r="Q152" s="207">
        <f ca="1">SUM(Q148:Q151)</f>
        <v>0</v>
      </c>
      <c r="R152" s="207">
        <f ca="1">SUM(R148:R151)</f>
        <v>0</v>
      </c>
      <c r="S152" s="4"/>
      <c r="T152" s="4"/>
    </row>
    <row r="153" spans="1:20" s="611" customFormat="1" ht="5.25">
      <c r="A153" s="982" t="s">
        <v>87</v>
      </c>
      <c r="B153" s="797" t="s">
        <v>114</v>
      </c>
      <c r="C153" s="667"/>
      <c r="D153" s="610"/>
      <c r="E153" s="642"/>
      <c r="F153" s="642"/>
      <c r="G153" s="642"/>
      <c r="H153" s="642"/>
      <c r="I153" s="643"/>
      <c r="J153" s="643"/>
      <c r="K153" s="643"/>
      <c r="L153" s="642"/>
      <c r="M153" s="642"/>
      <c r="N153" s="676"/>
      <c r="O153" s="642"/>
      <c r="P153" s="642"/>
      <c r="Q153" s="642"/>
      <c r="R153" s="642"/>
      <c r="S153" s="610"/>
      <c r="T153" s="610"/>
    </row>
    <row r="154" spans="1:20" ht="15">
      <c r="A154" s="981" t="s">
        <v>87</v>
      </c>
      <c r="B154" s="798" t="s">
        <v>114</v>
      </c>
      <c r="C154" s="672"/>
      <c r="D154" s="66"/>
      <c r="E154" s="754" t="str">
        <f>"resultaten tov "&amp;$F$5</f>
        <v>resultaten tov variant 1</v>
      </c>
      <c r="F154" s="754"/>
      <c r="G154" s="755" t="s">
        <v>401</v>
      </c>
      <c r="H154" s="33"/>
      <c r="I154" s="629"/>
      <c r="J154" s="629"/>
      <c r="K154" s="629"/>
      <c r="L154" s="33"/>
      <c r="M154" s="756" t="str">
        <f t="shared" ref="M154:R154" ca="1" si="48">IF(M152="","",M152-INDEX($L152:$S152,MATCH($F$5,$L$8:$S$8,0)))</f>
        <v/>
      </c>
      <c r="N154" s="756" t="e">
        <f t="shared" ca="1" si="48"/>
        <v>#VALUE!</v>
      </c>
      <c r="O154" s="756" t="e">
        <f t="shared" ca="1" si="48"/>
        <v>#VALUE!</v>
      </c>
      <c r="P154" s="756" t="e">
        <f t="shared" ca="1" si="48"/>
        <v>#VALUE!</v>
      </c>
      <c r="Q154" s="756" t="e">
        <f t="shared" ca="1" si="48"/>
        <v>#VALUE!</v>
      </c>
      <c r="R154" s="756" t="e">
        <f t="shared" ca="1" si="48"/>
        <v>#VALUE!</v>
      </c>
      <c r="S154" s="4"/>
      <c r="T154" s="4"/>
    </row>
    <row r="155" spans="1:20" ht="15">
      <c r="A155" s="981" t="s">
        <v>87</v>
      </c>
      <c r="B155" s="798" t="s">
        <v>114</v>
      </c>
      <c r="C155" s="672"/>
      <c r="D155" s="66"/>
      <c r="E155" s="757"/>
      <c r="F155" s="757"/>
      <c r="G155" s="755" t="s">
        <v>147</v>
      </c>
      <c r="H155" s="33"/>
      <c r="I155" s="630"/>
      <c r="J155" s="630"/>
      <c r="K155" s="630"/>
      <c r="L155" s="33"/>
      <c r="M155" s="761" t="str">
        <f t="shared" ref="M155:R155" ca="1" si="49">IFERROR(M154/INDEX($L152:$S152,MATCH($F$5,$L$8:$S$8,0)),"")</f>
        <v/>
      </c>
      <c r="N155" s="761" t="str">
        <f t="shared" ca="1" si="49"/>
        <v/>
      </c>
      <c r="O155" s="761" t="str">
        <f t="shared" ca="1" si="49"/>
        <v/>
      </c>
      <c r="P155" s="761" t="str">
        <f t="shared" ca="1" si="49"/>
        <v/>
      </c>
      <c r="Q155" s="761" t="str">
        <f t="shared" ca="1" si="49"/>
        <v/>
      </c>
      <c r="R155" s="761" t="str">
        <f t="shared" ca="1" si="49"/>
        <v/>
      </c>
      <c r="S155" s="4"/>
      <c r="T155" s="4"/>
    </row>
    <row r="156" spans="1:20" ht="15" hidden="1" collapsed="1">
      <c r="A156" s="986" t="s">
        <v>87</v>
      </c>
      <c r="B156" s="798" t="s">
        <v>402</v>
      </c>
      <c r="C156" s="672"/>
      <c r="D156" s="66"/>
      <c r="E156" s="4"/>
      <c r="F156" s="4"/>
      <c r="G156" s="4"/>
      <c r="H156" s="33"/>
      <c r="I156" s="78"/>
      <c r="J156" s="78"/>
      <c r="K156" s="78"/>
      <c r="L156" s="33"/>
      <c r="M156" s="13"/>
      <c r="N156" s="13"/>
      <c r="O156" s="13"/>
      <c r="P156" s="13"/>
      <c r="Q156" s="13"/>
      <c r="R156" s="13"/>
      <c r="S156" s="4"/>
      <c r="T156" s="4"/>
    </row>
    <row r="157" spans="1:20" ht="21" hidden="1">
      <c r="A157" s="981" t="s">
        <v>87</v>
      </c>
      <c r="B157" s="798" t="s">
        <v>402</v>
      </c>
      <c r="C157" s="672"/>
      <c r="D157" s="66"/>
      <c r="E157" s="215" t="s">
        <v>403</v>
      </c>
      <c r="F157" s="215"/>
      <c r="G157" s="215"/>
      <c r="H157" s="4"/>
      <c r="I157" s="623"/>
      <c r="J157" s="623"/>
      <c r="K157" s="623"/>
      <c r="L157" s="33"/>
      <c r="M157" s="638"/>
      <c r="N157" s="638"/>
      <c r="O157" s="638"/>
      <c r="P157" s="638"/>
      <c r="Q157" s="638"/>
      <c r="R157" s="638"/>
      <c r="S157" s="4"/>
      <c r="T157" s="4"/>
    </row>
    <row r="158" spans="1:20" ht="14.25" hidden="1">
      <c r="A158" s="986" t="s">
        <v>87</v>
      </c>
      <c r="B158" s="798" t="s">
        <v>402</v>
      </c>
      <c r="C158" s="672"/>
      <c r="D158" s="66"/>
      <c r="E158" s="367" t="str">
        <f>'variant 1'!$E$62</f>
        <v>verwarming</v>
      </c>
      <c r="F158" s="220"/>
      <c r="G158" s="220" t="s">
        <v>404</v>
      </c>
      <c r="H158" s="33"/>
      <c r="I158" s="628">
        <f>'variant 1'!$M$306</f>
        <v>0</v>
      </c>
      <c r="J158" s="624">
        <f t="shared" ref="J158:J166" ca="1" si="50">ROW(INDIRECT(RIGHT((_xlfn.FORMULATEXT($I158)),LEN(_xlfn.FORMULATEXT($I158))-1)))</f>
        <v>306</v>
      </c>
      <c r="K158" s="624">
        <f t="shared" ref="K158:K166" ca="1" si="51">COLUMN(INDIRECT(RIGHT((_xlfn.FORMULATEXT($I158)),LEN(_xlfn.FORMULATEXT($I158))-1)))</f>
        <v>13</v>
      </c>
      <c r="L158" s="33"/>
      <c r="M158" s="207" t="str">
        <f t="shared" ref="M158:R166" ca="1" si="52">IF(M$22=0,"",IFERROR(IF(INDIRECT(ADDRESS($J158,$K158,,,M$8))=0,"",INDIRECT(ADDRESS($J158,$K158,,,M$8))),""))</f>
        <v/>
      </c>
      <c r="N158" s="207" t="str">
        <f t="shared" ca="1" si="52"/>
        <v/>
      </c>
      <c r="O158" s="207" t="str">
        <f t="shared" ca="1" si="52"/>
        <v/>
      </c>
      <c r="P158" s="207" t="str">
        <f t="shared" ca="1" si="52"/>
        <v/>
      </c>
      <c r="Q158" s="207" t="str">
        <f t="shared" ca="1" si="52"/>
        <v/>
      </c>
      <c r="R158" s="207" t="str">
        <f t="shared" ca="1" si="52"/>
        <v/>
      </c>
      <c r="S158" s="4"/>
      <c r="T158" s="4"/>
    </row>
    <row r="159" spans="1:20" ht="14.25" hidden="1">
      <c r="A159" s="986" t="s">
        <v>87</v>
      </c>
      <c r="B159" s="798" t="s">
        <v>402</v>
      </c>
      <c r="C159" s="672"/>
      <c r="D159" s="66"/>
      <c r="E159" s="367" t="str">
        <f>'variant 1'!$E$64</f>
        <v>koeling</v>
      </c>
      <c r="F159" s="220"/>
      <c r="G159" s="220" t="s">
        <v>404</v>
      </c>
      <c r="H159" s="33"/>
      <c r="I159" s="628">
        <f>'variant 1'!$M$307</f>
        <v>0</v>
      </c>
      <c r="J159" s="624">
        <f t="shared" ca="1" si="50"/>
        <v>307</v>
      </c>
      <c r="K159" s="624">
        <f t="shared" ca="1" si="51"/>
        <v>13</v>
      </c>
      <c r="L159" s="33"/>
      <c r="M159" s="207" t="str">
        <f t="shared" ca="1" si="52"/>
        <v/>
      </c>
      <c r="N159" s="207" t="str">
        <f t="shared" ca="1" si="52"/>
        <v/>
      </c>
      <c r="O159" s="207" t="str">
        <f t="shared" ca="1" si="52"/>
        <v/>
      </c>
      <c r="P159" s="207" t="str">
        <f t="shared" ca="1" si="52"/>
        <v/>
      </c>
      <c r="Q159" s="207" t="str">
        <f t="shared" ca="1" si="52"/>
        <v/>
      </c>
      <c r="R159" s="207" t="str">
        <f t="shared" ca="1" si="52"/>
        <v/>
      </c>
      <c r="S159" s="4"/>
      <c r="T159" s="4"/>
    </row>
    <row r="160" spans="1:20" ht="14.25" hidden="1">
      <c r="A160" s="986" t="s">
        <v>87</v>
      </c>
      <c r="B160" s="798" t="s">
        <v>402</v>
      </c>
      <c r="C160" s="672"/>
      <c r="D160" s="66"/>
      <c r="E160" s="367" t="str">
        <f>'variant 1'!$E$65</f>
        <v>tapwater</v>
      </c>
      <c r="F160" s="220"/>
      <c r="G160" s="220" t="s">
        <v>404</v>
      </c>
      <c r="H160" s="33"/>
      <c r="I160" s="628">
        <f>'variant 1'!$M$308</f>
        <v>0</v>
      </c>
      <c r="J160" s="624">
        <f t="shared" ca="1" si="50"/>
        <v>308</v>
      </c>
      <c r="K160" s="624">
        <f t="shared" ca="1" si="51"/>
        <v>13</v>
      </c>
      <c r="L160" s="33"/>
      <c r="M160" s="207" t="str">
        <f t="shared" ca="1" si="52"/>
        <v/>
      </c>
      <c r="N160" s="207" t="str">
        <f t="shared" ca="1" si="52"/>
        <v/>
      </c>
      <c r="O160" s="207" t="str">
        <f t="shared" ca="1" si="52"/>
        <v/>
      </c>
      <c r="P160" s="207" t="str">
        <f t="shared" ca="1" si="52"/>
        <v/>
      </c>
      <c r="Q160" s="207" t="str">
        <f t="shared" ca="1" si="52"/>
        <v/>
      </c>
      <c r="R160" s="207" t="str">
        <f t="shared" ca="1" si="52"/>
        <v/>
      </c>
      <c r="S160" s="4"/>
      <c r="T160" s="4"/>
    </row>
    <row r="161" spans="1:20" ht="14.25" hidden="1">
      <c r="A161" s="986" t="s">
        <v>87</v>
      </c>
      <c r="B161" s="798" t="s">
        <v>402</v>
      </c>
      <c r="C161" s="672"/>
      <c r="D161" s="66"/>
      <c r="E161" s="367" t="str">
        <f>'variant 1'!$E$66</f>
        <v>verlichting</v>
      </c>
      <c r="F161" s="220"/>
      <c r="G161" s="220" t="s">
        <v>404</v>
      </c>
      <c r="H161" s="33"/>
      <c r="I161" s="628">
        <f>'variant 1'!$M$309</f>
        <v>0</v>
      </c>
      <c r="J161" s="624">
        <f t="shared" ca="1" si="50"/>
        <v>309</v>
      </c>
      <c r="K161" s="624">
        <f t="shared" ca="1" si="51"/>
        <v>13</v>
      </c>
      <c r="L161" s="33"/>
      <c r="M161" s="207" t="str">
        <f t="shared" ca="1" si="52"/>
        <v/>
      </c>
      <c r="N161" s="207" t="str">
        <f t="shared" ca="1" si="52"/>
        <v/>
      </c>
      <c r="O161" s="207" t="str">
        <f t="shared" ca="1" si="52"/>
        <v/>
      </c>
      <c r="P161" s="207" t="str">
        <f t="shared" ca="1" si="52"/>
        <v/>
      </c>
      <c r="Q161" s="207" t="str">
        <f t="shared" ca="1" si="52"/>
        <v/>
      </c>
      <c r="R161" s="207" t="str">
        <f t="shared" ca="1" si="52"/>
        <v/>
      </c>
      <c r="S161" s="4"/>
      <c r="T161" s="4"/>
    </row>
    <row r="162" spans="1:20" ht="14.25" hidden="1">
      <c r="A162" s="986" t="s">
        <v>87</v>
      </c>
      <c r="B162" s="798" t="s">
        <v>402</v>
      </c>
      <c r="C162" s="672"/>
      <c r="D162" s="66"/>
      <c r="E162" s="367" t="str">
        <f>'variant 1'!$E$67</f>
        <v>ventilatoren</v>
      </c>
      <c r="F162" s="220"/>
      <c r="G162" s="220" t="s">
        <v>404</v>
      </c>
      <c r="H162" s="33"/>
      <c r="I162" s="628">
        <f>'variant 1'!$M$310</f>
        <v>0</v>
      </c>
      <c r="J162" s="624">
        <f t="shared" ca="1" si="50"/>
        <v>310</v>
      </c>
      <c r="K162" s="624">
        <f t="shared" ca="1" si="51"/>
        <v>13</v>
      </c>
      <c r="L162" s="33"/>
      <c r="M162" s="207" t="str">
        <f t="shared" ca="1" si="52"/>
        <v/>
      </c>
      <c r="N162" s="207" t="str">
        <f t="shared" ca="1" si="52"/>
        <v/>
      </c>
      <c r="O162" s="207" t="str">
        <f t="shared" ca="1" si="52"/>
        <v/>
      </c>
      <c r="P162" s="207" t="str">
        <f t="shared" ca="1" si="52"/>
        <v/>
      </c>
      <c r="Q162" s="207" t="str">
        <f t="shared" ca="1" si="52"/>
        <v/>
      </c>
      <c r="R162" s="207" t="str">
        <f t="shared" ca="1" si="52"/>
        <v/>
      </c>
      <c r="S162" s="4"/>
      <c r="T162" s="4"/>
    </row>
    <row r="163" spans="1:20" ht="14.25" hidden="1">
      <c r="A163" s="986" t="s">
        <v>87</v>
      </c>
      <c r="B163" s="798" t="s">
        <v>402</v>
      </c>
      <c r="C163" s="672"/>
      <c r="D163" s="66"/>
      <c r="E163" s="367" t="str">
        <f>'variant 1'!$E$69</f>
        <v>overig elektra</v>
      </c>
      <c r="F163" s="220"/>
      <c r="G163" s="220" t="s">
        <v>404</v>
      </c>
      <c r="H163" s="33"/>
      <c r="I163" s="628">
        <f>'variant 1'!$M$312</f>
        <v>0</v>
      </c>
      <c r="J163" s="624">
        <f t="shared" ca="1" si="50"/>
        <v>312</v>
      </c>
      <c r="K163" s="624">
        <f t="shared" ca="1" si="51"/>
        <v>13</v>
      </c>
      <c r="L163" s="33"/>
      <c r="M163" s="207" t="str">
        <f t="shared" ca="1" si="52"/>
        <v/>
      </c>
      <c r="N163" s="207" t="str">
        <f t="shared" ca="1" si="52"/>
        <v/>
      </c>
      <c r="O163" s="207" t="str">
        <f t="shared" ca="1" si="52"/>
        <v/>
      </c>
      <c r="P163" s="207" t="str">
        <f t="shared" ca="1" si="52"/>
        <v/>
      </c>
      <c r="Q163" s="207" t="str">
        <f t="shared" ca="1" si="52"/>
        <v/>
      </c>
      <c r="R163" s="207" t="str">
        <f t="shared" ca="1" si="52"/>
        <v/>
      </c>
      <c r="S163" s="4"/>
      <c r="T163" s="4"/>
    </row>
    <row r="164" spans="1:20" ht="14.25" hidden="1">
      <c r="A164" s="986" t="s">
        <v>87</v>
      </c>
      <c r="B164" s="798" t="s">
        <v>402</v>
      </c>
      <c r="C164" s="672"/>
      <c r="D164" s="66"/>
      <c r="E164" s="367" t="str">
        <f>'variant 1'!$E$71</f>
        <v>mobiliteit</v>
      </c>
      <c r="F164" s="220"/>
      <c r="G164" s="220" t="s">
        <v>404</v>
      </c>
      <c r="H164" s="33"/>
      <c r="I164" s="628">
        <f>'variant 1'!$M$313</f>
        <v>0</v>
      </c>
      <c r="J164" s="624">
        <f t="shared" ca="1" si="50"/>
        <v>313</v>
      </c>
      <c r="K164" s="624">
        <f t="shared" ca="1" si="51"/>
        <v>13</v>
      </c>
      <c r="L164" s="33"/>
      <c r="M164" s="207" t="str">
        <f t="shared" ca="1" si="52"/>
        <v/>
      </c>
      <c r="N164" s="207" t="str">
        <f t="shared" ca="1" si="52"/>
        <v/>
      </c>
      <c r="O164" s="207" t="str">
        <f t="shared" ca="1" si="52"/>
        <v/>
      </c>
      <c r="P164" s="207" t="str">
        <f t="shared" ca="1" si="52"/>
        <v/>
      </c>
      <c r="Q164" s="207" t="str">
        <f t="shared" ca="1" si="52"/>
        <v/>
      </c>
      <c r="R164" s="207" t="str">
        <f t="shared" ca="1" si="52"/>
        <v/>
      </c>
      <c r="S164" s="4"/>
      <c r="T164" s="4"/>
    </row>
    <row r="165" spans="1:20" ht="14.25" hidden="1">
      <c r="A165" s="986" t="s">
        <v>87</v>
      </c>
      <c r="B165" s="798" t="s">
        <v>402</v>
      </c>
      <c r="C165" s="672"/>
      <c r="D165" s="66"/>
      <c r="E165" s="367" t="str">
        <f>'variant 1'!$E$316</f>
        <v>warmtekracht (vermeden CO2 emissie)</v>
      </c>
      <c r="F165" s="220"/>
      <c r="G165" s="220" t="s">
        <v>404</v>
      </c>
      <c r="H165" s="33"/>
      <c r="I165" s="628">
        <f>'variant 1'!$M$316</f>
        <v>0</v>
      </c>
      <c r="J165" s="624">
        <f t="shared" ca="1" si="50"/>
        <v>316</v>
      </c>
      <c r="K165" s="624">
        <f t="shared" ca="1" si="51"/>
        <v>13</v>
      </c>
      <c r="L165" s="33"/>
      <c r="M165" s="207" t="str">
        <f t="shared" ca="1" si="52"/>
        <v/>
      </c>
      <c r="N165" s="207" t="str">
        <f t="shared" ca="1" si="52"/>
        <v/>
      </c>
      <c r="O165" s="207" t="str">
        <f t="shared" ca="1" si="52"/>
        <v/>
      </c>
      <c r="P165" s="207" t="str">
        <f t="shared" ca="1" si="52"/>
        <v/>
      </c>
      <c r="Q165" s="207" t="str">
        <f t="shared" ca="1" si="52"/>
        <v/>
      </c>
      <c r="R165" s="207" t="str">
        <f t="shared" ca="1" si="52"/>
        <v/>
      </c>
      <c r="S165" s="4"/>
      <c r="T165" s="4"/>
    </row>
    <row r="166" spans="1:20" ht="14.25" hidden="1">
      <c r="A166" s="986" t="s">
        <v>87</v>
      </c>
      <c r="B166" s="798" t="s">
        <v>402</v>
      </c>
      <c r="C166" s="672"/>
      <c r="D166" s="66"/>
      <c r="E166" s="367" t="str">
        <f>'variant 1'!$E$317</f>
        <v>zonnepanelen (vermeden CO2 emissie)</v>
      </c>
      <c r="F166" s="220"/>
      <c r="G166" s="220" t="s">
        <v>404</v>
      </c>
      <c r="H166" s="33"/>
      <c r="I166" s="628">
        <f>'variant 1'!$M$317</f>
        <v>0</v>
      </c>
      <c r="J166" s="624">
        <f t="shared" ca="1" si="50"/>
        <v>317</v>
      </c>
      <c r="K166" s="624">
        <f t="shared" ca="1" si="51"/>
        <v>13</v>
      </c>
      <c r="L166" s="33"/>
      <c r="M166" s="207" t="str">
        <f t="shared" ca="1" si="52"/>
        <v/>
      </c>
      <c r="N166" s="207" t="str">
        <f t="shared" ca="1" si="52"/>
        <v/>
      </c>
      <c r="O166" s="207" t="str">
        <f t="shared" ca="1" si="52"/>
        <v/>
      </c>
      <c r="P166" s="207" t="str">
        <f t="shared" ca="1" si="52"/>
        <v/>
      </c>
      <c r="Q166" s="207" t="str">
        <f t="shared" ca="1" si="52"/>
        <v/>
      </c>
      <c r="R166" s="207" t="str">
        <f t="shared" ca="1" si="52"/>
        <v/>
      </c>
      <c r="S166" s="4"/>
      <c r="T166" s="4"/>
    </row>
    <row r="167" spans="1:20" ht="15" hidden="1">
      <c r="A167" s="986" t="s">
        <v>87</v>
      </c>
      <c r="B167" s="798" t="s">
        <v>402</v>
      </c>
      <c r="C167" s="672"/>
      <c r="D167" s="66"/>
      <c r="E167" s="220" t="s">
        <v>255</v>
      </c>
      <c r="F167" s="220"/>
      <c r="G167" s="220" t="s">
        <v>404</v>
      </c>
      <c r="H167" s="33"/>
      <c r="I167" s="626"/>
      <c r="J167" s="626"/>
      <c r="K167" s="626"/>
      <c r="L167" s="33"/>
      <c r="M167" s="207" t="str">
        <f t="shared" ref="M167:R167" ca="1" si="53">IF(M158="","",SUM(M158:M166))</f>
        <v/>
      </c>
      <c r="N167" s="207" t="str">
        <f t="shared" ca="1" si="53"/>
        <v/>
      </c>
      <c r="O167" s="207" t="str">
        <f t="shared" ca="1" si="53"/>
        <v/>
      </c>
      <c r="P167" s="207" t="str">
        <f t="shared" ca="1" si="53"/>
        <v/>
      </c>
      <c r="Q167" s="207" t="str">
        <f t="shared" ca="1" si="53"/>
        <v/>
      </c>
      <c r="R167" s="207" t="str">
        <f t="shared" ca="1" si="53"/>
        <v/>
      </c>
      <c r="S167" s="4"/>
      <c r="T167" s="4"/>
    </row>
    <row r="168" spans="1:20" s="611" customFormat="1" ht="5.25" hidden="1">
      <c r="A168" s="982" t="s">
        <v>87</v>
      </c>
      <c r="B168" s="797" t="s">
        <v>402</v>
      </c>
      <c r="C168" s="667"/>
      <c r="D168" s="610"/>
      <c r="E168" s="642"/>
      <c r="F168" s="642"/>
      <c r="G168" s="642"/>
      <c r="H168" s="642"/>
      <c r="I168" s="643"/>
      <c r="J168" s="643"/>
      <c r="K168" s="643"/>
      <c r="L168" s="642"/>
      <c r="M168" s="642"/>
      <c r="N168" s="676"/>
      <c r="O168" s="642"/>
      <c r="P168" s="642"/>
      <c r="Q168" s="642"/>
      <c r="R168" s="642"/>
      <c r="S168" s="610"/>
      <c r="T168" s="610"/>
    </row>
    <row r="169" spans="1:20" ht="15" hidden="1">
      <c r="A169" s="981" t="s">
        <v>87</v>
      </c>
      <c r="B169" s="798" t="s">
        <v>402</v>
      </c>
      <c r="C169" s="672"/>
      <c r="D169" s="66"/>
      <c r="E169" s="754" t="str">
        <f>"resultaten tov "&amp;$F$5</f>
        <v>resultaten tov variant 1</v>
      </c>
      <c r="F169" s="754"/>
      <c r="G169" s="755" t="s">
        <v>404</v>
      </c>
      <c r="H169" s="33"/>
      <c r="I169" s="629"/>
      <c r="J169" s="629"/>
      <c r="K169" s="629"/>
      <c r="L169" s="33"/>
      <c r="M169" s="756" t="str">
        <f t="shared" ref="M169:R169" ca="1" si="54">IF(M167="","",M167-INDEX($L167:$S167,MATCH($F$5,$L$8:$S$8,0)))</f>
        <v/>
      </c>
      <c r="N169" s="756" t="str">
        <f t="shared" ca="1" si="54"/>
        <v/>
      </c>
      <c r="O169" s="756" t="str">
        <f t="shared" ca="1" si="54"/>
        <v/>
      </c>
      <c r="P169" s="756" t="str">
        <f t="shared" ca="1" si="54"/>
        <v/>
      </c>
      <c r="Q169" s="756" t="str">
        <f t="shared" ca="1" si="54"/>
        <v/>
      </c>
      <c r="R169" s="756" t="str">
        <f t="shared" ca="1" si="54"/>
        <v/>
      </c>
      <c r="S169" s="4"/>
      <c r="T169" s="4"/>
    </row>
    <row r="170" spans="1:20" ht="15" hidden="1">
      <c r="A170" s="981" t="s">
        <v>87</v>
      </c>
      <c r="B170" s="798" t="s">
        <v>402</v>
      </c>
      <c r="C170" s="672"/>
      <c r="D170" s="66"/>
      <c r="E170" s="757"/>
      <c r="F170" s="757"/>
      <c r="G170" s="755" t="s">
        <v>147</v>
      </c>
      <c r="H170" s="33"/>
      <c r="I170" s="630"/>
      <c r="J170" s="630"/>
      <c r="K170" s="630"/>
      <c r="L170" s="33"/>
      <c r="M170" s="761" t="str">
        <f t="shared" ref="M170:R170" ca="1" si="55">IFERROR(M169/INDEX($L167:$S167,MATCH($F$5,$L$8:$S$8,0)),"")</f>
        <v/>
      </c>
      <c r="N170" s="761" t="str">
        <f t="shared" ca="1" si="55"/>
        <v/>
      </c>
      <c r="O170" s="761" t="str">
        <f t="shared" ca="1" si="55"/>
        <v/>
      </c>
      <c r="P170" s="761" t="str">
        <f t="shared" ca="1" si="55"/>
        <v/>
      </c>
      <c r="Q170" s="761" t="str">
        <f t="shared" ca="1" si="55"/>
        <v/>
      </c>
      <c r="R170" s="761" t="str">
        <f t="shared" ca="1" si="55"/>
        <v/>
      </c>
      <c r="S170" s="4"/>
      <c r="T170" s="4"/>
    </row>
    <row r="171" spans="1:20" ht="15" hidden="1">
      <c r="A171" s="986" t="s">
        <v>87</v>
      </c>
      <c r="B171" s="798" t="s">
        <v>402</v>
      </c>
      <c r="C171" s="672"/>
      <c r="D171" s="66"/>
      <c r="E171" s="4"/>
      <c r="F171" s="4"/>
      <c r="G171" s="4"/>
      <c r="H171" s="33"/>
      <c r="I171" s="78"/>
      <c r="J171" s="78"/>
      <c r="K171" s="78"/>
      <c r="L171" s="33"/>
      <c r="M171" s="13"/>
      <c r="N171" s="13"/>
      <c r="O171" s="13"/>
      <c r="P171" s="13"/>
      <c r="Q171" s="13"/>
      <c r="R171" s="13"/>
      <c r="S171" s="4"/>
      <c r="T171" s="4"/>
    </row>
    <row r="172" spans="1:20" ht="21" hidden="1">
      <c r="A172" s="981" t="s">
        <v>87</v>
      </c>
      <c r="B172" s="798" t="s">
        <v>402</v>
      </c>
      <c r="C172" s="672"/>
      <c r="D172" s="66"/>
      <c r="E172" s="215" t="s">
        <v>405</v>
      </c>
      <c r="F172" s="215"/>
      <c r="G172" s="215"/>
      <c r="H172" s="4"/>
      <c r="I172" s="623"/>
      <c r="J172" s="623"/>
      <c r="K172" s="623"/>
      <c r="L172" s="33"/>
      <c r="M172" s="638"/>
      <c r="N172" s="638"/>
      <c r="O172" s="638"/>
      <c r="P172" s="638"/>
      <c r="Q172" s="638"/>
      <c r="R172" s="638"/>
      <c r="S172" s="4"/>
      <c r="T172" s="4"/>
    </row>
    <row r="173" spans="1:20" ht="14.25" hidden="1">
      <c r="A173" s="986" t="s">
        <v>87</v>
      </c>
      <c r="B173" s="798" t="s">
        <v>402</v>
      </c>
      <c r="C173" s="672"/>
      <c r="D173" s="66"/>
      <c r="E173" s="367" t="str">
        <f>'variant 1'!$E$62</f>
        <v>verwarming</v>
      </c>
      <c r="F173" s="220"/>
      <c r="G173" s="220" t="s">
        <v>404</v>
      </c>
      <c r="H173" s="33"/>
      <c r="I173" s="628">
        <f>'variant 1'!$Y$306</f>
        <v>0</v>
      </c>
      <c r="J173" s="624">
        <f t="shared" ref="J173:J181" ca="1" si="56">ROW(INDIRECT(RIGHT((_xlfn.FORMULATEXT($I173)),LEN(_xlfn.FORMULATEXT($I173))-1)))</f>
        <v>306</v>
      </c>
      <c r="K173" s="624">
        <f t="shared" ref="K173:K181" ca="1" si="57">COLUMN(INDIRECT(RIGHT((_xlfn.FORMULATEXT($I173)),LEN(_xlfn.FORMULATEXT($I173))-1)))</f>
        <v>25</v>
      </c>
      <c r="L173" s="33"/>
      <c r="M173" s="207" t="str">
        <f t="shared" ref="M173:R181" ca="1" si="58">IF(M$22=0,"",IFERROR(IF(INDIRECT(ADDRESS($J173,$K173,,,M$8))=0,"",INDIRECT(ADDRESS($J173,$K173,,,M$8))),""))</f>
        <v/>
      </c>
      <c r="N173" s="207" t="str">
        <f t="shared" ca="1" si="58"/>
        <v/>
      </c>
      <c r="O173" s="207" t="str">
        <f t="shared" ca="1" si="58"/>
        <v/>
      </c>
      <c r="P173" s="207" t="str">
        <f t="shared" ca="1" si="58"/>
        <v/>
      </c>
      <c r="Q173" s="207" t="str">
        <f t="shared" ca="1" si="58"/>
        <v/>
      </c>
      <c r="R173" s="207" t="str">
        <f t="shared" ca="1" si="58"/>
        <v/>
      </c>
      <c r="S173" s="4"/>
      <c r="T173" s="4"/>
    </row>
    <row r="174" spans="1:20" ht="14.25" hidden="1">
      <c r="A174" s="986" t="s">
        <v>87</v>
      </c>
      <c r="B174" s="798" t="s">
        <v>402</v>
      </c>
      <c r="C174" s="672"/>
      <c r="D174" s="66"/>
      <c r="E174" s="367" t="str">
        <f>'variant 1'!$E$64</f>
        <v>koeling</v>
      </c>
      <c r="F174" s="220"/>
      <c r="G174" s="220" t="s">
        <v>404</v>
      </c>
      <c r="H174" s="33"/>
      <c r="I174" s="628">
        <f>'variant 1'!$Y$307</f>
        <v>0</v>
      </c>
      <c r="J174" s="624">
        <f t="shared" ca="1" si="56"/>
        <v>307</v>
      </c>
      <c r="K174" s="624">
        <f t="shared" ca="1" si="57"/>
        <v>25</v>
      </c>
      <c r="L174" s="33"/>
      <c r="M174" s="207" t="str">
        <f t="shared" ca="1" si="58"/>
        <v/>
      </c>
      <c r="N174" s="207" t="str">
        <f t="shared" ca="1" si="58"/>
        <v/>
      </c>
      <c r="O174" s="207" t="str">
        <f t="shared" ca="1" si="58"/>
        <v/>
      </c>
      <c r="P174" s="207" t="str">
        <f t="shared" ca="1" si="58"/>
        <v/>
      </c>
      <c r="Q174" s="207" t="str">
        <f t="shared" ca="1" si="58"/>
        <v/>
      </c>
      <c r="R174" s="207" t="str">
        <f t="shared" ca="1" si="58"/>
        <v/>
      </c>
      <c r="S174" s="4"/>
      <c r="T174" s="4"/>
    </row>
    <row r="175" spans="1:20" ht="14.25" hidden="1">
      <c r="A175" s="986" t="s">
        <v>87</v>
      </c>
      <c r="B175" s="798" t="s">
        <v>402</v>
      </c>
      <c r="C175" s="672"/>
      <c r="D175" s="66"/>
      <c r="E175" s="367" t="str">
        <f>'variant 1'!$E$65</f>
        <v>tapwater</v>
      </c>
      <c r="F175" s="220"/>
      <c r="G175" s="220" t="s">
        <v>404</v>
      </c>
      <c r="H175" s="33"/>
      <c r="I175" s="628">
        <f>'variant 1'!$Y$308</f>
        <v>0</v>
      </c>
      <c r="J175" s="624">
        <f t="shared" ca="1" si="56"/>
        <v>308</v>
      </c>
      <c r="K175" s="624">
        <f t="shared" ca="1" si="57"/>
        <v>25</v>
      </c>
      <c r="L175" s="33"/>
      <c r="M175" s="207" t="str">
        <f t="shared" ca="1" si="58"/>
        <v/>
      </c>
      <c r="N175" s="207" t="str">
        <f t="shared" ca="1" si="58"/>
        <v/>
      </c>
      <c r="O175" s="207" t="str">
        <f t="shared" ca="1" si="58"/>
        <v/>
      </c>
      <c r="P175" s="207" t="str">
        <f t="shared" ca="1" si="58"/>
        <v/>
      </c>
      <c r="Q175" s="207" t="str">
        <f t="shared" ca="1" si="58"/>
        <v/>
      </c>
      <c r="R175" s="207" t="str">
        <f t="shared" ca="1" si="58"/>
        <v/>
      </c>
      <c r="S175" s="4"/>
      <c r="T175" s="4"/>
    </row>
    <row r="176" spans="1:20" ht="14.25" hidden="1">
      <c r="A176" s="986" t="s">
        <v>87</v>
      </c>
      <c r="B176" s="798" t="s">
        <v>402</v>
      </c>
      <c r="C176" s="672"/>
      <c r="D176" s="66"/>
      <c r="E176" s="367" t="str">
        <f>'variant 1'!$E$66</f>
        <v>verlichting</v>
      </c>
      <c r="F176" s="220"/>
      <c r="G176" s="220" t="s">
        <v>404</v>
      </c>
      <c r="H176" s="33"/>
      <c r="I176" s="628">
        <f>'variant 1'!$Y$309</f>
        <v>0</v>
      </c>
      <c r="J176" s="624">
        <f t="shared" ca="1" si="56"/>
        <v>309</v>
      </c>
      <c r="K176" s="624">
        <f t="shared" ca="1" si="57"/>
        <v>25</v>
      </c>
      <c r="L176" s="33"/>
      <c r="M176" s="207" t="str">
        <f t="shared" ca="1" si="58"/>
        <v/>
      </c>
      <c r="N176" s="207" t="str">
        <f t="shared" ca="1" si="58"/>
        <v/>
      </c>
      <c r="O176" s="207" t="str">
        <f t="shared" ca="1" si="58"/>
        <v/>
      </c>
      <c r="P176" s="207" t="str">
        <f t="shared" ca="1" si="58"/>
        <v/>
      </c>
      <c r="Q176" s="207" t="str">
        <f t="shared" ca="1" si="58"/>
        <v/>
      </c>
      <c r="R176" s="207" t="str">
        <f t="shared" ca="1" si="58"/>
        <v/>
      </c>
      <c r="S176" s="4"/>
      <c r="T176" s="4"/>
    </row>
    <row r="177" spans="1:20" ht="14.25" hidden="1">
      <c r="A177" s="986" t="s">
        <v>87</v>
      </c>
      <c r="B177" s="798" t="s">
        <v>402</v>
      </c>
      <c r="C177" s="672"/>
      <c r="D177" s="66"/>
      <c r="E177" s="367" t="str">
        <f>'variant 1'!$E$67</f>
        <v>ventilatoren</v>
      </c>
      <c r="F177" s="220"/>
      <c r="G177" s="220" t="s">
        <v>404</v>
      </c>
      <c r="H177" s="33"/>
      <c r="I177" s="628">
        <f>'variant 1'!$Y$310</f>
        <v>0</v>
      </c>
      <c r="J177" s="624">
        <f t="shared" ca="1" si="56"/>
        <v>310</v>
      </c>
      <c r="K177" s="624">
        <f t="shared" ca="1" si="57"/>
        <v>25</v>
      </c>
      <c r="L177" s="33"/>
      <c r="M177" s="207" t="str">
        <f t="shared" ca="1" si="58"/>
        <v/>
      </c>
      <c r="N177" s="207" t="str">
        <f t="shared" ca="1" si="58"/>
        <v/>
      </c>
      <c r="O177" s="207" t="str">
        <f t="shared" ca="1" si="58"/>
        <v/>
      </c>
      <c r="P177" s="207" t="str">
        <f t="shared" ca="1" si="58"/>
        <v/>
      </c>
      <c r="Q177" s="207" t="str">
        <f t="shared" ca="1" si="58"/>
        <v/>
      </c>
      <c r="R177" s="207" t="str">
        <f t="shared" ca="1" si="58"/>
        <v/>
      </c>
      <c r="S177" s="4"/>
      <c r="T177" s="4"/>
    </row>
    <row r="178" spans="1:20" ht="14.25" hidden="1">
      <c r="A178" s="986" t="s">
        <v>87</v>
      </c>
      <c r="B178" s="798" t="s">
        <v>402</v>
      </c>
      <c r="C178" s="672"/>
      <c r="D178" s="66"/>
      <c r="E178" s="367" t="str">
        <f>'variant 1'!$E$69</f>
        <v>overig elektra</v>
      </c>
      <c r="F178" s="220"/>
      <c r="G178" s="220" t="s">
        <v>404</v>
      </c>
      <c r="H178" s="33"/>
      <c r="I178" s="628">
        <f>'variant 1'!$Y$312</f>
        <v>0</v>
      </c>
      <c r="J178" s="624">
        <f t="shared" ca="1" si="56"/>
        <v>312</v>
      </c>
      <c r="K178" s="624">
        <f t="shared" ca="1" si="57"/>
        <v>25</v>
      </c>
      <c r="L178" s="33"/>
      <c r="M178" s="207" t="str">
        <f t="shared" ca="1" si="58"/>
        <v/>
      </c>
      <c r="N178" s="207" t="str">
        <f t="shared" ca="1" si="58"/>
        <v/>
      </c>
      <c r="O178" s="207" t="str">
        <f t="shared" ca="1" si="58"/>
        <v/>
      </c>
      <c r="P178" s="207" t="str">
        <f t="shared" ca="1" si="58"/>
        <v/>
      </c>
      <c r="Q178" s="207" t="str">
        <f t="shared" ca="1" si="58"/>
        <v/>
      </c>
      <c r="R178" s="207" t="str">
        <f t="shared" ca="1" si="58"/>
        <v/>
      </c>
      <c r="S178" s="4"/>
      <c r="T178" s="4"/>
    </row>
    <row r="179" spans="1:20" ht="14.25" hidden="1">
      <c r="A179" s="986" t="s">
        <v>87</v>
      </c>
      <c r="B179" s="798" t="s">
        <v>402</v>
      </c>
      <c r="C179" s="672"/>
      <c r="D179" s="66"/>
      <c r="E179" s="367" t="str">
        <f>'variant 1'!$E$71</f>
        <v>mobiliteit</v>
      </c>
      <c r="F179" s="220"/>
      <c r="G179" s="220" t="s">
        <v>404</v>
      </c>
      <c r="H179" s="33"/>
      <c r="I179" s="628">
        <f>'variant 1'!$Y$313</f>
        <v>0</v>
      </c>
      <c r="J179" s="624">
        <f t="shared" ca="1" si="56"/>
        <v>313</v>
      </c>
      <c r="K179" s="624">
        <f t="shared" ca="1" si="57"/>
        <v>25</v>
      </c>
      <c r="L179" s="33"/>
      <c r="M179" s="207" t="str">
        <f t="shared" ca="1" si="58"/>
        <v/>
      </c>
      <c r="N179" s="207" t="str">
        <f t="shared" ca="1" si="58"/>
        <v/>
      </c>
      <c r="O179" s="207" t="str">
        <f t="shared" ca="1" si="58"/>
        <v/>
      </c>
      <c r="P179" s="207" t="str">
        <f t="shared" ca="1" si="58"/>
        <v/>
      </c>
      <c r="Q179" s="207" t="str">
        <f t="shared" ca="1" si="58"/>
        <v/>
      </c>
      <c r="R179" s="207" t="str">
        <f t="shared" ca="1" si="58"/>
        <v/>
      </c>
      <c r="S179" s="4"/>
      <c r="T179" s="4"/>
    </row>
    <row r="180" spans="1:20" ht="14.25" hidden="1">
      <c r="A180" s="986" t="s">
        <v>87</v>
      </c>
      <c r="B180" s="798" t="s">
        <v>402</v>
      </c>
      <c r="C180" s="672"/>
      <c r="D180" s="66"/>
      <c r="E180" s="367" t="str">
        <f>'variant 1'!$E$316</f>
        <v>warmtekracht (vermeden CO2 emissie)</v>
      </c>
      <c r="F180" s="220"/>
      <c r="G180" s="220" t="s">
        <v>404</v>
      </c>
      <c r="H180" s="33"/>
      <c r="I180" s="628">
        <f>'variant 1'!$Y$316</f>
        <v>0</v>
      </c>
      <c r="J180" s="624">
        <f t="shared" ca="1" si="56"/>
        <v>316</v>
      </c>
      <c r="K180" s="624">
        <f t="shared" ca="1" si="57"/>
        <v>25</v>
      </c>
      <c r="L180" s="33"/>
      <c r="M180" s="207" t="str">
        <f t="shared" ca="1" si="58"/>
        <v/>
      </c>
      <c r="N180" s="207" t="str">
        <f t="shared" ca="1" si="58"/>
        <v/>
      </c>
      <c r="O180" s="207" t="str">
        <f t="shared" ca="1" si="58"/>
        <v/>
      </c>
      <c r="P180" s="207" t="str">
        <f t="shared" ca="1" si="58"/>
        <v/>
      </c>
      <c r="Q180" s="207" t="str">
        <f t="shared" ca="1" si="58"/>
        <v/>
      </c>
      <c r="R180" s="207" t="str">
        <f t="shared" ca="1" si="58"/>
        <v/>
      </c>
      <c r="S180" s="4"/>
      <c r="T180" s="4"/>
    </row>
    <row r="181" spans="1:20" ht="14.25" hidden="1">
      <c r="A181" s="986" t="s">
        <v>87</v>
      </c>
      <c r="B181" s="798" t="s">
        <v>402</v>
      </c>
      <c r="C181" s="672"/>
      <c r="D181" s="66"/>
      <c r="E181" s="367" t="str">
        <f>'variant 1'!$E$317</f>
        <v>zonnepanelen (vermeden CO2 emissie)</v>
      </c>
      <c r="F181" s="220"/>
      <c r="G181" s="220" t="s">
        <v>404</v>
      </c>
      <c r="H181" s="33"/>
      <c r="I181" s="628">
        <f>'variant 1'!$Y$317</f>
        <v>0</v>
      </c>
      <c r="J181" s="624">
        <f t="shared" ca="1" si="56"/>
        <v>317</v>
      </c>
      <c r="K181" s="624">
        <f t="shared" ca="1" si="57"/>
        <v>25</v>
      </c>
      <c r="L181" s="33"/>
      <c r="M181" s="207" t="str">
        <f t="shared" ca="1" si="58"/>
        <v/>
      </c>
      <c r="N181" s="207" t="str">
        <f t="shared" ca="1" si="58"/>
        <v/>
      </c>
      <c r="O181" s="207" t="str">
        <f t="shared" ca="1" si="58"/>
        <v/>
      </c>
      <c r="P181" s="207" t="str">
        <f t="shared" ca="1" si="58"/>
        <v/>
      </c>
      <c r="Q181" s="207" t="str">
        <f t="shared" ca="1" si="58"/>
        <v/>
      </c>
      <c r="R181" s="207" t="str">
        <f t="shared" ca="1" si="58"/>
        <v/>
      </c>
      <c r="S181" s="4"/>
      <c r="T181" s="4"/>
    </row>
    <row r="182" spans="1:20" ht="15" hidden="1">
      <c r="A182" s="986" t="s">
        <v>87</v>
      </c>
      <c r="B182" s="798" t="s">
        <v>402</v>
      </c>
      <c r="C182" s="672"/>
      <c r="D182" s="66"/>
      <c r="E182" s="220" t="s">
        <v>255</v>
      </c>
      <c r="F182" s="220"/>
      <c r="G182" s="220" t="s">
        <v>404</v>
      </c>
      <c r="H182" s="33"/>
      <c r="I182" s="626"/>
      <c r="J182" s="626"/>
      <c r="K182" s="626"/>
      <c r="L182" s="33"/>
      <c r="M182" s="207" t="str">
        <f t="shared" ref="M182:R182" ca="1" si="59">IF(M173="","",SUM(M173:M181))</f>
        <v/>
      </c>
      <c r="N182" s="207" t="str">
        <f t="shared" ca="1" si="59"/>
        <v/>
      </c>
      <c r="O182" s="207" t="str">
        <f t="shared" ca="1" si="59"/>
        <v/>
      </c>
      <c r="P182" s="207" t="str">
        <f t="shared" ca="1" si="59"/>
        <v/>
      </c>
      <c r="Q182" s="207" t="str">
        <f t="shared" ca="1" si="59"/>
        <v/>
      </c>
      <c r="R182" s="207" t="str">
        <f t="shared" ca="1" si="59"/>
        <v/>
      </c>
      <c r="S182" s="4"/>
      <c r="T182" s="4"/>
    </row>
    <row r="183" spans="1:20" s="611" customFormat="1" ht="5.25" hidden="1">
      <c r="A183" s="982" t="s">
        <v>87</v>
      </c>
      <c r="B183" s="797" t="s">
        <v>402</v>
      </c>
      <c r="C183" s="667"/>
      <c r="D183" s="610"/>
      <c r="E183" s="642"/>
      <c r="F183" s="642"/>
      <c r="G183" s="642"/>
      <c r="H183" s="642"/>
      <c r="I183" s="643"/>
      <c r="J183" s="643"/>
      <c r="K183" s="643"/>
      <c r="L183" s="642"/>
      <c r="M183" s="642"/>
      <c r="N183" s="676"/>
      <c r="O183" s="642"/>
      <c r="P183" s="642"/>
      <c r="Q183" s="642"/>
      <c r="R183" s="642"/>
      <c r="S183" s="610"/>
      <c r="T183" s="610"/>
    </row>
    <row r="184" spans="1:20" ht="15" hidden="1">
      <c r="A184" s="981" t="s">
        <v>87</v>
      </c>
      <c r="B184" s="798" t="s">
        <v>402</v>
      </c>
      <c r="C184" s="672"/>
      <c r="D184" s="66"/>
      <c r="E184" s="754" t="str">
        <f>"resultaten tov "&amp;$F$5</f>
        <v>resultaten tov variant 1</v>
      </c>
      <c r="F184" s="754"/>
      <c r="G184" s="755" t="s">
        <v>404</v>
      </c>
      <c r="H184" s="33"/>
      <c r="I184" s="629"/>
      <c r="J184" s="629"/>
      <c r="K184" s="629"/>
      <c r="L184" s="33"/>
      <c r="M184" s="756" t="str">
        <f t="shared" ref="M184:R184" ca="1" si="60">IF(M182="","",M182-INDEX($L182:$S182,MATCH($F$5,$L$8:$S$8,0)))</f>
        <v/>
      </c>
      <c r="N184" s="756" t="str">
        <f t="shared" ca="1" si="60"/>
        <v/>
      </c>
      <c r="O184" s="756" t="str">
        <f t="shared" ca="1" si="60"/>
        <v/>
      </c>
      <c r="P184" s="756" t="str">
        <f t="shared" ca="1" si="60"/>
        <v/>
      </c>
      <c r="Q184" s="756" t="str">
        <f t="shared" ca="1" si="60"/>
        <v/>
      </c>
      <c r="R184" s="756" t="str">
        <f t="shared" ca="1" si="60"/>
        <v/>
      </c>
      <c r="S184" s="4"/>
      <c r="T184" s="4"/>
    </row>
    <row r="185" spans="1:20" ht="15" hidden="1">
      <c r="A185" s="981" t="s">
        <v>87</v>
      </c>
      <c r="B185" s="798" t="s">
        <v>402</v>
      </c>
      <c r="C185" s="672"/>
      <c r="D185" s="66"/>
      <c r="E185" s="757"/>
      <c r="F185" s="757"/>
      <c r="G185" s="755" t="s">
        <v>147</v>
      </c>
      <c r="H185" s="33"/>
      <c r="I185" s="630"/>
      <c r="J185" s="630"/>
      <c r="K185" s="630"/>
      <c r="L185" s="33"/>
      <c r="M185" s="761" t="str">
        <f t="shared" ref="M185:R185" ca="1" si="61">IFERROR(M184/INDEX($L182:$S182,MATCH($F$5,$L$8:$S$8,0)),"")</f>
        <v/>
      </c>
      <c r="N185" s="761" t="str">
        <f t="shared" ca="1" si="61"/>
        <v/>
      </c>
      <c r="O185" s="761" t="str">
        <f t="shared" ca="1" si="61"/>
        <v/>
      </c>
      <c r="P185" s="761" t="str">
        <f t="shared" ca="1" si="61"/>
        <v/>
      </c>
      <c r="Q185" s="761" t="str">
        <f t="shared" ca="1" si="61"/>
        <v/>
      </c>
      <c r="R185" s="761" t="str">
        <f t="shared" ca="1" si="61"/>
        <v/>
      </c>
      <c r="S185" s="4"/>
      <c r="T185" s="4"/>
    </row>
    <row r="186" spans="1:20" ht="15" hidden="1">
      <c r="A186" s="986" t="s">
        <v>87</v>
      </c>
      <c r="B186" s="798" t="s">
        <v>402</v>
      </c>
      <c r="C186" s="672"/>
      <c r="D186" s="66"/>
      <c r="E186" s="4"/>
      <c r="F186" s="4"/>
      <c r="G186" s="4"/>
      <c r="H186" s="33"/>
      <c r="I186" s="78"/>
      <c r="J186" s="78"/>
      <c r="K186" s="78"/>
      <c r="L186" s="33"/>
      <c r="M186" s="13"/>
      <c r="N186" s="13"/>
      <c r="O186" s="13"/>
      <c r="P186" s="13"/>
      <c r="Q186" s="13"/>
      <c r="R186" s="13"/>
      <c r="S186" s="4"/>
      <c r="T186" s="4"/>
    </row>
    <row r="187" spans="1:20" ht="21" hidden="1">
      <c r="A187" s="981" t="s">
        <v>87</v>
      </c>
      <c r="B187" s="798" t="s">
        <v>402</v>
      </c>
      <c r="C187" s="672"/>
      <c r="D187" s="66"/>
      <c r="E187" s="215" t="s">
        <v>406</v>
      </c>
      <c r="F187" s="215"/>
      <c r="G187" s="215"/>
      <c r="H187" s="4"/>
      <c r="I187" s="623"/>
      <c r="J187" s="623"/>
      <c r="K187" s="623"/>
      <c r="L187" s="33"/>
      <c r="M187" s="638"/>
      <c r="N187" s="638"/>
      <c r="O187" s="638"/>
      <c r="P187" s="638"/>
      <c r="Q187" s="638"/>
      <c r="R187" s="638"/>
      <c r="S187" s="4"/>
      <c r="T187" s="4"/>
    </row>
    <row r="188" spans="1:20" ht="14.25" hidden="1">
      <c r="A188" s="986" t="s">
        <v>87</v>
      </c>
      <c r="B188" s="798" t="s">
        <v>402</v>
      </c>
      <c r="C188" s="672"/>
      <c r="D188" s="66"/>
      <c r="E188" s="367" t="str">
        <f>'variant 1'!$E$62</f>
        <v>verwarming</v>
      </c>
      <c r="F188" s="220"/>
      <c r="G188" s="220" t="s">
        <v>404</v>
      </c>
      <c r="H188" s="33"/>
      <c r="I188" s="628">
        <f>'variant 1'!$AK$306</f>
        <v>0</v>
      </c>
      <c r="J188" s="624">
        <f t="shared" ref="J188:J196" ca="1" si="62">ROW(INDIRECT(RIGHT((_xlfn.FORMULATEXT($I188)),LEN(_xlfn.FORMULATEXT($I188))-1)))</f>
        <v>306</v>
      </c>
      <c r="K188" s="624">
        <f t="shared" ref="K188:K196" ca="1" si="63">COLUMN(INDIRECT(RIGHT((_xlfn.FORMULATEXT($I188)),LEN(_xlfn.FORMULATEXT($I188))-1)))</f>
        <v>37</v>
      </c>
      <c r="L188" s="33"/>
      <c r="M188" s="207" t="str">
        <f t="shared" ref="M188:R196" ca="1" si="64">IF(M$22=0,"",IFERROR(IF(INDIRECT(ADDRESS($J188,$K188,,,M$8))=0,"",INDIRECT(ADDRESS($J188,$K188,,,M$8))),""))</f>
        <v/>
      </c>
      <c r="N188" s="207" t="str">
        <f t="shared" ca="1" si="64"/>
        <v/>
      </c>
      <c r="O188" s="207" t="str">
        <f t="shared" ca="1" si="64"/>
        <v/>
      </c>
      <c r="P188" s="207" t="str">
        <f t="shared" ca="1" si="64"/>
        <v/>
      </c>
      <c r="Q188" s="207" t="str">
        <f t="shared" ca="1" si="64"/>
        <v/>
      </c>
      <c r="R188" s="207" t="str">
        <f t="shared" ca="1" si="64"/>
        <v/>
      </c>
      <c r="S188" s="4"/>
      <c r="T188" s="4"/>
    </row>
    <row r="189" spans="1:20" ht="14.25" hidden="1">
      <c r="A189" s="986" t="s">
        <v>87</v>
      </c>
      <c r="B189" s="798" t="s">
        <v>402</v>
      </c>
      <c r="C189" s="672"/>
      <c r="D189" s="66"/>
      <c r="E189" s="367" t="str">
        <f>'variant 1'!$E$64</f>
        <v>koeling</v>
      </c>
      <c r="F189" s="220"/>
      <c r="G189" s="220" t="s">
        <v>404</v>
      </c>
      <c r="H189" s="33"/>
      <c r="I189" s="628">
        <f>'variant 1'!$AK$307</f>
        <v>0</v>
      </c>
      <c r="J189" s="624">
        <f t="shared" ca="1" si="62"/>
        <v>307</v>
      </c>
      <c r="K189" s="624">
        <f t="shared" ca="1" si="63"/>
        <v>37</v>
      </c>
      <c r="L189" s="33"/>
      <c r="M189" s="207" t="str">
        <f t="shared" ca="1" si="64"/>
        <v/>
      </c>
      <c r="N189" s="207" t="str">
        <f t="shared" ca="1" si="64"/>
        <v/>
      </c>
      <c r="O189" s="207" t="str">
        <f t="shared" ca="1" si="64"/>
        <v/>
      </c>
      <c r="P189" s="207" t="str">
        <f t="shared" ca="1" si="64"/>
        <v/>
      </c>
      <c r="Q189" s="207" t="str">
        <f t="shared" ca="1" si="64"/>
        <v/>
      </c>
      <c r="R189" s="207" t="str">
        <f t="shared" ca="1" si="64"/>
        <v/>
      </c>
      <c r="S189" s="4"/>
      <c r="T189" s="4"/>
    </row>
    <row r="190" spans="1:20" ht="14.25" hidden="1">
      <c r="A190" s="986" t="s">
        <v>87</v>
      </c>
      <c r="B190" s="798" t="s">
        <v>402</v>
      </c>
      <c r="C190" s="672"/>
      <c r="D190" s="66"/>
      <c r="E190" s="367" t="str">
        <f>'variant 1'!$E$65</f>
        <v>tapwater</v>
      </c>
      <c r="F190" s="220"/>
      <c r="G190" s="220" t="s">
        <v>404</v>
      </c>
      <c r="H190" s="33"/>
      <c r="I190" s="628">
        <f>'variant 1'!$AK$308</f>
        <v>0</v>
      </c>
      <c r="J190" s="624">
        <f t="shared" ca="1" si="62"/>
        <v>308</v>
      </c>
      <c r="K190" s="624">
        <f t="shared" ca="1" si="63"/>
        <v>37</v>
      </c>
      <c r="L190" s="33"/>
      <c r="M190" s="207" t="str">
        <f t="shared" ca="1" si="64"/>
        <v/>
      </c>
      <c r="N190" s="207" t="str">
        <f t="shared" ca="1" si="64"/>
        <v/>
      </c>
      <c r="O190" s="207" t="str">
        <f t="shared" ca="1" si="64"/>
        <v/>
      </c>
      <c r="P190" s="207" t="str">
        <f t="shared" ca="1" si="64"/>
        <v/>
      </c>
      <c r="Q190" s="207" t="str">
        <f t="shared" ca="1" si="64"/>
        <v/>
      </c>
      <c r="R190" s="207" t="str">
        <f t="shared" ca="1" si="64"/>
        <v/>
      </c>
      <c r="S190" s="4"/>
      <c r="T190" s="4"/>
    </row>
    <row r="191" spans="1:20" ht="14.25" hidden="1">
      <c r="A191" s="986" t="s">
        <v>87</v>
      </c>
      <c r="B191" s="798" t="s">
        <v>402</v>
      </c>
      <c r="C191" s="672"/>
      <c r="D191" s="66"/>
      <c r="E191" s="367" t="str">
        <f>'variant 1'!$E$66</f>
        <v>verlichting</v>
      </c>
      <c r="F191" s="220"/>
      <c r="G191" s="220" t="s">
        <v>404</v>
      </c>
      <c r="H191" s="33"/>
      <c r="I191" s="628">
        <f>'variant 1'!$AK$309</f>
        <v>0</v>
      </c>
      <c r="J191" s="624">
        <f t="shared" ca="1" si="62"/>
        <v>309</v>
      </c>
      <c r="K191" s="624">
        <f t="shared" ca="1" si="63"/>
        <v>37</v>
      </c>
      <c r="L191" s="33"/>
      <c r="M191" s="207" t="str">
        <f t="shared" ca="1" si="64"/>
        <v/>
      </c>
      <c r="N191" s="207" t="str">
        <f t="shared" ca="1" si="64"/>
        <v/>
      </c>
      <c r="O191" s="207" t="str">
        <f t="shared" ca="1" si="64"/>
        <v/>
      </c>
      <c r="P191" s="207" t="str">
        <f t="shared" ca="1" si="64"/>
        <v/>
      </c>
      <c r="Q191" s="207" t="str">
        <f t="shared" ca="1" si="64"/>
        <v/>
      </c>
      <c r="R191" s="207" t="str">
        <f t="shared" ca="1" si="64"/>
        <v/>
      </c>
      <c r="S191" s="4"/>
      <c r="T191" s="4"/>
    </row>
    <row r="192" spans="1:20" ht="14.25" hidden="1">
      <c r="A192" s="986" t="s">
        <v>87</v>
      </c>
      <c r="B192" s="798" t="s">
        <v>402</v>
      </c>
      <c r="C192" s="672"/>
      <c r="D192" s="66"/>
      <c r="E192" s="367" t="str">
        <f>'variant 1'!$E$67</f>
        <v>ventilatoren</v>
      </c>
      <c r="F192" s="220"/>
      <c r="G192" s="220" t="s">
        <v>404</v>
      </c>
      <c r="H192" s="33"/>
      <c r="I192" s="628">
        <f>'variant 1'!$AK$310</f>
        <v>0</v>
      </c>
      <c r="J192" s="624">
        <f t="shared" ca="1" si="62"/>
        <v>310</v>
      </c>
      <c r="K192" s="624">
        <f t="shared" ca="1" si="63"/>
        <v>37</v>
      </c>
      <c r="L192" s="33"/>
      <c r="M192" s="207" t="str">
        <f t="shared" ca="1" si="64"/>
        <v/>
      </c>
      <c r="N192" s="207" t="str">
        <f t="shared" ca="1" si="64"/>
        <v/>
      </c>
      <c r="O192" s="207" t="str">
        <f t="shared" ca="1" si="64"/>
        <v/>
      </c>
      <c r="P192" s="207" t="str">
        <f t="shared" ca="1" si="64"/>
        <v/>
      </c>
      <c r="Q192" s="207" t="str">
        <f t="shared" ca="1" si="64"/>
        <v/>
      </c>
      <c r="R192" s="207" t="str">
        <f t="shared" ca="1" si="64"/>
        <v/>
      </c>
      <c r="S192" s="4"/>
      <c r="T192" s="4"/>
    </row>
    <row r="193" spans="1:20" ht="14.25" hidden="1">
      <c r="A193" s="986" t="s">
        <v>87</v>
      </c>
      <c r="B193" s="798" t="s">
        <v>402</v>
      </c>
      <c r="C193" s="672"/>
      <c r="D193" s="66"/>
      <c r="E193" s="367" t="str">
        <f>'variant 1'!$E$69</f>
        <v>overig elektra</v>
      </c>
      <c r="F193" s="220"/>
      <c r="G193" s="220" t="s">
        <v>404</v>
      </c>
      <c r="H193" s="33"/>
      <c r="I193" s="628">
        <f>'variant 1'!$AK$312</f>
        <v>0</v>
      </c>
      <c r="J193" s="624">
        <f t="shared" ca="1" si="62"/>
        <v>312</v>
      </c>
      <c r="K193" s="624">
        <f t="shared" ca="1" si="63"/>
        <v>37</v>
      </c>
      <c r="L193" s="33"/>
      <c r="M193" s="207" t="str">
        <f t="shared" ca="1" si="64"/>
        <v/>
      </c>
      <c r="N193" s="207" t="str">
        <f t="shared" ca="1" si="64"/>
        <v/>
      </c>
      <c r="O193" s="207" t="str">
        <f t="shared" ca="1" si="64"/>
        <v/>
      </c>
      <c r="P193" s="207" t="str">
        <f t="shared" ca="1" si="64"/>
        <v/>
      </c>
      <c r="Q193" s="207" t="str">
        <f t="shared" ca="1" si="64"/>
        <v/>
      </c>
      <c r="R193" s="207" t="str">
        <f t="shared" ca="1" si="64"/>
        <v/>
      </c>
      <c r="S193" s="4"/>
      <c r="T193" s="4"/>
    </row>
    <row r="194" spans="1:20" ht="14.25" hidden="1">
      <c r="A194" s="986" t="s">
        <v>87</v>
      </c>
      <c r="B194" s="798" t="s">
        <v>402</v>
      </c>
      <c r="C194" s="672"/>
      <c r="D194" s="66"/>
      <c r="E194" s="367" t="str">
        <f>'variant 1'!$E$71</f>
        <v>mobiliteit</v>
      </c>
      <c r="F194" s="220"/>
      <c r="G194" s="220" t="s">
        <v>404</v>
      </c>
      <c r="H194" s="33"/>
      <c r="I194" s="628">
        <f>'variant 1'!$AK$313</f>
        <v>0</v>
      </c>
      <c r="J194" s="624">
        <f t="shared" ca="1" si="62"/>
        <v>313</v>
      </c>
      <c r="K194" s="624">
        <f t="shared" ca="1" si="63"/>
        <v>37</v>
      </c>
      <c r="L194" s="33"/>
      <c r="M194" s="207" t="str">
        <f t="shared" ca="1" si="64"/>
        <v/>
      </c>
      <c r="N194" s="207" t="str">
        <f t="shared" ca="1" si="64"/>
        <v/>
      </c>
      <c r="O194" s="207" t="str">
        <f t="shared" ca="1" si="64"/>
        <v/>
      </c>
      <c r="P194" s="207" t="str">
        <f t="shared" ca="1" si="64"/>
        <v/>
      </c>
      <c r="Q194" s="207" t="str">
        <f t="shared" ca="1" si="64"/>
        <v/>
      </c>
      <c r="R194" s="207" t="str">
        <f t="shared" ca="1" si="64"/>
        <v/>
      </c>
      <c r="S194" s="4"/>
      <c r="T194" s="4"/>
    </row>
    <row r="195" spans="1:20" ht="14.25" hidden="1">
      <c r="A195" s="986" t="s">
        <v>87</v>
      </c>
      <c r="B195" s="798" t="s">
        <v>402</v>
      </c>
      <c r="C195" s="672"/>
      <c r="D195" s="66"/>
      <c r="E195" s="367" t="str">
        <f>'variant 1'!$E$316</f>
        <v>warmtekracht (vermeden CO2 emissie)</v>
      </c>
      <c r="F195" s="220"/>
      <c r="G195" s="220" t="s">
        <v>404</v>
      </c>
      <c r="H195" s="33"/>
      <c r="I195" s="628">
        <f>'variant 1'!$AK$316</f>
        <v>0</v>
      </c>
      <c r="J195" s="624">
        <f t="shared" ca="1" si="62"/>
        <v>316</v>
      </c>
      <c r="K195" s="624">
        <f t="shared" ca="1" si="63"/>
        <v>37</v>
      </c>
      <c r="L195" s="33"/>
      <c r="M195" s="207" t="str">
        <f t="shared" ca="1" si="64"/>
        <v/>
      </c>
      <c r="N195" s="207" t="str">
        <f t="shared" ca="1" si="64"/>
        <v/>
      </c>
      <c r="O195" s="207" t="str">
        <f t="shared" ca="1" si="64"/>
        <v/>
      </c>
      <c r="P195" s="207" t="str">
        <f t="shared" ca="1" si="64"/>
        <v/>
      </c>
      <c r="Q195" s="207" t="str">
        <f t="shared" ca="1" si="64"/>
        <v/>
      </c>
      <c r="R195" s="207" t="str">
        <f t="shared" ca="1" si="64"/>
        <v/>
      </c>
      <c r="S195" s="4"/>
      <c r="T195" s="4"/>
    </row>
    <row r="196" spans="1:20" ht="14.25" hidden="1">
      <c r="A196" s="986" t="s">
        <v>87</v>
      </c>
      <c r="B196" s="798" t="s">
        <v>402</v>
      </c>
      <c r="C196" s="672"/>
      <c r="D196" s="66"/>
      <c r="E196" s="367" t="str">
        <f>'variant 1'!$E$317</f>
        <v>zonnepanelen (vermeden CO2 emissie)</v>
      </c>
      <c r="F196" s="220"/>
      <c r="G196" s="220" t="s">
        <v>404</v>
      </c>
      <c r="H196" s="33"/>
      <c r="I196" s="628">
        <f>'variant 1'!$AK$317</f>
        <v>0</v>
      </c>
      <c r="J196" s="624">
        <f t="shared" ca="1" si="62"/>
        <v>317</v>
      </c>
      <c r="K196" s="624">
        <f t="shared" ca="1" si="63"/>
        <v>37</v>
      </c>
      <c r="L196" s="33"/>
      <c r="M196" s="207" t="str">
        <f t="shared" ca="1" si="64"/>
        <v/>
      </c>
      <c r="N196" s="207" t="str">
        <f t="shared" ca="1" si="64"/>
        <v/>
      </c>
      <c r="O196" s="207" t="str">
        <f t="shared" ca="1" si="64"/>
        <v/>
      </c>
      <c r="P196" s="207" t="str">
        <f t="shared" ca="1" si="64"/>
        <v/>
      </c>
      <c r="Q196" s="207" t="str">
        <f t="shared" ca="1" si="64"/>
        <v/>
      </c>
      <c r="R196" s="207" t="str">
        <f t="shared" ca="1" si="64"/>
        <v/>
      </c>
      <c r="S196" s="4"/>
      <c r="T196" s="4"/>
    </row>
    <row r="197" spans="1:20" ht="15" hidden="1">
      <c r="A197" s="986" t="s">
        <v>87</v>
      </c>
      <c r="B197" s="798" t="s">
        <v>402</v>
      </c>
      <c r="C197" s="672"/>
      <c r="D197" s="66"/>
      <c r="E197" s="220" t="s">
        <v>255</v>
      </c>
      <c r="F197" s="220"/>
      <c r="G197" s="220" t="s">
        <v>404</v>
      </c>
      <c r="H197" s="33"/>
      <c r="I197" s="626"/>
      <c r="J197" s="626"/>
      <c r="K197" s="626"/>
      <c r="L197" s="33"/>
      <c r="M197" s="207" t="str">
        <f t="shared" ref="M197:R197" ca="1" si="65">IF(M188="","",SUM(M188:M196))</f>
        <v/>
      </c>
      <c r="N197" s="207" t="str">
        <f t="shared" ca="1" si="65"/>
        <v/>
      </c>
      <c r="O197" s="207" t="str">
        <f t="shared" ca="1" si="65"/>
        <v/>
      </c>
      <c r="P197" s="207" t="str">
        <f t="shared" ca="1" si="65"/>
        <v/>
      </c>
      <c r="Q197" s="207" t="str">
        <f t="shared" ca="1" si="65"/>
        <v/>
      </c>
      <c r="R197" s="207" t="str">
        <f t="shared" ca="1" si="65"/>
        <v/>
      </c>
      <c r="S197" s="4"/>
      <c r="T197" s="4"/>
    </row>
    <row r="198" spans="1:20" s="611" customFormat="1" ht="5.25" hidden="1">
      <c r="A198" s="982" t="s">
        <v>87</v>
      </c>
      <c r="B198" s="797" t="s">
        <v>402</v>
      </c>
      <c r="C198" s="667"/>
      <c r="D198" s="610"/>
      <c r="E198" s="642"/>
      <c r="F198" s="642"/>
      <c r="G198" s="642"/>
      <c r="H198" s="642"/>
      <c r="I198" s="643"/>
      <c r="J198" s="643"/>
      <c r="K198" s="643"/>
      <c r="L198" s="642"/>
      <c r="M198" s="642"/>
      <c r="N198" s="676"/>
      <c r="O198" s="642"/>
      <c r="P198" s="642"/>
      <c r="Q198" s="642"/>
      <c r="R198" s="642"/>
      <c r="S198" s="610"/>
      <c r="T198" s="610"/>
    </row>
    <row r="199" spans="1:20" ht="15" hidden="1">
      <c r="A199" s="981" t="s">
        <v>87</v>
      </c>
      <c r="B199" s="798" t="s">
        <v>402</v>
      </c>
      <c r="C199" s="672"/>
      <c r="D199" s="66"/>
      <c r="E199" s="754" t="str">
        <f>"resultaten tov "&amp;$F$5</f>
        <v>resultaten tov variant 1</v>
      </c>
      <c r="F199" s="754"/>
      <c r="G199" s="755" t="s">
        <v>404</v>
      </c>
      <c r="H199" s="33"/>
      <c r="I199" s="629"/>
      <c r="J199" s="629"/>
      <c r="K199" s="629"/>
      <c r="L199" s="33"/>
      <c r="M199" s="756" t="str">
        <f t="shared" ref="M199:R199" ca="1" si="66">IF(M197="","",M197-INDEX($L197:$S197,MATCH($F$5,$L$8:$S$8,0)))</f>
        <v/>
      </c>
      <c r="N199" s="756" t="str">
        <f t="shared" ca="1" si="66"/>
        <v/>
      </c>
      <c r="O199" s="756" t="str">
        <f t="shared" ca="1" si="66"/>
        <v/>
      </c>
      <c r="P199" s="756" t="str">
        <f t="shared" ca="1" si="66"/>
        <v/>
      </c>
      <c r="Q199" s="756" t="str">
        <f t="shared" ca="1" si="66"/>
        <v/>
      </c>
      <c r="R199" s="756" t="str">
        <f t="shared" ca="1" si="66"/>
        <v/>
      </c>
      <c r="S199" s="4"/>
      <c r="T199" s="4"/>
    </row>
    <row r="200" spans="1:20" ht="15" hidden="1">
      <c r="A200" s="981" t="s">
        <v>87</v>
      </c>
      <c r="B200" s="798" t="s">
        <v>402</v>
      </c>
      <c r="C200" s="672"/>
      <c r="D200" s="66"/>
      <c r="E200" s="757"/>
      <c r="F200" s="757"/>
      <c r="G200" s="755" t="s">
        <v>147</v>
      </c>
      <c r="H200" s="33"/>
      <c r="I200" s="630"/>
      <c r="J200" s="630"/>
      <c r="K200" s="630"/>
      <c r="L200" s="33"/>
      <c r="M200" s="761" t="str">
        <f t="shared" ref="M200:R200" ca="1" si="67">IFERROR(M199/INDEX($L197:$S197,MATCH($F$5,$L$8:$S$8,0)),"")</f>
        <v/>
      </c>
      <c r="N200" s="761" t="str">
        <f t="shared" ca="1" si="67"/>
        <v/>
      </c>
      <c r="O200" s="761" t="str">
        <f t="shared" ca="1" si="67"/>
        <v/>
      </c>
      <c r="P200" s="761" t="str">
        <f t="shared" ca="1" si="67"/>
        <v/>
      </c>
      <c r="Q200" s="761" t="str">
        <f t="shared" ca="1" si="67"/>
        <v/>
      </c>
      <c r="R200" s="761" t="str">
        <f t="shared" ca="1" si="67"/>
        <v/>
      </c>
      <c r="S200" s="4"/>
      <c r="T200" s="4"/>
    </row>
    <row r="201" spans="1:20" ht="15" hidden="1">
      <c r="A201" s="986" t="s">
        <v>87</v>
      </c>
      <c r="B201" s="798" t="s">
        <v>402</v>
      </c>
      <c r="C201" s="672"/>
      <c r="D201" s="66"/>
      <c r="E201" s="4"/>
      <c r="F201" s="4"/>
      <c r="G201" s="4"/>
      <c r="H201" s="33"/>
      <c r="I201" s="78"/>
      <c r="J201" s="78"/>
      <c r="K201" s="78"/>
      <c r="L201" s="33"/>
      <c r="M201" s="13"/>
      <c r="N201" s="13"/>
      <c r="O201" s="13"/>
      <c r="P201" s="13"/>
      <c r="Q201" s="13"/>
      <c r="R201" s="13"/>
      <c r="S201" s="4"/>
      <c r="T201" s="4"/>
    </row>
    <row r="202" spans="1:20" ht="21" hidden="1">
      <c r="A202" s="981" t="s">
        <v>87</v>
      </c>
      <c r="B202" s="798" t="s">
        <v>402</v>
      </c>
      <c r="C202" s="672"/>
      <c r="D202" s="66"/>
      <c r="E202" s="215" t="s">
        <v>407</v>
      </c>
      <c r="F202" s="215"/>
      <c r="G202" s="215"/>
      <c r="H202" s="4"/>
      <c r="I202" s="623"/>
      <c r="J202" s="623"/>
      <c r="K202" s="623"/>
      <c r="L202" s="33"/>
      <c r="M202" s="638"/>
      <c r="N202" s="638"/>
      <c r="O202" s="638"/>
      <c r="P202" s="638"/>
      <c r="Q202" s="638"/>
      <c r="R202" s="638"/>
      <c r="S202" s="4"/>
      <c r="T202" s="4"/>
    </row>
    <row r="203" spans="1:20" ht="14.25" hidden="1">
      <c r="A203" s="986" t="s">
        <v>87</v>
      </c>
      <c r="B203" s="798" t="s">
        <v>402</v>
      </c>
      <c r="C203" s="672"/>
      <c r="D203" s="66"/>
      <c r="E203" s="367" t="str">
        <f>'variant 1'!$E$62</f>
        <v>verwarming</v>
      </c>
      <c r="F203" s="220"/>
      <c r="G203" s="220" t="s">
        <v>404</v>
      </c>
      <c r="H203" s="33"/>
      <c r="I203" s="628">
        <f>'variant 1'!$AW$306</f>
        <v>0</v>
      </c>
      <c r="J203" s="624">
        <f t="shared" ref="J203:J211" ca="1" si="68">ROW(INDIRECT(RIGHT((_xlfn.FORMULATEXT($I203)),LEN(_xlfn.FORMULATEXT($I203))-1)))</f>
        <v>306</v>
      </c>
      <c r="K203" s="624">
        <f t="shared" ref="K203:K211" ca="1" si="69">COLUMN(INDIRECT(RIGHT((_xlfn.FORMULATEXT($I203)),LEN(_xlfn.FORMULATEXT($I203))-1)))</f>
        <v>49</v>
      </c>
      <c r="L203" s="33"/>
      <c r="M203" s="207" t="str">
        <f t="shared" ref="M203:R211" ca="1" si="70">IF(M$22=0,"",IFERROR(IF(INDIRECT(ADDRESS($J203,$K203,,,M$8))=0,"",INDIRECT(ADDRESS($J203,$K203,,,M$8))),""))</f>
        <v/>
      </c>
      <c r="N203" s="207" t="str">
        <f t="shared" ca="1" si="70"/>
        <v/>
      </c>
      <c r="O203" s="207" t="str">
        <f t="shared" ca="1" si="70"/>
        <v/>
      </c>
      <c r="P203" s="207" t="str">
        <f t="shared" ca="1" si="70"/>
        <v/>
      </c>
      <c r="Q203" s="207" t="str">
        <f t="shared" ca="1" si="70"/>
        <v/>
      </c>
      <c r="R203" s="207" t="str">
        <f t="shared" ca="1" si="70"/>
        <v/>
      </c>
      <c r="S203" s="4"/>
      <c r="T203" s="4"/>
    </row>
    <row r="204" spans="1:20" ht="14.25" hidden="1">
      <c r="A204" s="986" t="s">
        <v>87</v>
      </c>
      <c r="B204" s="798" t="s">
        <v>402</v>
      </c>
      <c r="C204" s="672"/>
      <c r="D204" s="66"/>
      <c r="E204" s="367" t="str">
        <f>'variant 1'!$E$64</f>
        <v>koeling</v>
      </c>
      <c r="F204" s="220"/>
      <c r="G204" s="220" t="s">
        <v>404</v>
      </c>
      <c r="H204" s="33"/>
      <c r="I204" s="628">
        <f>'variant 1'!$AW$307</f>
        <v>0</v>
      </c>
      <c r="J204" s="624">
        <f t="shared" ca="1" si="68"/>
        <v>307</v>
      </c>
      <c r="K204" s="624">
        <f t="shared" ca="1" si="69"/>
        <v>49</v>
      </c>
      <c r="L204" s="33"/>
      <c r="M204" s="207" t="str">
        <f t="shared" ca="1" si="70"/>
        <v/>
      </c>
      <c r="N204" s="207" t="str">
        <f t="shared" ca="1" si="70"/>
        <v/>
      </c>
      <c r="O204" s="207" t="str">
        <f t="shared" ca="1" si="70"/>
        <v/>
      </c>
      <c r="P204" s="207" t="str">
        <f t="shared" ca="1" si="70"/>
        <v/>
      </c>
      <c r="Q204" s="207" t="str">
        <f t="shared" ca="1" si="70"/>
        <v/>
      </c>
      <c r="R204" s="207" t="str">
        <f t="shared" ca="1" si="70"/>
        <v/>
      </c>
      <c r="S204" s="4"/>
      <c r="T204" s="4"/>
    </row>
    <row r="205" spans="1:20" ht="14.25" hidden="1">
      <c r="A205" s="986" t="s">
        <v>87</v>
      </c>
      <c r="B205" s="798" t="s">
        <v>402</v>
      </c>
      <c r="C205" s="672"/>
      <c r="D205" s="66"/>
      <c r="E205" s="367" t="str">
        <f>'variant 1'!$E$65</f>
        <v>tapwater</v>
      </c>
      <c r="F205" s="220"/>
      <c r="G205" s="220" t="s">
        <v>404</v>
      </c>
      <c r="H205" s="33"/>
      <c r="I205" s="628">
        <f>'variant 1'!$AW$308</f>
        <v>0</v>
      </c>
      <c r="J205" s="624">
        <f t="shared" ca="1" si="68"/>
        <v>308</v>
      </c>
      <c r="K205" s="624">
        <f t="shared" ca="1" si="69"/>
        <v>49</v>
      </c>
      <c r="L205" s="33"/>
      <c r="M205" s="207" t="str">
        <f t="shared" ca="1" si="70"/>
        <v/>
      </c>
      <c r="N205" s="207" t="str">
        <f t="shared" ca="1" si="70"/>
        <v/>
      </c>
      <c r="O205" s="207" t="str">
        <f t="shared" ca="1" si="70"/>
        <v/>
      </c>
      <c r="P205" s="207" t="str">
        <f t="shared" ca="1" si="70"/>
        <v/>
      </c>
      <c r="Q205" s="207" t="str">
        <f t="shared" ca="1" si="70"/>
        <v/>
      </c>
      <c r="R205" s="207" t="str">
        <f t="shared" ca="1" si="70"/>
        <v/>
      </c>
      <c r="S205" s="4"/>
      <c r="T205" s="4"/>
    </row>
    <row r="206" spans="1:20" ht="14.25" hidden="1">
      <c r="A206" s="986" t="s">
        <v>87</v>
      </c>
      <c r="B206" s="798" t="s">
        <v>402</v>
      </c>
      <c r="C206" s="672"/>
      <c r="D206" s="66"/>
      <c r="E206" s="367" t="str">
        <f>'variant 1'!$E$66</f>
        <v>verlichting</v>
      </c>
      <c r="F206" s="220"/>
      <c r="G206" s="220" t="s">
        <v>404</v>
      </c>
      <c r="H206" s="33"/>
      <c r="I206" s="628">
        <f>'variant 1'!$AW$309</f>
        <v>0</v>
      </c>
      <c r="J206" s="624">
        <f t="shared" ca="1" si="68"/>
        <v>309</v>
      </c>
      <c r="K206" s="624">
        <f t="shared" ca="1" si="69"/>
        <v>49</v>
      </c>
      <c r="L206" s="33"/>
      <c r="M206" s="207" t="str">
        <f t="shared" ca="1" si="70"/>
        <v/>
      </c>
      <c r="N206" s="207" t="str">
        <f t="shared" ca="1" si="70"/>
        <v/>
      </c>
      <c r="O206" s="207" t="str">
        <f t="shared" ca="1" si="70"/>
        <v/>
      </c>
      <c r="P206" s="207" t="str">
        <f t="shared" ca="1" si="70"/>
        <v/>
      </c>
      <c r="Q206" s="207" t="str">
        <f t="shared" ca="1" si="70"/>
        <v/>
      </c>
      <c r="R206" s="207" t="str">
        <f t="shared" ca="1" si="70"/>
        <v/>
      </c>
      <c r="S206" s="4"/>
      <c r="T206" s="4"/>
    </row>
    <row r="207" spans="1:20" ht="14.25" hidden="1">
      <c r="A207" s="986" t="s">
        <v>87</v>
      </c>
      <c r="B207" s="798" t="s">
        <v>402</v>
      </c>
      <c r="C207" s="672"/>
      <c r="D207" s="66"/>
      <c r="E207" s="367" t="str">
        <f>'variant 1'!$E$67</f>
        <v>ventilatoren</v>
      </c>
      <c r="F207" s="220"/>
      <c r="G207" s="220" t="s">
        <v>404</v>
      </c>
      <c r="H207" s="33"/>
      <c r="I207" s="628">
        <f>'variant 1'!$AW$310</f>
        <v>0</v>
      </c>
      <c r="J207" s="624">
        <f t="shared" ca="1" si="68"/>
        <v>310</v>
      </c>
      <c r="K207" s="624">
        <f t="shared" ca="1" si="69"/>
        <v>49</v>
      </c>
      <c r="L207" s="33"/>
      <c r="M207" s="207" t="str">
        <f t="shared" ca="1" si="70"/>
        <v/>
      </c>
      <c r="N207" s="207" t="str">
        <f t="shared" ca="1" si="70"/>
        <v/>
      </c>
      <c r="O207" s="207" t="str">
        <f t="shared" ca="1" si="70"/>
        <v/>
      </c>
      <c r="P207" s="207" t="str">
        <f t="shared" ca="1" si="70"/>
        <v/>
      </c>
      <c r="Q207" s="207" t="str">
        <f t="shared" ca="1" si="70"/>
        <v/>
      </c>
      <c r="R207" s="207" t="str">
        <f t="shared" ca="1" si="70"/>
        <v/>
      </c>
      <c r="S207" s="4"/>
      <c r="T207" s="4"/>
    </row>
    <row r="208" spans="1:20" ht="14.25" hidden="1">
      <c r="A208" s="986" t="s">
        <v>87</v>
      </c>
      <c r="B208" s="798" t="s">
        <v>402</v>
      </c>
      <c r="C208" s="672"/>
      <c r="D208" s="66"/>
      <c r="E208" s="367" t="str">
        <f>'variant 1'!$E$69</f>
        <v>overig elektra</v>
      </c>
      <c r="F208" s="220"/>
      <c r="G208" s="220" t="s">
        <v>404</v>
      </c>
      <c r="H208" s="33"/>
      <c r="I208" s="628">
        <f>'variant 1'!$AW$312</f>
        <v>0</v>
      </c>
      <c r="J208" s="624">
        <f t="shared" ca="1" si="68"/>
        <v>312</v>
      </c>
      <c r="K208" s="624">
        <f t="shared" ca="1" si="69"/>
        <v>49</v>
      </c>
      <c r="L208" s="33"/>
      <c r="M208" s="207" t="str">
        <f t="shared" ca="1" si="70"/>
        <v/>
      </c>
      <c r="N208" s="207" t="str">
        <f t="shared" ca="1" si="70"/>
        <v/>
      </c>
      <c r="O208" s="207" t="str">
        <f t="shared" ca="1" si="70"/>
        <v/>
      </c>
      <c r="P208" s="207" t="str">
        <f t="shared" ca="1" si="70"/>
        <v/>
      </c>
      <c r="Q208" s="207" t="str">
        <f t="shared" ca="1" si="70"/>
        <v/>
      </c>
      <c r="R208" s="207" t="str">
        <f t="shared" ca="1" si="70"/>
        <v/>
      </c>
      <c r="S208" s="4"/>
      <c r="T208" s="4"/>
    </row>
    <row r="209" spans="1:20" ht="14.25" hidden="1">
      <c r="A209" s="986" t="s">
        <v>87</v>
      </c>
      <c r="B209" s="798" t="s">
        <v>402</v>
      </c>
      <c r="C209" s="672"/>
      <c r="D209" s="66"/>
      <c r="E209" s="367" t="str">
        <f>'variant 1'!$E$71</f>
        <v>mobiliteit</v>
      </c>
      <c r="F209" s="220"/>
      <c r="G209" s="220" t="s">
        <v>404</v>
      </c>
      <c r="H209" s="33"/>
      <c r="I209" s="628">
        <f>'variant 1'!$AW$313</f>
        <v>0</v>
      </c>
      <c r="J209" s="624">
        <f t="shared" ca="1" si="68"/>
        <v>313</v>
      </c>
      <c r="K209" s="624">
        <f t="shared" ca="1" si="69"/>
        <v>49</v>
      </c>
      <c r="L209" s="33"/>
      <c r="M209" s="207" t="str">
        <f t="shared" ca="1" si="70"/>
        <v/>
      </c>
      <c r="N209" s="207" t="str">
        <f t="shared" ca="1" si="70"/>
        <v/>
      </c>
      <c r="O209" s="207" t="str">
        <f t="shared" ca="1" si="70"/>
        <v/>
      </c>
      <c r="P209" s="207" t="str">
        <f t="shared" ca="1" si="70"/>
        <v/>
      </c>
      <c r="Q209" s="207" t="str">
        <f t="shared" ca="1" si="70"/>
        <v/>
      </c>
      <c r="R209" s="207" t="str">
        <f t="shared" ca="1" si="70"/>
        <v/>
      </c>
      <c r="S209" s="4"/>
      <c r="T209" s="4"/>
    </row>
    <row r="210" spans="1:20" ht="14.25" hidden="1">
      <c r="A210" s="986" t="s">
        <v>87</v>
      </c>
      <c r="B210" s="798" t="s">
        <v>402</v>
      </c>
      <c r="C210" s="672"/>
      <c r="D210" s="66"/>
      <c r="E210" s="367" t="str">
        <f>'variant 1'!$E$316</f>
        <v>warmtekracht (vermeden CO2 emissie)</v>
      </c>
      <c r="F210" s="220"/>
      <c r="G210" s="220" t="s">
        <v>404</v>
      </c>
      <c r="H210" s="33"/>
      <c r="I210" s="628">
        <f>'variant 1'!$AW$316</f>
        <v>0</v>
      </c>
      <c r="J210" s="624">
        <f t="shared" ca="1" si="68"/>
        <v>316</v>
      </c>
      <c r="K210" s="624">
        <f t="shared" ca="1" si="69"/>
        <v>49</v>
      </c>
      <c r="L210" s="33"/>
      <c r="M210" s="207" t="str">
        <f t="shared" ca="1" si="70"/>
        <v/>
      </c>
      <c r="N210" s="207" t="str">
        <f t="shared" ca="1" si="70"/>
        <v/>
      </c>
      <c r="O210" s="207" t="str">
        <f t="shared" ca="1" si="70"/>
        <v/>
      </c>
      <c r="P210" s="207" t="str">
        <f t="shared" ca="1" si="70"/>
        <v/>
      </c>
      <c r="Q210" s="207" t="str">
        <f t="shared" ca="1" si="70"/>
        <v/>
      </c>
      <c r="R210" s="207" t="str">
        <f t="shared" ca="1" si="70"/>
        <v/>
      </c>
      <c r="S210" s="4"/>
      <c r="T210" s="4"/>
    </row>
    <row r="211" spans="1:20" ht="14.25" hidden="1">
      <c r="A211" s="986" t="s">
        <v>87</v>
      </c>
      <c r="B211" s="798" t="s">
        <v>402</v>
      </c>
      <c r="C211" s="672"/>
      <c r="D211" s="66"/>
      <c r="E211" s="367" t="str">
        <f>'variant 1'!$E$317</f>
        <v>zonnepanelen (vermeden CO2 emissie)</v>
      </c>
      <c r="F211" s="220"/>
      <c r="G211" s="220" t="s">
        <v>404</v>
      </c>
      <c r="H211" s="33"/>
      <c r="I211" s="628">
        <f>'variant 1'!$AW$317</f>
        <v>0</v>
      </c>
      <c r="J211" s="624">
        <f t="shared" ca="1" si="68"/>
        <v>317</v>
      </c>
      <c r="K211" s="624">
        <f t="shared" ca="1" si="69"/>
        <v>49</v>
      </c>
      <c r="L211" s="33"/>
      <c r="M211" s="207" t="str">
        <f t="shared" ca="1" si="70"/>
        <v/>
      </c>
      <c r="N211" s="207" t="str">
        <f t="shared" ca="1" si="70"/>
        <v/>
      </c>
      <c r="O211" s="207" t="str">
        <f t="shared" ca="1" si="70"/>
        <v/>
      </c>
      <c r="P211" s="207" t="str">
        <f t="shared" ca="1" si="70"/>
        <v/>
      </c>
      <c r="Q211" s="207" t="str">
        <f t="shared" ca="1" si="70"/>
        <v/>
      </c>
      <c r="R211" s="207" t="str">
        <f t="shared" ca="1" si="70"/>
        <v/>
      </c>
      <c r="S211" s="4"/>
      <c r="T211" s="4"/>
    </row>
    <row r="212" spans="1:20" ht="15" hidden="1">
      <c r="A212" s="986" t="s">
        <v>87</v>
      </c>
      <c r="B212" s="798" t="s">
        <v>402</v>
      </c>
      <c r="C212" s="672"/>
      <c r="D212" s="66"/>
      <c r="E212" s="220" t="s">
        <v>255</v>
      </c>
      <c r="F212" s="220"/>
      <c r="G212" s="220" t="s">
        <v>404</v>
      </c>
      <c r="H212" s="33"/>
      <c r="I212" s="626"/>
      <c r="J212" s="626"/>
      <c r="K212" s="626"/>
      <c r="L212" s="33"/>
      <c r="M212" s="207" t="str">
        <f t="shared" ref="M212:R212" ca="1" si="71">IF(M203="","",SUM(M203:M211))</f>
        <v/>
      </c>
      <c r="N212" s="207" t="str">
        <f t="shared" ca="1" si="71"/>
        <v/>
      </c>
      <c r="O212" s="207" t="str">
        <f t="shared" ca="1" si="71"/>
        <v/>
      </c>
      <c r="P212" s="207" t="str">
        <f t="shared" ca="1" si="71"/>
        <v/>
      </c>
      <c r="Q212" s="207" t="str">
        <f t="shared" ca="1" si="71"/>
        <v/>
      </c>
      <c r="R212" s="207" t="str">
        <f t="shared" ca="1" si="71"/>
        <v/>
      </c>
      <c r="S212" s="4"/>
      <c r="T212" s="4"/>
    </row>
    <row r="213" spans="1:20" s="611" customFormat="1" ht="5.25" hidden="1">
      <c r="A213" s="982" t="s">
        <v>87</v>
      </c>
      <c r="B213" s="797" t="s">
        <v>402</v>
      </c>
      <c r="C213" s="667"/>
      <c r="D213" s="610"/>
      <c r="E213" s="642"/>
      <c r="F213" s="642"/>
      <c r="G213" s="642"/>
      <c r="H213" s="642"/>
      <c r="I213" s="643"/>
      <c r="J213" s="643"/>
      <c r="K213" s="643"/>
      <c r="L213" s="642"/>
      <c r="M213" s="642"/>
      <c r="N213" s="676"/>
      <c r="O213" s="642"/>
      <c r="P213" s="642"/>
      <c r="Q213" s="642"/>
      <c r="R213" s="642"/>
      <c r="S213" s="610"/>
      <c r="T213" s="610"/>
    </row>
    <row r="214" spans="1:20" ht="15" hidden="1">
      <c r="A214" s="981" t="s">
        <v>87</v>
      </c>
      <c r="B214" s="798" t="s">
        <v>402</v>
      </c>
      <c r="C214" s="672"/>
      <c r="D214" s="66"/>
      <c r="E214" s="754" t="str">
        <f>"resultaten tov "&amp;$F$5</f>
        <v>resultaten tov variant 1</v>
      </c>
      <c r="F214" s="754"/>
      <c r="G214" s="755" t="s">
        <v>404</v>
      </c>
      <c r="H214" s="33"/>
      <c r="I214" s="629"/>
      <c r="J214" s="629"/>
      <c r="K214" s="629"/>
      <c r="L214" s="33"/>
      <c r="M214" s="756" t="str">
        <f t="shared" ref="M214:R214" ca="1" si="72">IF(M212="","",M212-INDEX($L212:$S212,MATCH($F$5,$L$8:$S$8,0)))</f>
        <v/>
      </c>
      <c r="N214" s="756" t="str">
        <f t="shared" ca="1" si="72"/>
        <v/>
      </c>
      <c r="O214" s="756" t="str">
        <f t="shared" ca="1" si="72"/>
        <v/>
      </c>
      <c r="P214" s="756" t="str">
        <f t="shared" ca="1" si="72"/>
        <v/>
      </c>
      <c r="Q214" s="756" t="str">
        <f t="shared" ca="1" si="72"/>
        <v/>
      </c>
      <c r="R214" s="756" t="str">
        <f t="shared" ca="1" si="72"/>
        <v/>
      </c>
      <c r="S214" s="4"/>
      <c r="T214" s="4"/>
    </row>
    <row r="215" spans="1:20" ht="15" hidden="1">
      <c r="A215" s="981" t="s">
        <v>87</v>
      </c>
      <c r="B215" s="798" t="s">
        <v>402</v>
      </c>
      <c r="C215" s="672"/>
      <c r="D215" s="66"/>
      <c r="E215" s="757"/>
      <c r="F215" s="757"/>
      <c r="G215" s="755" t="s">
        <v>147</v>
      </c>
      <c r="H215" s="33"/>
      <c r="I215" s="630"/>
      <c r="J215" s="630"/>
      <c r="K215" s="630"/>
      <c r="L215" s="33"/>
      <c r="M215" s="761" t="str">
        <f t="shared" ref="M215:R215" ca="1" si="73">IFERROR(M214/INDEX($L212:$S212,MATCH($F$5,$L$8:$S$8,0)),"")</f>
        <v/>
      </c>
      <c r="N215" s="761" t="str">
        <f t="shared" ca="1" si="73"/>
        <v/>
      </c>
      <c r="O215" s="761" t="str">
        <f t="shared" ca="1" si="73"/>
        <v/>
      </c>
      <c r="P215" s="761" t="str">
        <f t="shared" ca="1" si="73"/>
        <v/>
      </c>
      <c r="Q215" s="761" t="str">
        <f t="shared" ca="1" si="73"/>
        <v/>
      </c>
      <c r="R215" s="761" t="str">
        <f t="shared" ca="1" si="73"/>
        <v/>
      </c>
      <c r="S215" s="4"/>
      <c r="T215" s="4"/>
    </row>
    <row r="216" spans="1:20" ht="15" hidden="1">
      <c r="A216" s="986" t="s">
        <v>87</v>
      </c>
      <c r="B216" s="798" t="s">
        <v>297</v>
      </c>
      <c r="C216" s="672"/>
      <c r="D216" s="66"/>
      <c r="E216" s="4"/>
      <c r="F216" s="4"/>
      <c r="G216" s="4"/>
      <c r="H216" s="33"/>
      <c r="I216" s="78"/>
      <c r="J216" s="78"/>
      <c r="K216" s="78"/>
      <c r="L216" s="33"/>
      <c r="M216" s="13"/>
      <c r="N216" s="13"/>
      <c r="O216" s="13"/>
      <c r="P216" s="13"/>
      <c r="Q216" s="13"/>
      <c r="R216" s="13"/>
      <c r="S216" s="4"/>
      <c r="T216" s="4"/>
    </row>
    <row r="217" spans="1:20" ht="21" hidden="1">
      <c r="A217" s="981" t="s">
        <v>87</v>
      </c>
      <c r="B217" s="798" t="s">
        <v>297</v>
      </c>
      <c r="C217" s="672"/>
      <c r="D217" s="66"/>
      <c r="E217" s="215" t="s">
        <v>408</v>
      </c>
      <c r="F217" s="215"/>
      <c r="G217" s="215"/>
      <c r="H217" s="4"/>
      <c r="I217" s="623"/>
      <c r="J217" s="623"/>
      <c r="K217" s="623"/>
      <c r="L217" s="33"/>
      <c r="M217" s="638"/>
      <c r="N217" s="638"/>
      <c r="O217" s="638"/>
      <c r="P217" s="638"/>
      <c r="Q217" s="638"/>
      <c r="R217" s="638"/>
      <c r="S217" s="4"/>
      <c r="T217" s="4"/>
    </row>
    <row r="218" spans="1:20" ht="14.25" hidden="1">
      <c r="A218" s="986" t="s">
        <v>87</v>
      </c>
      <c r="B218" s="798" t="s">
        <v>297</v>
      </c>
      <c r="C218" s="672"/>
      <c r="D218" s="66"/>
      <c r="E218" s="627" t="str">
        <f>"locatie 1"&amp;IF('woningen|utiliteit'!$L$17="","",": "&amp;'woningen|utiliteit'!$L$17)</f>
        <v>locatie 1</v>
      </c>
      <c r="F218" s="220"/>
      <c r="G218" s="220" t="s">
        <v>68</v>
      </c>
      <c r="H218" s="33"/>
      <c r="I218" s="637" t="str">
        <f>'variant 1'!$O$225</f>
        <v>-</v>
      </c>
      <c r="J218" s="624">
        <f t="shared" ref="J218:J242" ca="1" si="74">ROW(INDIRECT(RIGHT((_xlfn.FORMULATEXT($I218)),LEN(_xlfn.FORMULATEXT($I218))-1)))</f>
        <v>225</v>
      </c>
      <c r="K218" s="624">
        <f t="shared" ref="K218:K242" ca="1" si="75">COLUMN(INDIRECT(RIGHT((_xlfn.FORMULATEXT($I218)),LEN(_xlfn.FORMULATEXT($I218))-1)))</f>
        <v>15</v>
      </c>
      <c r="L218" s="33"/>
      <c r="M218" s="272" t="str">
        <f t="shared" ref="M218:R221" ca="1" si="76">IF(M18=0,"",IFERROR(INDIRECT(ADDRESS($J218,$K218,,,M$8)),0))</f>
        <v/>
      </c>
      <c r="N218" s="272" t="str">
        <f t="shared" ca="1" si="76"/>
        <v/>
      </c>
      <c r="O218" s="272" t="str">
        <f t="shared" ca="1" si="76"/>
        <v/>
      </c>
      <c r="P218" s="272" t="str">
        <f t="shared" ca="1" si="76"/>
        <v/>
      </c>
      <c r="Q218" s="272" t="str">
        <f t="shared" ca="1" si="76"/>
        <v/>
      </c>
      <c r="R218" s="272" t="str">
        <f t="shared" ca="1" si="76"/>
        <v/>
      </c>
      <c r="S218" s="4"/>
      <c r="T218" s="4"/>
    </row>
    <row r="219" spans="1:20" ht="14.25" hidden="1">
      <c r="A219" s="986" t="s">
        <v>87</v>
      </c>
      <c r="B219" s="798" t="s">
        <v>297</v>
      </c>
      <c r="C219" s="672"/>
      <c r="D219" s="66"/>
      <c r="E219" s="627" t="str">
        <f>"locatie 2"&amp;IF('woningen|utiliteit'!$L$31="","",": "&amp;'woningen|utiliteit'!$L$31)</f>
        <v>locatie 2</v>
      </c>
      <c r="F219" s="220"/>
      <c r="G219" s="220" t="s">
        <v>68</v>
      </c>
      <c r="H219" s="33"/>
      <c r="I219" s="637" t="str">
        <f>'variant 1'!$AA$225</f>
        <v>-</v>
      </c>
      <c r="J219" s="624">
        <f t="shared" ca="1" si="74"/>
        <v>225</v>
      </c>
      <c r="K219" s="624">
        <f t="shared" ca="1" si="75"/>
        <v>27</v>
      </c>
      <c r="L219" s="33"/>
      <c r="M219" s="272" t="str">
        <f t="shared" ca="1" si="76"/>
        <v/>
      </c>
      <c r="N219" s="272" t="str">
        <f t="shared" ca="1" si="76"/>
        <v/>
      </c>
      <c r="O219" s="272" t="str">
        <f t="shared" ca="1" si="76"/>
        <v/>
      </c>
      <c r="P219" s="272" t="str">
        <f t="shared" ca="1" si="76"/>
        <v/>
      </c>
      <c r="Q219" s="272" t="str">
        <f t="shared" ca="1" si="76"/>
        <v/>
      </c>
      <c r="R219" s="272" t="str">
        <f t="shared" ca="1" si="76"/>
        <v/>
      </c>
      <c r="S219" s="4"/>
      <c r="T219" s="4"/>
    </row>
    <row r="220" spans="1:20" ht="14.25" hidden="1">
      <c r="A220" s="986" t="s">
        <v>87</v>
      </c>
      <c r="B220" s="798" t="s">
        <v>297</v>
      </c>
      <c r="C220" s="672"/>
      <c r="D220" s="66"/>
      <c r="E220" s="627" t="str">
        <f>"locatie 3"&amp;IF('woningen|utiliteit'!$L$45="","",": "&amp;'woningen|utiliteit'!$L$45)</f>
        <v>locatie 3</v>
      </c>
      <c r="F220" s="220"/>
      <c r="G220" s="220" t="s">
        <v>68</v>
      </c>
      <c r="H220" s="33"/>
      <c r="I220" s="637" t="str">
        <f>'variant 1'!$AM$225</f>
        <v>-</v>
      </c>
      <c r="J220" s="624">
        <f t="shared" ca="1" si="74"/>
        <v>225</v>
      </c>
      <c r="K220" s="624">
        <f t="shared" ca="1" si="75"/>
        <v>39</v>
      </c>
      <c r="L220" s="33"/>
      <c r="M220" s="272" t="str">
        <f t="shared" ca="1" si="76"/>
        <v/>
      </c>
      <c r="N220" s="272" t="str">
        <f t="shared" ca="1" si="76"/>
        <v/>
      </c>
      <c r="O220" s="272" t="str">
        <f t="shared" ca="1" si="76"/>
        <v/>
      </c>
      <c r="P220" s="272" t="str">
        <f t="shared" ca="1" si="76"/>
        <v/>
      </c>
      <c r="Q220" s="272" t="str">
        <f t="shared" ca="1" si="76"/>
        <v/>
      </c>
      <c r="R220" s="272" t="str">
        <f t="shared" ca="1" si="76"/>
        <v/>
      </c>
      <c r="S220" s="4"/>
      <c r="T220" s="4"/>
    </row>
    <row r="221" spans="1:20" ht="14.25" hidden="1">
      <c r="A221" s="986" t="s">
        <v>87</v>
      </c>
      <c r="B221" s="798" t="s">
        <v>297</v>
      </c>
      <c r="C221" s="672"/>
      <c r="D221" s="66"/>
      <c r="E221" s="627" t="str">
        <f>"locatie 4"&amp;IF('woningen|utiliteit'!$L$59="","",": "&amp;'woningen|utiliteit'!$L$59)</f>
        <v>locatie 4</v>
      </c>
      <c r="F221" s="220"/>
      <c r="G221" s="220" t="s">
        <v>68</v>
      </c>
      <c r="H221" s="33"/>
      <c r="I221" s="637" t="str">
        <f>'variant 1'!$AY$225</f>
        <v>-</v>
      </c>
      <c r="J221" s="624">
        <f t="shared" ca="1" si="74"/>
        <v>225</v>
      </c>
      <c r="K221" s="624">
        <f t="shared" ca="1" si="75"/>
        <v>51</v>
      </c>
      <c r="L221" s="33"/>
      <c r="M221" s="272" t="str">
        <f t="shared" ca="1" si="76"/>
        <v/>
      </c>
      <c r="N221" s="272" t="str">
        <f t="shared" ca="1" si="76"/>
        <v/>
      </c>
      <c r="O221" s="272" t="str">
        <f t="shared" ca="1" si="76"/>
        <v/>
      </c>
      <c r="P221" s="272" t="str">
        <f t="shared" ca="1" si="76"/>
        <v/>
      </c>
      <c r="Q221" s="272" t="str">
        <f t="shared" ca="1" si="76"/>
        <v/>
      </c>
      <c r="R221" s="272" t="str">
        <f t="shared" ca="1" si="76"/>
        <v/>
      </c>
      <c r="S221" s="4"/>
      <c r="T221" s="4"/>
    </row>
    <row r="222" spans="1:20" ht="15" hidden="1">
      <c r="A222" s="986" t="s">
        <v>87</v>
      </c>
      <c r="B222" s="798" t="s">
        <v>297</v>
      </c>
      <c r="C222" s="672"/>
      <c r="D222" s="66"/>
      <c r="E222" s="4"/>
      <c r="F222" s="4"/>
      <c r="G222" s="4"/>
      <c r="H222" s="33"/>
      <c r="I222" s="78"/>
      <c r="J222" s="78"/>
      <c r="K222" s="78"/>
      <c r="L222" s="33"/>
      <c r="M222" s="13"/>
      <c r="N222" s="13"/>
      <c r="O222" s="13"/>
      <c r="P222" s="13"/>
      <c r="Q222" s="13"/>
      <c r="R222" s="13"/>
      <c r="S222" s="4"/>
      <c r="T222" s="4"/>
    </row>
    <row r="223" spans="1:20" ht="21" hidden="1">
      <c r="A223" s="981" t="s">
        <v>87</v>
      </c>
      <c r="B223" s="798" t="s">
        <v>297</v>
      </c>
      <c r="C223" s="672"/>
      <c r="D223" s="66"/>
      <c r="E223" s="215" t="s">
        <v>409</v>
      </c>
      <c r="F223" s="215"/>
      <c r="G223" s="215"/>
      <c r="H223" s="4"/>
      <c r="I223" s="623"/>
      <c r="J223" s="623"/>
      <c r="K223" s="623"/>
      <c r="L223" s="33"/>
      <c r="M223" s="638"/>
      <c r="N223" s="638"/>
      <c r="O223" s="638"/>
      <c r="P223" s="638"/>
      <c r="Q223" s="638"/>
      <c r="R223" s="638"/>
      <c r="S223" s="4"/>
      <c r="T223" s="4"/>
    </row>
    <row r="224" spans="1:20" ht="14.25" hidden="1">
      <c r="A224" s="986" t="s">
        <v>87</v>
      </c>
      <c r="B224" s="798" t="s">
        <v>297</v>
      </c>
      <c r="C224" s="672"/>
      <c r="D224" s="66"/>
      <c r="E224" s="627" t="str">
        <f>"locatie 1"&amp;IF('woningen|utiliteit'!$L$17="","",": "&amp;'woningen|utiliteit'!$L$17)</f>
        <v>locatie 1</v>
      </c>
      <c r="F224" s="220"/>
      <c r="G224" s="220" t="s">
        <v>68</v>
      </c>
      <c r="H224" s="33"/>
      <c r="I224" s="637" t="str">
        <f>'variant 1'!$P$225</f>
        <v>-</v>
      </c>
      <c r="J224" s="624">
        <f t="shared" ca="1" si="74"/>
        <v>225</v>
      </c>
      <c r="K224" s="624">
        <f t="shared" ca="1" si="75"/>
        <v>16</v>
      </c>
      <c r="L224" s="33"/>
      <c r="M224" s="272" t="str">
        <f t="shared" ref="M224:R227" ca="1" si="77">IF(M18=0,"",IFERROR(INDIRECT(ADDRESS($J224,$K224,,,M$8)),0))</f>
        <v/>
      </c>
      <c r="N224" s="272" t="str">
        <f t="shared" ca="1" si="77"/>
        <v/>
      </c>
      <c r="O224" s="272" t="str">
        <f t="shared" ca="1" si="77"/>
        <v/>
      </c>
      <c r="P224" s="272" t="str">
        <f t="shared" ca="1" si="77"/>
        <v/>
      </c>
      <c r="Q224" s="272" t="str">
        <f t="shared" ca="1" si="77"/>
        <v/>
      </c>
      <c r="R224" s="272" t="str">
        <f t="shared" ca="1" si="77"/>
        <v/>
      </c>
      <c r="S224" s="4"/>
      <c r="T224" s="4"/>
    </row>
    <row r="225" spans="1:20" ht="14.25" hidden="1">
      <c r="A225" s="986" t="s">
        <v>87</v>
      </c>
      <c r="B225" s="798" t="s">
        <v>297</v>
      </c>
      <c r="C225" s="672"/>
      <c r="D225" s="66"/>
      <c r="E225" s="627" t="str">
        <f>"locatie 2"&amp;IF('woningen|utiliteit'!$L$31="","",": "&amp;'woningen|utiliteit'!$L$31)</f>
        <v>locatie 2</v>
      </c>
      <c r="F225" s="220"/>
      <c r="G225" s="220" t="s">
        <v>68</v>
      </c>
      <c r="H225" s="33"/>
      <c r="I225" s="637" t="str">
        <f>'variant 1'!$AB$225</f>
        <v>-</v>
      </c>
      <c r="J225" s="624">
        <f t="shared" ca="1" si="74"/>
        <v>225</v>
      </c>
      <c r="K225" s="624">
        <f t="shared" ca="1" si="75"/>
        <v>28</v>
      </c>
      <c r="L225" s="33"/>
      <c r="M225" s="272" t="str">
        <f t="shared" ca="1" si="77"/>
        <v/>
      </c>
      <c r="N225" s="272" t="str">
        <f t="shared" ca="1" si="77"/>
        <v/>
      </c>
      <c r="O225" s="272" t="str">
        <f t="shared" ca="1" si="77"/>
        <v/>
      </c>
      <c r="P225" s="272" t="str">
        <f t="shared" ca="1" si="77"/>
        <v/>
      </c>
      <c r="Q225" s="272" t="str">
        <f t="shared" ca="1" si="77"/>
        <v/>
      </c>
      <c r="R225" s="272" t="str">
        <f t="shared" ca="1" si="77"/>
        <v/>
      </c>
      <c r="S225" s="4"/>
      <c r="T225" s="4"/>
    </row>
    <row r="226" spans="1:20" ht="14.25" hidden="1">
      <c r="A226" s="986" t="s">
        <v>87</v>
      </c>
      <c r="B226" s="798" t="s">
        <v>297</v>
      </c>
      <c r="C226" s="672"/>
      <c r="D226" s="66"/>
      <c r="E226" s="627" t="str">
        <f>"locatie 3"&amp;IF('woningen|utiliteit'!$L$45="","",": "&amp;'woningen|utiliteit'!$L$45)</f>
        <v>locatie 3</v>
      </c>
      <c r="F226" s="220"/>
      <c r="G226" s="220" t="s">
        <v>68</v>
      </c>
      <c r="H226" s="33"/>
      <c r="I226" s="637" t="str">
        <f>'variant 1'!$AN$225</f>
        <v>-</v>
      </c>
      <c r="J226" s="624">
        <f t="shared" ca="1" si="74"/>
        <v>225</v>
      </c>
      <c r="K226" s="624">
        <f t="shared" ca="1" si="75"/>
        <v>40</v>
      </c>
      <c r="L226" s="33"/>
      <c r="M226" s="272" t="str">
        <f t="shared" ca="1" si="77"/>
        <v/>
      </c>
      <c r="N226" s="272" t="str">
        <f t="shared" ca="1" si="77"/>
        <v/>
      </c>
      <c r="O226" s="272" t="str">
        <f t="shared" ca="1" si="77"/>
        <v/>
      </c>
      <c r="P226" s="272" t="str">
        <f t="shared" ca="1" si="77"/>
        <v/>
      </c>
      <c r="Q226" s="272" t="str">
        <f t="shared" ca="1" si="77"/>
        <v/>
      </c>
      <c r="R226" s="272" t="str">
        <f t="shared" ca="1" si="77"/>
        <v/>
      </c>
      <c r="S226" s="4"/>
      <c r="T226" s="4"/>
    </row>
    <row r="227" spans="1:20" ht="14.25" hidden="1">
      <c r="A227" s="986" t="s">
        <v>87</v>
      </c>
      <c r="B227" s="798" t="s">
        <v>297</v>
      </c>
      <c r="C227" s="672"/>
      <c r="D227" s="66"/>
      <c r="E227" s="627" t="str">
        <f>"locatie 4"&amp;IF('woningen|utiliteit'!$L$59="","",": "&amp;'woningen|utiliteit'!$L$59)</f>
        <v>locatie 4</v>
      </c>
      <c r="F227" s="220"/>
      <c r="G227" s="220" t="s">
        <v>68</v>
      </c>
      <c r="H227" s="33"/>
      <c r="I227" s="637" t="str">
        <f>'variant 1'!$AZ$225</f>
        <v>-</v>
      </c>
      <c r="J227" s="624">
        <f t="shared" ca="1" si="74"/>
        <v>225</v>
      </c>
      <c r="K227" s="624">
        <f t="shared" ca="1" si="75"/>
        <v>52</v>
      </c>
      <c r="L227" s="33"/>
      <c r="M227" s="272" t="str">
        <f t="shared" ca="1" si="77"/>
        <v/>
      </c>
      <c r="N227" s="272" t="str">
        <f t="shared" ca="1" si="77"/>
        <v/>
      </c>
      <c r="O227" s="272" t="str">
        <f t="shared" ca="1" si="77"/>
        <v/>
      </c>
      <c r="P227" s="272" t="str">
        <f t="shared" ca="1" si="77"/>
        <v/>
      </c>
      <c r="Q227" s="272" t="str">
        <f t="shared" ca="1" si="77"/>
        <v/>
      </c>
      <c r="R227" s="272" t="str">
        <f t="shared" ca="1" si="77"/>
        <v/>
      </c>
      <c r="S227" s="4"/>
      <c r="T227" s="4"/>
    </row>
    <row r="228" spans="1:20" ht="15" hidden="1">
      <c r="A228" s="986" t="s">
        <v>87</v>
      </c>
      <c r="B228" s="798" t="s">
        <v>297</v>
      </c>
      <c r="C228" s="672"/>
      <c r="D228" s="66"/>
      <c r="E228" s="4"/>
      <c r="F228" s="4"/>
      <c r="G228" s="4"/>
      <c r="H228" s="33"/>
      <c r="I228" s="78"/>
      <c r="J228" s="78"/>
      <c r="K228" s="78"/>
      <c r="L228" s="33"/>
      <c r="M228" s="13"/>
      <c r="N228" s="13"/>
      <c r="O228" s="13"/>
      <c r="P228" s="13"/>
      <c r="Q228" s="13"/>
      <c r="R228" s="13"/>
      <c r="S228" s="4"/>
      <c r="T228" s="4"/>
    </row>
    <row r="229" spans="1:20" ht="21" hidden="1">
      <c r="A229" s="981" t="s">
        <v>87</v>
      </c>
      <c r="B229" s="798" t="s">
        <v>297</v>
      </c>
      <c r="C229" s="672"/>
      <c r="D229" s="66"/>
      <c r="E229" s="215" t="s">
        <v>410</v>
      </c>
      <c r="F229" s="215"/>
      <c r="G229" s="215"/>
      <c r="H229" s="4"/>
      <c r="I229" s="623"/>
      <c r="J229" s="623"/>
      <c r="K229" s="623"/>
      <c r="L229" s="33"/>
      <c r="M229" s="638"/>
      <c r="N229" s="638"/>
      <c r="O229" s="638"/>
      <c r="P229" s="638"/>
      <c r="Q229" s="638"/>
      <c r="R229" s="638"/>
      <c r="S229" s="4"/>
      <c r="T229" s="4"/>
    </row>
    <row r="230" spans="1:20" ht="14.25" hidden="1">
      <c r="A230" s="986" t="s">
        <v>87</v>
      </c>
      <c r="B230" s="798" t="s">
        <v>297</v>
      </c>
      <c r="C230" s="672"/>
      <c r="D230" s="66"/>
      <c r="E230" s="627" t="str">
        <f>"locatie 1"&amp;IF('woningen|utiliteit'!$L$17="","",": "&amp;'woningen|utiliteit'!$L$17)</f>
        <v>locatie 1</v>
      </c>
      <c r="F230" s="220"/>
      <c r="G230" s="220" t="s">
        <v>68</v>
      </c>
      <c r="H230" s="33"/>
      <c r="I230" s="637" t="str">
        <f>'variant 1'!$Q$225</f>
        <v>-</v>
      </c>
      <c r="J230" s="624">
        <f t="shared" ca="1" si="74"/>
        <v>225</v>
      </c>
      <c r="K230" s="624">
        <f t="shared" ca="1" si="75"/>
        <v>17</v>
      </c>
      <c r="L230" s="33"/>
      <c r="M230" s="272" t="str">
        <f t="shared" ref="M230:R233" ca="1" si="78">IF(M18=0,"",IFERROR(INDIRECT(ADDRESS($J230,$K230,,,M$8)),0))</f>
        <v/>
      </c>
      <c r="N230" s="272" t="str">
        <f t="shared" ca="1" si="78"/>
        <v/>
      </c>
      <c r="O230" s="272" t="str">
        <f t="shared" ca="1" si="78"/>
        <v/>
      </c>
      <c r="P230" s="272" t="str">
        <f t="shared" ca="1" si="78"/>
        <v/>
      </c>
      <c r="Q230" s="272" t="str">
        <f t="shared" ca="1" si="78"/>
        <v/>
      </c>
      <c r="R230" s="272" t="str">
        <f t="shared" ca="1" si="78"/>
        <v/>
      </c>
      <c r="S230" s="4"/>
      <c r="T230" s="4"/>
    </row>
    <row r="231" spans="1:20" ht="14.25" hidden="1">
      <c r="A231" s="986" t="s">
        <v>87</v>
      </c>
      <c r="B231" s="798" t="s">
        <v>297</v>
      </c>
      <c r="C231" s="672"/>
      <c r="D231" s="66"/>
      <c r="E231" s="627" t="str">
        <f>"locatie 2"&amp;IF('woningen|utiliteit'!$L$31="","",": "&amp;'woningen|utiliteit'!$L$31)</f>
        <v>locatie 2</v>
      </c>
      <c r="F231" s="220"/>
      <c r="G231" s="220" t="s">
        <v>68</v>
      </c>
      <c r="H231" s="33"/>
      <c r="I231" s="637" t="str">
        <f>'variant 1'!$AC$225</f>
        <v>-</v>
      </c>
      <c r="J231" s="624">
        <f t="shared" ca="1" si="74"/>
        <v>225</v>
      </c>
      <c r="K231" s="624">
        <f t="shared" ca="1" si="75"/>
        <v>29</v>
      </c>
      <c r="L231" s="33"/>
      <c r="M231" s="272" t="str">
        <f t="shared" ca="1" si="78"/>
        <v/>
      </c>
      <c r="N231" s="272" t="str">
        <f t="shared" ca="1" si="78"/>
        <v/>
      </c>
      <c r="O231" s="272" t="str">
        <f t="shared" ca="1" si="78"/>
        <v/>
      </c>
      <c r="P231" s="272" t="str">
        <f t="shared" ca="1" si="78"/>
        <v/>
      </c>
      <c r="Q231" s="272" t="str">
        <f t="shared" ca="1" si="78"/>
        <v/>
      </c>
      <c r="R231" s="272" t="str">
        <f t="shared" ca="1" si="78"/>
        <v/>
      </c>
      <c r="S231" s="4"/>
      <c r="T231" s="4"/>
    </row>
    <row r="232" spans="1:20" ht="14.25" hidden="1">
      <c r="A232" s="986" t="s">
        <v>87</v>
      </c>
      <c r="B232" s="798" t="s">
        <v>297</v>
      </c>
      <c r="C232" s="672"/>
      <c r="D232" s="66"/>
      <c r="E232" s="627" t="str">
        <f>"locatie 3"&amp;IF('woningen|utiliteit'!$L$45="","",": "&amp;'woningen|utiliteit'!$L$45)</f>
        <v>locatie 3</v>
      </c>
      <c r="F232" s="220"/>
      <c r="G232" s="220" t="s">
        <v>68</v>
      </c>
      <c r="H232" s="33"/>
      <c r="I232" s="637" t="str">
        <f>'variant 1'!$AO$225</f>
        <v>-</v>
      </c>
      <c r="J232" s="624">
        <f t="shared" ca="1" si="74"/>
        <v>225</v>
      </c>
      <c r="K232" s="624">
        <f t="shared" ca="1" si="75"/>
        <v>41</v>
      </c>
      <c r="L232" s="33"/>
      <c r="M232" s="272" t="str">
        <f t="shared" ca="1" si="78"/>
        <v/>
      </c>
      <c r="N232" s="272" t="str">
        <f t="shared" ca="1" si="78"/>
        <v/>
      </c>
      <c r="O232" s="272" t="str">
        <f t="shared" ca="1" si="78"/>
        <v/>
      </c>
      <c r="P232" s="272" t="str">
        <f t="shared" ca="1" si="78"/>
        <v/>
      </c>
      <c r="Q232" s="272" t="str">
        <f t="shared" ca="1" si="78"/>
        <v/>
      </c>
      <c r="R232" s="272" t="str">
        <f t="shared" ca="1" si="78"/>
        <v/>
      </c>
      <c r="S232" s="4"/>
      <c r="T232" s="4"/>
    </row>
    <row r="233" spans="1:20" ht="14.25" hidden="1">
      <c r="A233" s="986" t="s">
        <v>87</v>
      </c>
      <c r="B233" s="798" t="s">
        <v>297</v>
      </c>
      <c r="C233" s="672"/>
      <c r="D233" s="66"/>
      <c r="E233" s="627" t="str">
        <f>"locatie 4"&amp;IF('woningen|utiliteit'!$L$59="","",": "&amp;'woningen|utiliteit'!$L$59)</f>
        <v>locatie 4</v>
      </c>
      <c r="F233" s="220"/>
      <c r="G233" s="220" t="s">
        <v>68</v>
      </c>
      <c r="H233" s="33"/>
      <c r="I233" s="637" t="str">
        <f>'variant 1'!$BA$225</f>
        <v>-</v>
      </c>
      <c r="J233" s="624">
        <f t="shared" ca="1" si="74"/>
        <v>225</v>
      </c>
      <c r="K233" s="624">
        <f t="shared" ca="1" si="75"/>
        <v>53</v>
      </c>
      <c r="L233" s="33"/>
      <c r="M233" s="272" t="str">
        <f t="shared" ca="1" si="78"/>
        <v/>
      </c>
      <c r="N233" s="272" t="str">
        <f t="shared" ca="1" si="78"/>
        <v/>
      </c>
      <c r="O233" s="272" t="str">
        <f t="shared" ca="1" si="78"/>
        <v/>
      </c>
      <c r="P233" s="272" t="str">
        <f t="shared" ca="1" si="78"/>
        <v/>
      </c>
      <c r="Q233" s="272" t="str">
        <f t="shared" ca="1" si="78"/>
        <v/>
      </c>
      <c r="R233" s="272" t="str">
        <f t="shared" ca="1" si="78"/>
        <v/>
      </c>
      <c r="S233" s="4"/>
      <c r="T233" s="4"/>
    </row>
    <row r="234" spans="1:20" ht="15" hidden="1">
      <c r="A234" s="986" t="s">
        <v>87</v>
      </c>
      <c r="B234" s="798" t="s">
        <v>411</v>
      </c>
      <c r="C234" s="672"/>
      <c r="D234" s="66"/>
      <c r="E234" s="4"/>
      <c r="F234" s="4"/>
      <c r="G234" s="4"/>
      <c r="H234" s="33"/>
      <c r="I234" s="78"/>
      <c r="J234" s="78"/>
      <c r="K234" s="78"/>
      <c r="L234" s="33"/>
      <c r="M234" s="13"/>
      <c r="N234" s="13"/>
      <c r="O234" s="13"/>
      <c r="P234" s="13"/>
      <c r="Q234" s="13"/>
      <c r="R234" s="13"/>
      <c r="S234" s="4"/>
      <c r="T234" s="4"/>
    </row>
    <row r="235" spans="1:20" ht="21" hidden="1">
      <c r="A235" s="981" t="s">
        <v>87</v>
      </c>
      <c r="B235" s="798" t="s">
        <v>411</v>
      </c>
      <c r="C235" s="672"/>
      <c r="D235" s="66"/>
      <c r="E235" s="215" t="s">
        <v>412</v>
      </c>
      <c r="F235" s="215"/>
      <c r="G235" s="215"/>
      <c r="H235" s="4"/>
      <c r="I235" s="623"/>
      <c r="J235" s="623"/>
      <c r="K235" s="623"/>
      <c r="L235" s="33"/>
      <c r="M235" s="638"/>
      <c r="N235" s="638"/>
      <c r="O235" s="638"/>
      <c r="P235" s="638"/>
      <c r="Q235" s="638"/>
      <c r="R235" s="638"/>
      <c r="S235" s="4"/>
      <c r="T235" s="4"/>
    </row>
    <row r="236" spans="1:20" ht="14.25" hidden="1">
      <c r="A236" s="986" t="s">
        <v>87</v>
      </c>
      <c r="B236" s="798" t="s">
        <v>411</v>
      </c>
      <c r="C236" s="672"/>
      <c r="D236" s="66"/>
      <c r="E236" s="627" t="str">
        <f>'variant 1'!E212</f>
        <v>warmtepomp (EPren;hp)</v>
      </c>
      <c r="F236" s="220"/>
      <c r="G236" s="220" t="s">
        <v>174</v>
      </c>
      <c r="H236" s="33"/>
      <c r="I236" s="628">
        <f>'variant 1'!J212</f>
        <v>0</v>
      </c>
      <c r="J236" s="624">
        <f t="shared" ca="1" si="74"/>
        <v>212</v>
      </c>
      <c r="K236" s="624">
        <f t="shared" ca="1" si="75"/>
        <v>10</v>
      </c>
      <c r="L236" s="33"/>
      <c r="M236" s="207" t="str">
        <f t="shared" ref="M236:R242" ca="1" si="79">IF(M$22=0,"",IFERROR(INDIRECT(ADDRESS($J236,$K236,,,M$8)),0))</f>
        <v/>
      </c>
      <c r="N236" s="207" t="str">
        <f t="shared" ca="1" si="79"/>
        <v/>
      </c>
      <c r="O236" s="207" t="str">
        <f t="shared" ca="1" si="79"/>
        <v/>
      </c>
      <c r="P236" s="207" t="str">
        <f t="shared" ca="1" si="79"/>
        <v/>
      </c>
      <c r="Q236" s="207" t="str">
        <f t="shared" ca="1" si="79"/>
        <v/>
      </c>
      <c r="R236" s="207" t="str">
        <f t="shared" ca="1" si="79"/>
        <v/>
      </c>
      <c r="S236" s="4"/>
      <c r="T236" s="4"/>
    </row>
    <row r="237" spans="1:20" ht="14.25" hidden="1">
      <c r="A237" s="986" t="s">
        <v>87</v>
      </c>
      <c r="B237" s="798" t="s">
        <v>411</v>
      </c>
      <c r="C237" s="672"/>
      <c r="D237" s="66"/>
      <c r="E237" s="627" t="str">
        <f>'variant 1'!E213</f>
        <v>vrije koeling (EPren;gen;out)</v>
      </c>
      <c r="F237" s="220"/>
      <c r="G237" s="220" t="s">
        <v>174</v>
      </c>
      <c r="H237" s="33"/>
      <c r="I237" s="628">
        <f>'variant 1'!J213</f>
        <v>0</v>
      </c>
      <c r="J237" s="624">
        <f t="shared" ca="1" si="74"/>
        <v>213</v>
      </c>
      <c r="K237" s="624">
        <f t="shared" ca="1" si="75"/>
        <v>10</v>
      </c>
      <c r="L237" s="33"/>
      <c r="M237" s="207" t="str">
        <f t="shared" ca="1" si="79"/>
        <v/>
      </c>
      <c r="N237" s="207" t="str">
        <f t="shared" ca="1" si="79"/>
        <v/>
      </c>
      <c r="O237" s="207" t="str">
        <f t="shared" ca="1" si="79"/>
        <v/>
      </c>
      <c r="P237" s="207" t="str">
        <f t="shared" ca="1" si="79"/>
        <v/>
      </c>
      <c r="Q237" s="207" t="str">
        <f t="shared" ca="1" si="79"/>
        <v/>
      </c>
      <c r="R237" s="207" t="str">
        <f t="shared" ca="1" si="79"/>
        <v/>
      </c>
      <c r="S237" s="4"/>
      <c r="T237" s="4"/>
    </row>
    <row r="238" spans="1:20" ht="14.25" hidden="1">
      <c r="A238" s="986" t="s">
        <v>87</v>
      </c>
      <c r="B238" s="798" t="s">
        <v>411</v>
      </c>
      <c r="C238" s="672"/>
      <c r="D238" s="66"/>
      <c r="E238" s="627" t="str">
        <f>'variant 1'!E214</f>
        <v>biomassagestookte toestellen (EPren;gen;out)</v>
      </c>
      <c r="F238" s="220"/>
      <c r="G238" s="220" t="s">
        <v>174</v>
      </c>
      <c r="H238" s="33"/>
      <c r="I238" s="628">
        <f>'variant 1'!J214</f>
        <v>0</v>
      </c>
      <c r="J238" s="624">
        <f t="shared" ca="1" si="74"/>
        <v>214</v>
      </c>
      <c r="K238" s="624">
        <f t="shared" ca="1" si="75"/>
        <v>10</v>
      </c>
      <c r="L238" s="33"/>
      <c r="M238" s="207" t="str">
        <f t="shared" ca="1" si="79"/>
        <v/>
      </c>
      <c r="N238" s="207" t="str">
        <f t="shared" ca="1" si="79"/>
        <v/>
      </c>
      <c r="O238" s="207" t="str">
        <f t="shared" ca="1" si="79"/>
        <v/>
      </c>
      <c r="P238" s="207" t="str">
        <f t="shared" ca="1" si="79"/>
        <v/>
      </c>
      <c r="Q238" s="207" t="str">
        <f t="shared" ca="1" si="79"/>
        <v/>
      </c>
      <c r="R238" s="207" t="str">
        <f t="shared" ca="1" si="79"/>
        <v/>
      </c>
      <c r="S238" s="4"/>
      <c r="T238" s="4"/>
    </row>
    <row r="239" spans="1:20" ht="14.25" hidden="1">
      <c r="A239" s="986" t="s">
        <v>87</v>
      </c>
      <c r="B239" s="798" t="s">
        <v>411</v>
      </c>
      <c r="C239" s="672"/>
      <c r="D239" s="66"/>
      <c r="E239" s="627" t="str">
        <f>'variant 1'!E215</f>
        <v>externe warmte-/koudelevering (EPren;gen;out)</v>
      </c>
      <c r="F239" s="220"/>
      <c r="G239" s="220" t="s">
        <v>174</v>
      </c>
      <c r="H239" s="33"/>
      <c r="I239" s="628">
        <f>'variant 1'!J215</f>
        <v>0</v>
      </c>
      <c r="J239" s="624">
        <f t="shared" ca="1" si="74"/>
        <v>215</v>
      </c>
      <c r="K239" s="624">
        <f t="shared" ca="1" si="75"/>
        <v>10</v>
      </c>
      <c r="L239" s="33"/>
      <c r="M239" s="207" t="str">
        <f t="shared" ca="1" si="79"/>
        <v/>
      </c>
      <c r="N239" s="207" t="str">
        <f t="shared" ca="1" si="79"/>
        <v/>
      </c>
      <c r="O239" s="207" t="str">
        <f t="shared" ca="1" si="79"/>
        <v/>
      </c>
      <c r="P239" s="207" t="str">
        <f t="shared" ca="1" si="79"/>
        <v/>
      </c>
      <c r="Q239" s="207" t="str">
        <f t="shared" ca="1" si="79"/>
        <v/>
      </c>
      <c r="R239" s="207" t="str">
        <f t="shared" ca="1" si="79"/>
        <v/>
      </c>
      <c r="S239" s="4"/>
      <c r="T239" s="4"/>
    </row>
    <row r="240" spans="1:20" ht="14.25" hidden="1">
      <c r="A240" s="986" t="s">
        <v>87</v>
      </c>
      <c r="B240" s="798" t="s">
        <v>411</v>
      </c>
      <c r="C240" s="672"/>
      <c r="D240" s="66"/>
      <c r="E240" s="627" t="str">
        <f>'variant 1'!E216</f>
        <v>absorptiekoeling op ext. warmtelevering (EPren;gen;out)</v>
      </c>
      <c r="F240" s="220"/>
      <c r="G240" s="220" t="s">
        <v>174</v>
      </c>
      <c r="H240" s="33"/>
      <c r="I240" s="628">
        <f>'variant 1'!J216</f>
        <v>0</v>
      </c>
      <c r="J240" s="624">
        <f t="shared" ca="1" si="74"/>
        <v>216</v>
      </c>
      <c r="K240" s="624">
        <f t="shared" ca="1" si="75"/>
        <v>10</v>
      </c>
      <c r="L240" s="33"/>
      <c r="M240" s="207" t="str">
        <f t="shared" ca="1" si="79"/>
        <v/>
      </c>
      <c r="N240" s="207" t="str">
        <f t="shared" ca="1" si="79"/>
        <v/>
      </c>
      <c r="O240" s="207" t="str">
        <f t="shared" ca="1" si="79"/>
        <v/>
      </c>
      <c r="P240" s="207" t="str">
        <f t="shared" ca="1" si="79"/>
        <v/>
      </c>
      <c r="Q240" s="207" t="str">
        <f t="shared" ca="1" si="79"/>
        <v/>
      </c>
      <c r="R240" s="207" t="str">
        <f t="shared" ca="1" si="79"/>
        <v/>
      </c>
      <c r="S240" s="4"/>
      <c r="T240" s="4"/>
    </row>
    <row r="241" spans="1:20" ht="14.25" hidden="1">
      <c r="A241" s="986" t="s">
        <v>87</v>
      </c>
      <c r="B241" s="798" t="s">
        <v>411</v>
      </c>
      <c r="C241" s="672"/>
      <c r="D241" s="66"/>
      <c r="E241" s="627" t="str">
        <f>'variant 1'!E217</f>
        <v>zonneboiler (EPren;sol;prac)</v>
      </c>
      <c r="F241" s="220"/>
      <c r="G241" s="220" t="s">
        <v>174</v>
      </c>
      <c r="H241" s="33"/>
      <c r="I241" s="628">
        <f>'variant 1'!J217</f>
        <v>0</v>
      </c>
      <c r="J241" s="624">
        <f t="shared" ca="1" si="74"/>
        <v>217</v>
      </c>
      <c r="K241" s="624">
        <f t="shared" ca="1" si="75"/>
        <v>10</v>
      </c>
      <c r="L241" s="33"/>
      <c r="M241" s="207" t="str">
        <f t="shared" ca="1" si="79"/>
        <v/>
      </c>
      <c r="N241" s="207" t="str">
        <f t="shared" ca="1" si="79"/>
        <v/>
      </c>
      <c r="O241" s="207" t="str">
        <f t="shared" ca="1" si="79"/>
        <v/>
      </c>
      <c r="P241" s="207" t="str">
        <f t="shared" ca="1" si="79"/>
        <v/>
      </c>
      <c r="Q241" s="207" t="str">
        <f t="shared" ca="1" si="79"/>
        <v/>
      </c>
      <c r="R241" s="207" t="str">
        <f t="shared" ca="1" si="79"/>
        <v/>
      </c>
      <c r="S241" s="4"/>
      <c r="T241" s="4"/>
    </row>
    <row r="242" spans="1:20" ht="14.25" hidden="1">
      <c r="A242" s="986" t="s">
        <v>87</v>
      </c>
      <c r="B242" s="798" t="s">
        <v>411</v>
      </c>
      <c r="C242" s="672"/>
      <c r="D242" s="66"/>
      <c r="E242" s="627" t="str">
        <f>'variant 1'!E218</f>
        <v>hernieuwbaar opgewekte elektriciteit (EPren;el)</v>
      </c>
      <c r="F242" s="220"/>
      <c r="G242" s="220" t="s">
        <v>174</v>
      </c>
      <c r="H242" s="33"/>
      <c r="I242" s="628">
        <f>'variant 1'!J218</f>
        <v>0</v>
      </c>
      <c r="J242" s="624">
        <f t="shared" ca="1" si="74"/>
        <v>218</v>
      </c>
      <c r="K242" s="624">
        <f t="shared" ca="1" si="75"/>
        <v>10</v>
      </c>
      <c r="L242" s="33"/>
      <c r="M242" s="207" t="str">
        <f t="shared" ca="1" si="79"/>
        <v/>
      </c>
      <c r="N242" s="207" t="str">
        <f t="shared" ca="1" si="79"/>
        <v/>
      </c>
      <c r="O242" s="207" t="str">
        <f t="shared" ca="1" si="79"/>
        <v/>
      </c>
      <c r="P242" s="207" t="str">
        <f t="shared" ca="1" si="79"/>
        <v/>
      </c>
      <c r="Q242" s="207" t="str">
        <f t="shared" ca="1" si="79"/>
        <v/>
      </c>
      <c r="R242" s="207" t="str">
        <f t="shared" ca="1" si="79"/>
        <v/>
      </c>
      <c r="S242" s="4"/>
      <c r="T242" s="4"/>
    </row>
    <row r="243" spans="1:20" ht="15" hidden="1">
      <c r="A243" s="986" t="s">
        <v>87</v>
      </c>
      <c r="B243" s="798" t="s">
        <v>411</v>
      </c>
      <c r="C243" s="672"/>
      <c r="D243" s="66"/>
      <c r="E243" s="220" t="s">
        <v>255</v>
      </c>
      <c r="F243" s="220"/>
      <c r="G243" s="220" t="s">
        <v>174</v>
      </c>
      <c r="H243" s="33"/>
      <c r="I243" s="78"/>
      <c r="J243" s="78"/>
      <c r="K243" s="78"/>
      <c r="L243" s="33"/>
      <c r="M243" s="207">
        <f t="shared" ref="M243:R243" ca="1" si="80">SUM(M236:M242)</f>
        <v>0</v>
      </c>
      <c r="N243" s="207">
        <f t="shared" ca="1" si="80"/>
        <v>0</v>
      </c>
      <c r="O243" s="207">
        <f t="shared" ca="1" si="80"/>
        <v>0</v>
      </c>
      <c r="P243" s="207">
        <f t="shared" ca="1" si="80"/>
        <v>0</v>
      </c>
      <c r="Q243" s="207">
        <f t="shared" ca="1" si="80"/>
        <v>0</v>
      </c>
      <c r="R243" s="207">
        <f t="shared" ca="1" si="80"/>
        <v>0</v>
      </c>
      <c r="S243" s="4"/>
      <c r="T243" s="4"/>
    </row>
    <row r="244" spans="1:20" ht="15">
      <c r="A244" s="981" t="s">
        <v>87</v>
      </c>
      <c r="B244" s="798" t="s">
        <v>413</v>
      </c>
      <c r="C244" s="672"/>
      <c r="D244" s="65"/>
      <c r="E244" s="32"/>
      <c r="F244" s="32"/>
      <c r="G244" s="32"/>
      <c r="H244" s="33"/>
      <c r="I244" s="78"/>
      <c r="J244" s="78"/>
      <c r="K244" s="78"/>
      <c r="L244" s="33"/>
      <c r="M244" s="32"/>
      <c r="N244" s="32"/>
      <c r="O244" s="32"/>
      <c r="P244" s="32"/>
      <c r="Q244" s="32"/>
      <c r="R244" s="32"/>
      <c r="S244" s="4"/>
      <c r="T244" s="4"/>
    </row>
    <row r="245" spans="1:20" ht="255">
      <c r="A245" s="981" t="s">
        <v>87</v>
      </c>
      <c r="B245" s="798" t="s">
        <v>413</v>
      </c>
      <c r="C245" s="672"/>
      <c r="D245" s="67"/>
      <c r="E245" s="758" t="s">
        <v>413</v>
      </c>
      <c r="F245" s="759" t="s">
        <v>414</v>
      </c>
      <c r="G245" s="760"/>
      <c r="H245" s="4"/>
      <c r="I245" s="71"/>
      <c r="J245" s="71"/>
      <c r="K245" s="71"/>
      <c r="L245" s="4"/>
      <c r="M245" s="9"/>
      <c r="N245" s="9"/>
      <c r="O245" s="9"/>
      <c r="P245" s="9"/>
      <c r="Q245" s="9"/>
      <c r="R245" s="9"/>
      <c r="S245" s="4"/>
      <c r="T245" s="4"/>
    </row>
    <row r="246" spans="1:20" ht="14.25">
      <c r="A246" s="981" t="s">
        <v>87</v>
      </c>
      <c r="B246" s="798" t="s">
        <v>415</v>
      </c>
      <c r="C246" s="672"/>
      <c r="D246" s="37"/>
      <c r="E246" s="84"/>
      <c r="F246" s="4"/>
      <c r="G246" s="4"/>
      <c r="H246" s="4"/>
      <c r="I246" s="71"/>
      <c r="J246" s="71"/>
      <c r="K246" s="71"/>
      <c r="L246" s="4"/>
      <c r="M246" s="9"/>
      <c r="N246" s="9"/>
      <c r="O246" s="9"/>
      <c r="P246" s="9"/>
      <c r="Q246" s="9"/>
      <c r="R246" s="9"/>
      <c r="S246" s="4"/>
      <c r="T246" s="4"/>
    </row>
    <row r="247" spans="1:20" ht="255">
      <c r="A247" s="981" t="s">
        <v>87</v>
      </c>
      <c r="B247" s="798" t="s">
        <v>415</v>
      </c>
      <c r="C247" s="672"/>
      <c r="D247" s="37"/>
      <c r="E247" s="758" t="s">
        <v>416</v>
      </c>
      <c r="F247" s="759" t="s">
        <v>414</v>
      </c>
      <c r="G247" s="760"/>
      <c r="H247" s="4"/>
      <c r="I247" s="71"/>
      <c r="J247" s="71"/>
      <c r="K247" s="71"/>
      <c r="L247" s="4"/>
      <c r="M247" s="9"/>
      <c r="N247" s="9"/>
      <c r="O247" s="9"/>
      <c r="P247" s="9"/>
      <c r="Q247" s="9"/>
      <c r="R247" s="9"/>
      <c r="S247" s="4"/>
      <c r="T247" s="4"/>
    </row>
    <row r="248" spans="1:20" ht="14.25">
      <c r="A248" s="987"/>
      <c r="B248" s="798" t="s">
        <v>415</v>
      </c>
      <c r="C248" s="672"/>
      <c r="D248" s="37"/>
      <c r="E248" s="4"/>
      <c r="F248" s="4"/>
      <c r="G248" s="4"/>
      <c r="H248" s="4"/>
      <c r="I248" s="71"/>
      <c r="J248" s="71"/>
      <c r="K248" s="71"/>
      <c r="L248" s="4"/>
      <c r="M248" s="9"/>
      <c r="N248" s="9"/>
      <c r="O248" s="9"/>
      <c r="P248" s="9"/>
      <c r="Q248" s="9"/>
      <c r="R248" s="9"/>
      <c r="S248" s="4"/>
      <c r="T248" s="4"/>
    </row>
  </sheetData>
  <sheetProtection algorithmName="SHA-512" hashValue="9z5KO9AKAgrPR4+SyNDFNX6ffQ46Kx/JTTMpVr75L7aV1dNX8bNslQbckeMF0CeLPk/Qmjg0aGz9xOs0p++gUw==" saltValue="r5kNA9YfQhYqhjJua37x0w==" spinCount="100000" sheet="1" objects="1" scenarios="1" formatColumns="0" autoFilter="0"/>
  <autoFilter ref="B8:B248" xr:uid="{74ED3B3D-4A23-4A2F-BBEB-0D2274B171B4}">
    <filterColumn colId="0">
      <filters>
        <filter val="algemeen"/>
        <filter val="CO2 emissie"/>
        <filter val="grafiek CO2 emissie"/>
        <filter val="grafiek primair energiegebruik"/>
        <filter val="primair energiegebruik"/>
      </filters>
    </filterColumn>
  </autoFilter>
  <mergeCells count="5">
    <mergeCell ref="F4:G4"/>
    <mergeCell ref="F6:G6"/>
    <mergeCell ref="F5:G5"/>
    <mergeCell ref="B5:B7"/>
    <mergeCell ref="E3:G3"/>
  </mergeCells>
  <phoneticPr fontId="0" type="noConversion"/>
  <conditionalFormatting sqref="F5">
    <cfRule type="expression" dxfId="162" priority="4440">
      <formula>ISERROR(MATCH(F5,$M$8:$R$8,0))</formula>
    </cfRule>
  </conditionalFormatting>
  <conditionalFormatting sqref="F6">
    <cfRule type="expression" dxfId="161" priority="90">
      <formula>F6=""</formula>
    </cfRule>
  </conditionalFormatting>
  <conditionalFormatting sqref="G2">
    <cfRule type="expression" dxfId="160" priority="13">
      <formula>$G$2&lt;&gt;""</formula>
    </cfRule>
  </conditionalFormatting>
  <conditionalFormatting sqref="M10:R10">
    <cfRule type="expression" dxfId="159" priority="9">
      <formula>M$22=0</formula>
    </cfRule>
  </conditionalFormatting>
  <conditionalFormatting sqref="M11:R14">
    <cfRule type="expression" dxfId="158" priority="6">
      <formula>M$22=0</formula>
    </cfRule>
  </conditionalFormatting>
  <conditionalFormatting sqref="M11:R243">
    <cfRule type="expression" dxfId="157" priority="5229">
      <formula>M11&lt;&gt;INDEX($L11:$S11,MATCH($F$5,$L$8:$S$8,0))</formula>
    </cfRule>
  </conditionalFormatting>
  <conditionalFormatting sqref="M13:R14">
    <cfRule type="expression" dxfId="156" priority="7">
      <formula>M13="nee"</formula>
    </cfRule>
  </conditionalFormatting>
  <conditionalFormatting sqref="M17:R17">
    <cfRule type="expression" dxfId="155" priority="53">
      <formula>M$22=0</formula>
    </cfRule>
  </conditionalFormatting>
  <conditionalFormatting sqref="M18:R22 M29:R29">
    <cfRule type="expression" dxfId="154" priority="55">
      <formula>M$22=0</formula>
    </cfRule>
  </conditionalFormatting>
  <conditionalFormatting sqref="M24:R24 M31:R31 M37:R37 M43:R43 M49:R49 M55:R55 M61:R61 M77:R77 M87:R87 M102:R102 M117:R117 M132:R132 M147:R147 M157:R157 M172:R172 M187:R187 M217:R217 M223:R223 M229:R229">
    <cfRule type="expression" dxfId="153" priority="54">
      <formula>M$22=0</formula>
    </cfRule>
  </conditionalFormatting>
  <conditionalFormatting sqref="M67:R67">
    <cfRule type="expression" dxfId="152" priority="52">
      <formula>M$22=0</formula>
    </cfRule>
  </conditionalFormatting>
  <conditionalFormatting sqref="M72:R72">
    <cfRule type="expression" dxfId="151" priority="80">
      <formula>M$22=0</formula>
    </cfRule>
  </conditionalFormatting>
  <conditionalFormatting sqref="M74:R74">
    <cfRule type="expression" dxfId="150" priority="47">
      <formula>OR(M$22=0,M72="")</formula>
    </cfRule>
  </conditionalFormatting>
  <conditionalFormatting sqref="M75:R75">
    <cfRule type="expression" dxfId="149" priority="34">
      <formula>OR(M$22=0,M72="")</formula>
    </cfRule>
  </conditionalFormatting>
  <conditionalFormatting sqref="M82:R82">
    <cfRule type="expression" dxfId="148" priority="84">
      <formula>M$22=0</formula>
    </cfRule>
  </conditionalFormatting>
  <conditionalFormatting sqref="M84:R84">
    <cfRule type="expression" dxfId="147" priority="33">
      <formula>OR(M$22=0,M82="")</formula>
    </cfRule>
  </conditionalFormatting>
  <conditionalFormatting sqref="M85:R85">
    <cfRule type="expression" dxfId="146" priority="32">
      <formula>OR(M$22=0,M82="")</formula>
    </cfRule>
  </conditionalFormatting>
  <conditionalFormatting sqref="M97:R97">
    <cfRule type="expression" dxfId="145" priority="77">
      <formula>M$18=0</formula>
    </cfRule>
  </conditionalFormatting>
  <conditionalFormatting sqref="M99:R99">
    <cfRule type="expression" dxfId="144" priority="31">
      <formula>OR(M$22=0,M97="")</formula>
    </cfRule>
  </conditionalFormatting>
  <conditionalFormatting sqref="M100:R100">
    <cfRule type="expression" dxfId="143" priority="30">
      <formula>OR(M$22=0,M97="")</formula>
    </cfRule>
  </conditionalFormatting>
  <conditionalFormatting sqref="M112:R112">
    <cfRule type="expression" dxfId="142" priority="74">
      <formula>M$19=0</formula>
    </cfRule>
  </conditionalFormatting>
  <conditionalFormatting sqref="M114:R114">
    <cfRule type="expression" dxfId="141" priority="29">
      <formula>OR(M$22=0,M112="")</formula>
    </cfRule>
  </conditionalFormatting>
  <conditionalFormatting sqref="M115:R115">
    <cfRule type="expression" dxfId="140" priority="28">
      <formula>OR(M$22=0,M112="")</formula>
    </cfRule>
  </conditionalFormatting>
  <conditionalFormatting sqref="M127:R127">
    <cfRule type="expression" dxfId="139" priority="71">
      <formula>M$20=0</formula>
    </cfRule>
  </conditionalFormatting>
  <conditionalFormatting sqref="M129:R129">
    <cfRule type="expression" dxfId="138" priority="27">
      <formula>OR(M$22=0,M127="")</formula>
    </cfRule>
  </conditionalFormatting>
  <conditionalFormatting sqref="M130:R130">
    <cfRule type="expression" dxfId="137" priority="26">
      <formula>OR(M$22=0,M127="")</formula>
    </cfRule>
  </conditionalFormatting>
  <conditionalFormatting sqref="M142:R142">
    <cfRule type="expression" dxfId="136" priority="68">
      <formula>M$21=0</formula>
    </cfRule>
  </conditionalFormatting>
  <conditionalFormatting sqref="M144:R144">
    <cfRule type="expression" dxfId="135" priority="25">
      <formula>OR(M$22=0,M142="")</formula>
    </cfRule>
  </conditionalFormatting>
  <conditionalFormatting sqref="M145:R145">
    <cfRule type="expression" dxfId="134" priority="24">
      <formula>OR(M$22=0,M142="")</formula>
    </cfRule>
  </conditionalFormatting>
  <conditionalFormatting sqref="M152:R152">
    <cfRule type="expression" dxfId="133" priority="88">
      <formula>M$22=0</formula>
    </cfRule>
  </conditionalFormatting>
  <conditionalFormatting sqref="M154:R154">
    <cfRule type="expression" dxfId="132" priority="23">
      <formula>OR(M$22=0,M152="")</formula>
    </cfRule>
  </conditionalFormatting>
  <conditionalFormatting sqref="M155:R155">
    <cfRule type="expression" dxfId="131" priority="22">
      <formula>OR(M$22=0,M152="")</formula>
    </cfRule>
  </conditionalFormatting>
  <conditionalFormatting sqref="M167:R167">
    <cfRule type="expression" dxfId="130" priority="65">
      <formula>M$18=0</formula>
    </cfRule>
  </conditionalFormatting>
  <conditionalFormatting sqref="M169:R169">
    <cfRule type="expression" dxfId="129" priority="21">
      <formula>OR(M$22=0,M167="")</formula>
    </cfRule>
  </conditionalFormatting>
  <conditionalFormatting sqref="M170:R170">
    <cfRule type="expression" dxfId="128" priority="20">
      <formula>OR(M$22=0,M167="")</formula>
    </cfRule>
  </conditionalFormatting>
  <conditionalFormatting sqref="M182:R182">
    <cfRule type="expression" dxfId="127" priority="62">
      <formula>M$19=0</formula>
    </cfRule>
  </conditionalFormatting>
  <conditionalFormatting sqref="M184:R184">
    <cfRule type="expression" dxfId="126" priority="19">
      <formula>OR(M$22=0,M182="")</formula>
    </cfRule>
  </conditionalFormatting>
  <conditionalFormatting sqref="M185:R185">
    <cfRule type="expression" dxfId="125" priority="18">
      <formula>OR(M$22=0,M182="")</formula>
    </cfRule>
  </conditionalFormatting>
  <conditionalFormatting sqref="M197:R197">
    <cfRule type="expression" dxfId="124" priority="59">
      <formula>M$20=0</formula>
    </cfRule>
  </conditionalFormatting>
  <conditionalFormatting sqref="M199:R199">
    <cfRule type="expression" dxfId="123" priority="17">
      <formula>OR(M$22=0,M197="")</formula>
    </cfRule>
  </conditionalFormatting>
  <conditionalFormatting sqref="M200:R200">
    <cfRule type="expression" dxfId="122" priority="16">
      <formula>OR(M$22=0,M197="")</formula>
    </cfRule>
  </conditionalFormatting>
  <conditionalFormatting sqref="M202:R202">
    <cfRule type="expression" dxfId="121" priority="51">
      <formula>M$22=0</formula>
    </cfRule>
  </conditionalFormatting>
  <conditionalFormatting sqref="M212:R212">
    <cfRule type="expression" dxfId="120" priority="56">
      <formula>M$21=0</formula>
    </cfRule>
  </conditionalFormatting>
  <conditionalFormatting sqref="M214:R214">
    <cfRule type="expression" dxfId="119" priority="15">
      <formula>OR(M$22=0,M212="")</formula>
    </cfRule>
  </conditionalFormatting>
  <conditionalFormatting sqref="M215:R215">
    <cfRule type="expression" dxfId="118" priority="14">
      <formula>OR(M$22=0,M212="")</formula>
    </cfRule>
  </conditionalFormatting>
  <conditionalFormatting sqref="M235:R235">
    <cfRule type="expression" dxfId="117" priority="50">
      <formula>M$22=0</formula>
    </cfRule>
  </conditionalFormatting>
  <conditionalFormatting sqref="M243:R243">
    <cfRule type="expression" dxfId="116" priority="49">
      <formula>M$22=0</formula>
    </cfRule>
  </conditionalFormatting>
  <conditionalFormatting sqref="AA45:AI46 AM45:AU46 AY45:BG46">
    <cfRule type="expression" dxfId="115" priority="2">
      <formula>OR(AA$19="",AA$24=0)</formula>
    </cfRule>
  </conditionalFormatting>
  <conditionalFormatting sqref="AA46:AI46 AM46:AU46 AY46:BG46">
    <cfRule type="expression" dxfId="114" priority="3">
      <formula>AND(AA$19&lt;&gt;"",AA$24&gt;0,AA46&lt;&gt;"",ISERROR(MATCH(AA46,isolatiepakketten_gebouwschil_namen,0))=TRUE)</formula>
    </cfRule>
  </conditionalFormatting>
  <dataValidations count="7">
    <dataValidation type="textLength" errorStyle="warning" allowBlank="1" showInputMessage="1" showErrorMessage="1" errorTitle="Maximaal 30 karakters" error="Maximaal 30 karakters" sqref="F4 E3" xr:uid="{00000000-0002-0000-0900-000000000000}">
      <formula1>0</formula1>
      <formula2>30</formula2>
    </dataValidation>
    <dataValidation type="textLength" allowBlank="1" showInputMessage="1" showErrorMessage="1" errorTitle="Maximaal 65 karakters" error="Maximaal 65 karakters" sqref="F6" xr:uid="{00000000-0002-0000-0900-000001000000}">
      <formula1>0</formula1>
      <formula2>65</formula2>
    </dataValidation>
    <dataValidation allowBlank="1" showInputMessage="1" showErrorMessage="1" promptTitle="Gegevensfilter (links)" prompt="Het pijltje links geeft toegang tot het gegevensfilter, waarmee informatie zichtbaar/onzichtbaar gemaakt kan worden." sqref="D8" xr:uid="{00000000-0002-0000-0900-000002000000}"/>
    <dataValidation allowBlank="1" showInputMessage="1" showErrorMessage="1" promptTitle="Variant als referentie" prompt="In een deel van de resultaattabellen worden rekenresultaten vergeleken met de uitkomsten van de referentie._x000a__x000a_Hier kan worden aangegeven welke variant als referentie wordt gebruikt." sqref="D5" xr:uid="{995A1EFA-29D1-48E0-8869-7C56F160CE2C}"/>
    <dataValidation type="list" allowBlank="1" showInputMessage="1" showErrorMessage="1" sqref="F5" xr:uid="{1035C938-A7A3-459C-9239-438A32BB37BA}">
      <formula1>$M$8:$R$8</formula1>
    </dataValidation>
    <dataValidation allowBlank="1" showInputMessage="1" showErrorMessage="1" promptTitle="Energiepakket / energiebehoefte" sqref="X45:BG45" xr:uid="{9AB8A177-EA8F-4336-B185-7BCE83419705}"/>
    <dataValidation type="list" allowBlank="1" showInputMessage="1" showErrorMessage="1" promptTitle="Energiepakket / energiebehoefte" sqref="AY46:BG46 AA46:AI46 AM46:AU46" xr:uid="{50F3C6AD-EDC4-481A-9038-4BE381B8F08C}">
      <formula1>isolatiepakketten_gebouwschil_namen</formula1>
    </dataValidation>
  </dataValidations>
  <printOptions horizontalCentered="1" verticalCentered="1"/>
  <pageMargins left="0.39370078740157483" right="0.39370078740157483" top="0.39370078740157483" bottom="0.59055118110236227" header="0.19685039370078741" footer="0.39370078740157483"/>
  <pageSetup paperSize="9" scale="54" orientation="portrait" horizontalDpi="4294967293" verticalDpi="4294967293" r:id="rId1"/>
  <headerFooter alignWithMargins="0">
    <oddFooter>&amp;L_x000D_&amp;1#&amp;"Calibri"&amp;10&amp;K000000 Intern gebruik</oddFooter>
  </headerFooter>
  <ignoredErrors>
    <ignoredError sqref="N154:R154" evalError="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 filterMode="1">
    <tabColor theme="6" tint="-0.499984740745262"/>
    <pageSetUpPr fitToPage="1"/>
  </sheetPr>
  <dimension ref="A1:AAK481"/>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5" sqref="F5:G5"/>
    </sheetView>
  </sheetViews>
  <sheetFormatPr defaultRowHeight="14.25"/>
  <cols>
    <col min="1" max="1" width="0.5703125" style="233" customWidth="1"/>
    <col min="2" max="2" width="2.7109375" style="1093" customWidth="1"/>
    <col min="3" max="3" width="2.7109375" style="595" customWidth="1"/>
    <col min="4" max="4" width="2.7109375" style="858" customWidth="1"/>
    <col min="5" max="6" width="31.42578125" customWidth="1"/>
    <col min="7" max="7" width="21" customWidth="1"/>
    <col min="8" max="8" width="0.5703125" customWidth="1"/>
    <col min="9" max="24" width="12.7109375" customWidth="1"/>
    <col min="25" max="25" width="12.7109375" style="60" customWidth="1"/>
    <col min="26" max="39" width="12.7109375" customWidth="1"/>
    <col min="40" max="44" width="13.7109375" customWidth="1"/>
    <col min="45" max="45" width="13.7109375" style="274" customWidth="1"/>
    <col min="46" max="713" width="13.7109375" customWidth="1"/>
  </cols>
  <sheetData>
    <row r="1" spans="1:133" s="822" customFormat="1" ht="21">
      <c r="A1" s="816"/>
      <c r="B1" s="1092"/>
      <c r="C1" s="816"/>
      <c r="D1" s="816"/>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133" ht="23.25">
      <c r="E2" s="59" t="s">
        <v>417</v>
      </c>
      <c r="F2" s="2"/>
      <c r="G2" s="2"/>
      <c r="H2" s="4"/>
      <c r="I2" s="689"/>
      <c r="J2" s="11"/>
      <c r="K2" s="11"/>
      <c r="L2" s="12"/>
      <c r="M2" s="16"/>
      <c r="N2" s="16"/>
      <c r="O2" s="16"/>
      <c r="P2" s="16"/>
      <c r="Q2" s="16"/>
      <c r="R2" s="5"/>
      <c r="S2" s="5"/>
      <c r="T2" s="16"/>
      <c r="U2" s="16"/>
      <c r="V2" s="16"/>
      <c r="W2" s="16"/>
      <c r="X2" s="16"/>
      <c r="Y2" s="20"/>
      <c r="Z2" s="19"/>
      <c r="AA2" s="5"/>
      <c r="AB2" s="5"/>
      <c r="AC2" s="5"/>
      <c r="AD2" s="5"/>
      <c r="AE2" s="5"/>
      <c r="AF2" s="5"/>
      <c r="AG2" s="5"/>
      <c r="AH2" s="5"/>
      <c r="AI2" s="5"/>
      <c r="AJ2" s="5"/>
      <c r="AK2" s="5"/>
      <c r="AL2" s="5"/>
      <c r="AM2" s="5"/>
      <c r="AN2" s="5"/>
      <c r="AO2" s="5"/>
      <c r="AP2" s="5"/>
      <c r="AQ2" s="5"/>
      <c r="AR2" s="5"/>
      <c r="AS2" s="22"/>
    </row>
    <row r="3" spans="1:133" ht="15.75" customHeight="1">
      <c r="A3" s="853"/>
      <c r="B3" s="1094"/>
      <c r="C3" s="596"/>
      <c r="E3" s="848" t="s">
        <v>50</v>
      </c>
      <c r="F3" s="1129" t="str">
        <f>IF('woningen|utiliteit'!$F$3="","",'woningen|utiliteit'!$F$3)</f>
        <v/>
      </c>
      <c r="G3" s="1130"/>
      <c r="H3" s="5"/>
      <c r="I3" s="5"/>
      <c r="J3" s="5"/>
      <c r="K3" s="5"/>
      <c r="L3" s="16"/>
      <c r="M3" s="5"/>
      <c r="N3" s="16"/>
      <c r="O3" s="16"/>
      <c r="P3" s="16"/>
      <c r="Q3" s="16"/>
      <c r="R3" s="16"/>
      <c r="S3" s="16"/>
      <c r="T3" s="16"/>
      <c r="U3" s="16"/>
      <c r="V3" s="5"/>
      <c r="W3" s="16"/>
      <c r="X3" s="16"/>
      <c r="Y3" s="20"/>
      <c r="Z3" s="16"/>
      <c r="AA3" s="16"/>
      <c r="AB3" s="16"/>
      <c r="AC3" s="16"/>
      <c r="AD3" s="16"/>
      <c r="AE3" s="5"/>
      <c r="AS3" s="60"/>
    </row>
    <row r="4" spans="1:133" ht="15.75" customHeight="1">
      <c r="A4" s="853"/>
      <c r="B4" s="1131" t="s">
        <v>51</v>
      </c>
      <c r="C4" s="640"/>
      <c r="E4" s="849" t="s">
        <v>52</v>
      </c>
      <c r="F4" s="1125" t="str">
        <f>IF('woningen|utiliteit'!$F$4="","",'woningen|utiliteit'!$F$4)</f>
        <v/>
      </c>
      <c r="G4" s="1126"/>
      <c r="H4" s="4"/>
      <c r="I4" s="4"/>
      <c r="J4" s="10"/>
      <c r="K4" s="7"/>
      <c r="L4" s="9"/>
      <c r="M4" s="4"/>
      <c r="N4" s="9"/>
      <c r="O4" s="9"/>
      <c r="P4" s="16"/>
      <c r="Q4" s="9"/>
      <c r="R4" s="9"/>
      <c r="S4" s="9"/>
      <c r="T4" s="9"/>
      <c r="U4" s="9"/>
      <c r="V4" s="4"/>
      <c r="W4" s="9"/>
      <c r="X4" s="9"/>
      <c r="Y4" s="8"/>
      <c r="Z4" s="9"/>
      <c r="AA4" s="9"/>
      <c r="AB4" s="9"/>
      <c r="AC4" s="9"/>
      <c r="AD4" s="9"/>
      <c r="AE4" s="4"/>
      <c r="AF4" s="4"/>
      <c r="AG4" s="4"/>
      <c r="AH4" s="4"/>
      <c r="AI4" s="4"/>
      <c r="AJ4" s="4"/>
      <c r="AK4" s="4"/>
      <c r="AL4" s="4"/>
      <c r="AM4" s="4"/>
      <c r="AN4" s="4"/>
      <c r="AO4" s="4"/>
      <c r="AP4" s="4"/>
      <c r="AQ4" s="4"/>
      <c r="AR4" s="4"/>
      <c r="AS4" s="22"/>
    </row>
    <row r="5" spans="1:133" ht="15.75" customHeight="1">
      <c r="A5" s="853"/>
      <c r="B5" s="1131"/>
      <c r="C5" s="640"/>
      <c r="E5" s="851" t="s">
        <v>53</v>
      </c>
      <c r="F5" s="1127"/>
      <c r="G5" s="1128"/>
      <c r="H5" s="4"/>
      <c r="I5" s="4"/>
      <c r="J5" s="4"/>
      <c r="K5" s="4"/>
      <c r="L5" s="9"/>
      <c r="M5" s="9"/>
      <c r="N5" s="9"/>
      <c r="O5" s="9"/>
      <c r="P5" s="16"/>
      <c r="Q5" s="9"/>
      <c r="R5" s="9"/>
      <c r="S5" s="9"/>
      <c r="T5" s="9"/>
      <c r="U5" s="9"/>
      <c r="V5" s="4"/>
      <c r="W5" s="9"/>
      <c r="X5" s="9"/>
      <c r="Y5" s="8"/>
      <c r="Z5" s="9"/>
      <c r="AA5" s="9"/>
      <c r="AB5" s="9"/>
      <c r="AC5" s="9"/>
      <c r="AD5" s="9"/>
      <c r="AE5" s="4"/>
      <c r="AF5" s="4"/>
      <c r="AG5" s="4"/>
      <c r="AH5" s="4"/>
      <c r="AI5" s="4"/>
      <c r="AJ5" s="4"/>
      <c r="AK5" s="4"/>
      <c r="AL5" s="4"/>
      <c r="AM5" s="4"/>
      <c r="AN5" s="4"/>
      <c r="AO5" s="4"/>
      <c r="AP5" s="4"/>
      <c r="AQ5" s="4"/>
      <c r="AR5" s="4"/>
      <c r="AS5" s="22"/>
    </row>
    <row r="6" spans="1:133" s="994" customFormat="1" ht="15.75">
      <c r="A6" s="996"/>
      <c r="B6" s="1131"/>
      <c r="C6" s="995"/>
      <c r="D6" s="990"/>
      <c r="E6" s="992"/>
      <c r="F6" s="992"/>
      <c r="G6" s="992"/>
      <c r="H6" s="992"/>
      <c r="I6" s="993"/>
      <c r="J6" s="993"/>
      <c r="K6" s="993"/>
      <c r="L6" s="992"/>
      <c r="M6" s="992"/>
      <c r="N6" s="992"/>
      <c r="O6" s="992"/>
      <c r="P6" s="992"/>
      <c r="Q6" s="992"/>
      <c r="R6" s="992"/>
      <c r="S6" s="995"/>
      <c r="T6" s="995"/>
    </row>
    <row r="7" spans="1:133" s="994" customFormat="1" ht="15.75">
      <c r="A7" s="996"/>
      <c r="B7" s="1131"/>
      <c r="C7" s="997"/>
      <c r="D7" s="990"/>
      <c r="E7" s="995"/>
      <c r="F7" s="992"/>
      <c r="G7" s="992"/>
      <c r="H7" s="992"/>
      <c r="I7" s="992"/>
      <c r="J7" s="993"/>
      <c r="K7" s="993"/>
      <c r="L7" s="993"/>
      <c r="M7" s="992"/>
      <c r="N7" s="992"/>
      <c r="O7" s="992"/>
      <c r="P7" s="992"/>
      <c r="Q7" s="992"/>
      <c r="R7" s="992"/>
      <c r="S7" s="992"/>
      <c r="T7" s="995"/>
      <c r="U7" s="995"/>
    </row>
    <row r="8" spans="1:133" ht="19.5">
      <c r="A8" s="665"/>
      <c r="B8" s="1095"/>
      <c r="C8" s="609"/>
      <c r="D8" s="744" t="s">
        <v>48</v>
      </c>
      <c r="E8" s="649"/>
      <c r="F8" s="33"/>
      <c r="G8" s="33"/>
      <c r="H8" s="33"/>
      <c r="I8" s="1045"/>
      <c r="J8" s="1045"/>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45"/>
      <c r="CP8" s="1045"/>
      <c r="CQ8" s="1045"/>
      <c r="CR8" s="1045"/>
      <c r="CS8" s="1045"/>
      <c r="CT8" s="1045"/>
      <c r="CU8" s="1045"/>
      <c r="CV8" s="1045"/>
      <c r="CW8" s="1045"/>
      <c r="CX8" s="1045"/>
      <c r="CY8" s="1045"/>
      <c r="CZ8" s="1045"/>
      <c r="DA8" s="1045"/>
      <c r="DB8" s="1045"/>
      <c r="DC8" s="1045"/>
      <c r="DD8" s="1045"/>
      <c r="DE8" s="1045"/>
      <c r="DF8" s="1045"/>
      <c r="DG8" s="1045"/>
      <c r="DH8" s="1045"/>
      <c r="DI8" s="1045"/>
      <c r="DJ8" s="1045"/>
      <c r="DK8" s="1045"/>
      <c r="DL8" s="1045"/>
      <c r="DM8" s="1045"/>
      <c r="DN8" s="1045"/>
      <c r="DO8" s="1045"/>
      <c r="DP8" s="1045"/>
      <c r="DQ8" s="1045"/>
      <c r="DR8" s="1045"/>
      <c r="DS8" s="1045"/>
      <c r="DT8" s="1045"/>
    </row>
    <row r="9" spans="1:133" s="678" customFormat="1" ht="5.25" hidden="1">
      <c r="A9" s="852"/>
      <c r="B9" s="1096"/>
      <c r="C9" s="675"/>
      <c r="D9" s="998"/>
      <c r="E9" s="676"/>
      <c r="F9" s="676"/>
      <c r="G9" s="676"/>
      <c r="H9" s="676"/>
      <c r="I9" s="677"/>
      <c r="J9" s="677"/>
      <c r="K9" s="677"/>
      <c r="L9" s="676"/>
      <c r="M9" s="676"/>
      <c r="N9" s="676"/>
      <c r="O9" s="676"/>
      <c r="P9" s="676"/>
      <c r="Q9" s="676"/>
      <c r="R9" s="676"/>
      <c r="S9" s="675"/>
      <c r="T9" s="675"/>
    </row>
    <row r="10" spans="1:133" ht="21">
      <c r="B10" s="1023" t="s">
        <v>418</v>
      </c>
      <c r="C10" s="723"/>
      <c r="D10" s="999"/>
      <c r="E10" s="493" t="s">
        <v>418</v>
      </c>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row>
    <row r="11" spans="1:133">
      <c r="B11" s="1023" t="s">
        <v>418</v>
      </c>
      <c r="C11" s="723"/>
      <c r="D11" s="1000"/>
      <c r="E11" s="608" t="s">
        <v>419</v>
      </c>
      <c r="F11" s="440"/>
      <c r="G11" s="608" t="s">
        <v>420</v>
      </c>
      <c r="H11" s="440"/>
      <c r="I11" s="440">
        <f t="shared" ref="I11:AN11" ca="1" si="0">OFFSET(I11,0,-1)+1</f>
        <v>1</v>
      </c>
      <c r="J11" s="440">
        <f t="shared" ca="1" si="0"/>
        <v>2</v>
      </c>
      <c r="K11" s="440">
        <f t="shared" ca="1" si="0"/>
        <v>3</v>
      </c>
      <c r="L11" s="440">
        <f t="shared" ca="1" si="0"/>
        <v>4</v>
      </c>
      <c r="M11" s="440">
        <f t="shared" ca="1" si="0"/>
        <v>5</v>
      </c>
      <c r="N11" s="440">
        <f t="shared" ca="1" si="0"/>
        <v>6</v>
      </c>
      <c r="O11" s="440">
        <f t="shared" ca="1" si="0"/>
        <v>7</v>
      </c>
      <c r="P11" s="440">
        <f t="shared" ca="1" si="0"/>
        <v>8</v>
      </c>
      <c r="Q11" s="440">
        <f t="shared" ca="1" si="0"/>
        <v>9</v>
      </c>
      <c r="R11" s="440">
        <f t="shared" ca="1" si="0"/>
        <v>10</v>
      </c>
      <c r="S11" s="440">
        <f t="shared" ca="1" si="0"/>
        <v>11</v>
      </c>
      <c r="T11" s="440">
        <f t="shared" ca="1" si="0"/>
        <v>12</v>
      </c>
      <c r="U11" s="440">
        <f t="shared" ca="1" si="0"/>
        <v>13</v>
      </c>
      <c r="V11" s="440">
        <f t="shared" ca="1" si="0"/>
        <v>14</v>
      </c>
      <c r="W11" s="440">
        <f t="shared" ca="1" si="0"/>
        <v>15</v>
      </c>
      <c r="X11" s="440">
        <f t="shared" ca="1" si="0"/>
        <v>16</v>
      </c>
      <c r="Y11" s="440">
        <f t="shared" ca="1" si="0"/>
        <v>17</v>
      </c>
      <c r="Z11" s="440">
        <f t="shared" ca="1" si="0"/>
        <v>18</v>
      </c>
      <c r="AA11" s="440">
        <f t="shared" ca="1" si="0"/>
        <v>19</v>
      </c>
      <c r="AB11" s="440">
        <f t="shared" ca="1" si="0"/>
        <v>20</v>
      </c>
      <c r="AC11" s="440">
        <f t="shared" ca="1" si="0"/>
        <v>21</v>
      </c>
      <c r="AD11" s="440">
        <f t="shared" ca="1" si="0"/>
        <v>22</v>
      </c>
      <c r="AE11" s="440">
        <f t="shared" ca="1" si="0"/>
        <v>23</v>
      </c>
      <c r="AF11" s="440">
        <f t="shared" ca="1" si="0"/>
        <v>24</v>
      </c>
      <c r="AG11" s="440">
        <f t="shared" ca="1" si="0"/>
        <v>25</v>
      </c>
      <c r="AH11" s="440">
        <f t="shared" ca="1" si="0"/>
        <v>26</v>
      </c>
      <c r="AI11" s="440">
        <f t="shared" ca="1" si="0"/>
        <v>27</v>
      </c>
      <c r="AJ11" s="440">
        <f t="shared" ca="1" si="0"/>
        <v>28</v>
      </c>
      <c r="AK11" s="440">
        <f t="shared" ca="1" si="0"/>
        <v>29</v>
      </c>
      <c r="AL11" s="440">
        <f t="shared" ca="1" si="0"/>
        <v>30</v>
      </c>
      <c r="AM11" s="440">
        <f t="shared" ca="1" si="0"/>
        <v>31</v>
      </c>
      <c r="AN11" s="440">
        <f t="shared" ca="1" si="0"/>
        <v>32</v>
      </c>
      <c r="AO11" s="440">
        <f t="shared" ref="AO11:BT11" ca="1" si="1">OFFSET(AO11,0,-1)+1</f>
        <v>33</v>
      </c>
      <c r="AP11" s="440">
        <f t="shared" ca="1" si="1"/>
        <v>34</v>
      </c>
      <c r="AQ11" s="440">
        <f t="shared" ca="1" si="1"/>
        <v>35</v>
      </c>
      <c r="AR11" s="440">
        <f t="shared" ca="1" si="1"/>
        <v>36</v>
      </c>
      <c r="AS11" s="440">
        <f t="shared" ca="1" si="1"/>
        <v>37</v>
      </c>
      <c r="AT11" s="440">
        <f t="shared" ca="1" si="1"/>
        <v>38</v>
      </c>
      <c r="AU11" s="440">
        <f t="shared" ca="1" si="1"/>
        <v>39</v>
      </c>
      <c r="AV11" s="440">
        <f t="shared" ca="1" si="1"/>
        <v>40</v>
      </c>
      <c r="AW11" s="440">
        <f t="shared" ca="1" si="1"/>
        <v>41</v>
      </c>
      <c r="AX11" s="440">
        <f t="shared" ca="1" si="1"/>
        <v>42</v>
      </c>
      <c r="AY11" s="440">
        <f t="shared" ca="1" si="1"/>
        <v>43</v>
      </c>
      <c r="AZ11" s="440">
        <f t="shared" ca="1" si="1"/>
        <v>44</v>
      </c>
      <c r="BA11" s="440">
        <f t="shared" ca="1" si="1"/>
        <v>45</v>
      </c>
      <c r="BB11" s="440">
        <f t="shared" ca="1" si="1"/>
        <v>46</v>
      </c>
      <c r="BC11" s="440">
        <f t="shared" ca="1" si="1"/>
        <v>47</v>
      </c>
      <c r="BD11" s="440">
        <f t="shared" ca="1" si="1"/>
        <v>48</v>
      </c>
      <c r="BE11" s="440">
        <f t="shared" ca="1" si="1"/>
        <v>49</v>
      </c>
      <c r="BF11" s="440">
        <f t="shared" ca="1" si="1"/>
        <v>50</v>
      </c>
      <c r="BG11" s="440">
        <f t="shared" ca="1" si="1"/>
        <v>51</v>
      </c>
      <c r="BH11" s="440">
        <f t="shared" ca="1" si="1"/>
        <v>52</v>
      </c>
      <c r="BI11" s="440">
        <f t="shared" ca="1" si="1"/>
        <v>53</v>
      </c>
      <c r="BJ11" s="440">
        <f t="shared" ca="1" si="1"/>
        <v>54</v>
      </c>
      <c r="BK11" s="440">
        <f t="shared" ca="1" si="1"/>
        <v>55</v>
      </c>
      <c r="BL11" s="440">
        <f t="shared" ca="1" si="1"/>
        <v>56</v>
      </c>
      <c r="BM11" s="440">
        <f t="shared" ca="1" si="1"/>
        <v>57</v>
      </c>
      <c r="BN11" s="440">
        <f t="shared" ca="1" si="1"/>
        <v>58</v>
      </c>
      <c r="BO11" s="440">
        <f t="shared" ca="1" si="1"/>
        <v>59</v>
      </c>
      <c r="BP11" s="440">
        <f t="shared" ca="1" si="1"/>
        <v>60</v>
      </c>
      <c r="BQ11" s="440">
        <f t="shared" ca="1" si="1"/>
        <v>61</v>
      </c>
      <c r="BR11" s="440">
        <f t="shared" ca="1" si="1"/>
        <v>62</v>
      </c>
      <c r="BS11" s="440">
        <f t="shared" ca="1" si="1"/>
        <v>63</v>
      </c>
      <c r="BT11" s="440">
        <f t="shared" ca="1" si="1"/>
        <v>64</v>
      </c>
      <c r="BU11" s="440">
        <f t="shared" ref="BU11:CZ11" ca="1" si="2">OFFSET(BU11,0,-1)+1</f>
        <v>65</v>
      </c>
      <c r="BV11" s="440">
        <f t="shared" ca="1" si="2"/>
        <v>66</v>
      </c>
      <c r="BW11" s="440">
        <f t="shared" ca="1" si="2"/>
        <v>67</v>
      </c>
      <c r="BX11" s="440">
        <f t="shared" ca="1" si="2"/>
        <v>68</v>
      </c>
      <c r="BY11" s="440">
        <f t="shared" ca="1" si="2"/>
        <v>69</v>
      </c>
      <c r="BZ11" s="440">
        <f t="shared" ca="1" si="2"/>
        <v>70</v>
      </c>
      <c r="CA11" s="440">
        <f t="shared" ca="1" si="2"/>
        <v>71</v>
      </c>
      <c r="CB11" s="440">
        <f t="shared" ca="1" si="2"/>
        <v>72</v>
      </c>
      <c r="CC11" s="440">
        <f t="shared" ca="1" si="2"/>
        <v>73</v>
      </c>
      <c r="CD11" s="440">
        <f t="shared" ca="1" si="2"/>
        <v>74</v>
      </c>
      <c r="CE11" s="440">
        <f t="shared" ca="1" si="2"/>
        <v>75</v>
      </c>
      <c r="CF11" s="440">
        <f t="shared" ca="1" si="2"/>
        <v>76</v>
      </c>
      <c r="CG11" s="440">
        <f t="shared" ca="1" si="2"/>
        <v>77</v>
      </c>
      <c r="CH11" s="440">
        <f t="shared" ca="1" si="2"/>
        <v>78</v>
      </c>
      <c r="CI11" s="440">
        <f t="shared" ca="1" si="2"/>
        <v>79</v>
      </c>
      <c r="CJ11" s="440">
        <f t="shared" ca="1" si="2"/>
        <v>80</v>
      </c>
      <c r="CK11" s="440">
        <f t="shared" ca="1" si="2"/>
        <v>81</v>
      </c>
      <c r="CL11" s="440">
        <f t="shared" ca="1" si="2"/>
        <v>82</v>
      </c>
      <c r="CM11" s="440">
        <f t="shared" ca="1" si="2"/>
        <v>83</v>
      </c>
      <c r="CN11" s="440">
        <f t="shared" ca="1" si="2"/>
        <v>84</v>
      </c>
      <c r="CO11" s="440">
        <f t="shared" ca="1" si="2"/>
        <v>85</v>
      </c>
      <c r="CP11" s="440">
        <f t="shared" ca="1" si="2"/>
        <v>86</v>
      </c>
      <c r="CQ11" s="440">
        <f t="shared" ca="1" si="2"/>
        <v>87</v>
      </c>
      <c r="CR11" s="440">
        <f t="shared" ca="1" si="2"/>
        <v>88</v>
      </c>
      <c r="CS11" s="440">
        <f t="shared" ca="1" si="2"/>
        <v>89</v>
      </c>
      <c r="CT11" s="440">
        <f t="shared" ca="1" si="2"/>
        <v>90</v>
      </c>
      <c r="CU11" s="440">
        <f t="shared" ca="1" si="2"/>
        <v>91</v>
      </c>
      <c r="CV11" s="440">
        <f t="shared" ca="1" si="2"/>
        <v>92</v>
      </c>
      <c r="CW11" s="440">
        <f t="shared" ca="1" si="2"/>
        <v>93</v>
      </c>
      <c r="CX11" s="440">
        <f t="shared" ca="1" si="2"/>
        <v>94</v>
      </c>
      <c r="CY11" s="440">
        <f t="shared" ca="1" si="2"/>
        <v>95</v>
      </c>
      <c r="CZ11" s="440">
        <f t="shared" ca="1" si="2"/>
        <v>96</v>
      </c>
      <c r="DA11" s="440">
        <f t="shared" ref="DA11:EB11" ca="1" si="3">OFFSET(DA11,0,-1)+1</f>
        <v>97</v>
      </c>
      <c r="DB11" s="440">
        <f t="shared" ca="1" si="3"/>
        <v>98</v>
      </c>
      <c r="DC11" s="440">
        <f t="shared" ca="1" si="3"/>
        <v>99</v>
      </c>
      <c r="DD11" s="440">
        <f t="shared" ca="1" si="3"/>
        <v>100</v>
      </c>
      <c r="DE11" s="440">
        <f t="shared" ca="1" si="3"/>
        <v>101</v>
      </c>
      <c r="DF11" s="440">
        <f t="shared" ca="1" si="3"/>
        <v>102</v>
      </c>
      <c r="DG11" s="440">
        <f t="shared" ca="1" si="3"/>
        <v>103</v>
      </c>
      <c r="DH11" s="440">
        <f t="shared" ca="1" si="3"/>
        <v>104</v>
      </c>
      <c r="DI11" s="440">
        <f t="shared" ca="1" si="3"/>
        <v>105</v>
      </c>
      <c r="DJ11" s="440">
        <f t="shared" ca="1" si="3"/>
        <v>106</v>
      </c>
      <c r="DK11" s="440">
        <f t="shared" ca="1" si="3"/>
        <v>107</v>
      </c>
      <c r="DL11" s="440">
        <f t="shared" ca="1" si="3"/>
        <v>108</v>
      </c>
      <c r="DM11" s="440">
        <f t="shared" ca="1" si="3"/>
        <v>109</v>
      </c>
      <c r="DN11" s="440">
        <f t="shared" ca="1" si="3"/>
        <v>110</v>
      </c>
      <c r="DO11" s="440">
        <f t="shared" ca="1" si="3"/>
        <v>111</v>
      </c>
      <c r="DP11" s="440">
        <f t="shared" ca="1" si="3"/>
        <v>112</v>
      </c>
      <c r="DQ11" s="440">
        <f t="shared" ca="1" si="3"/>
        <v>113</v>
      </c>
      <c r="DR11" s="440">
        <f t="shared" ca="1" si="3"/>
        <v>114</v>
      </c>
      <c r="DS11" s="440">
        <f t="shared" ca="1" si="3"/>
        <v>115</v>
      </c>
      <c r="DT11" s="440">
        <f t="shared" ca="1" si="3"/>
        <v>116</v>
      </c>
      <c r="DU11" s="440">
        <f t="shared" ca="1" si="3"/>
        <v>117</v>
      </c>
      <c r="DV11" s="440">
        <f t="shared" ca="1" si="3"/>
        <v>118</v>
      </c>
      <c r="DW11" s="440">
        <f t="shared" ca="1" si="3"/>
        <v>119</v>
      </c>
      <c r="DX11" s="440">
        <f t="shared" ca="1" si="3"/>
        <v>120</v>
      </c>
      <c r="DY11" s="440">
        <f t="shared" ca="1" si="3"/>
        <v>121</v>
      </c>
      <c r="DZ11" s="440">
        <f t="shared" ca="1" si="3"/>
        <v>122</v>
      </c>
      <c r="EA11" s="440">
        <f t="shared" ca="1" si="3"/>
        <v>123</v>
      </c>
      <c r="EB11" s="440">
        <f t="shared" ca="1" si="3"/>
        <v>124</v>
      </c>
      <c r="EC11" s="440"/>
    </row>
    <row r="12" spans="1:133" ht="18.75">
      <c r="B12" s="1023" t="s">
        <v>418</v>
      </c>
      <c r="C12" s="723"/>
      <c r="D12" s="999"/>
      <c r="E12" s="606" t="s">
        <v>421</v>
      </c>
      <c r="F12" s="404"/>
      <c r="G12" s="606"/>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c r="CU12" s="607"/>
      <c r="CV12" s="607"/>
      <c r="CW12" s="607"/>
      <c r="CX12" s="607"/>
      <c r="CY12" s="607"/>
      <c r="CZ12" s="607"/>
      <c r="DA12" s="607"/>
      <c r="DB12" s="607"/>
      <c r="DC12" s="607"/>
      <c r="DD12" s="607"/>
      <c r="DE12" s="607"/>
      <c r="DF12" s="607"/>
      <c r="DG12" s="607"/>
      <c r="DH12" s="607"/>
      <c r="DI12" s="607"/>
      <c r="DJ12" s="607"/>
      <c r="DK12" s="607"/>
      <c r="DL12" s="607"/>
      <c r="DM12" s="607"/>
      <c r="DN12" s="607"/>
      <c r="DO12" s="607"/>
      <c r="DP12" s="607"/>
      <c r="DQ12" s="607"/>
      <c r="DR12" s="607"/>
      <c r="DS12" s="607"/>
      <c r="DT12" s="607"/>
      <c r="DU12" s="684" t="s">
        <v>422</v>
      </c>
      <c r="DV12" s="684" t="s">
        <v>422</v>
      </c>
      <c r="DW12" s="684" t="s">
        <v>422</v>
      </c>
      <c r="DX12" s="684" t="s">
        <v>422</v>
      </c>
      <c r="DY12" s="684" t="s">
        <v>422</v>
      </c>
      <c r="DZ12" s="684" t="s">
        <v>422</v>
      </c>
      <c r="EA12" s="684" t="s">
        <v>422</v>
      </c>
      <c r="EB12" s="684" t="s">
        <v>422</v>
      </c>
      <c r="EC12" s="607"/>
    </row>
    <row r="13" spans="1:133" ht="25.5">
      <c r="B13" s="1023" t="s">
        <v>418</v>
      </c>
      <c r="C13" s="723"/>
      <c r="D13" s="747" t="s">
        <v>48</v>
      </c>
      <c r="E13" s="395" t="s">
        <v>423</v>
      </c>
      <c r="F13" s="396"/>
      <c r="G13" s="395" t="s">
        <v>424</v>
      </c>
      <c r="H13" s="408"/>
      <c r="I13" s="494" t="s">
        <v>70</v>
      </c>
      <c r="J13" s="494" t="s">
        <v>425</v>
      </c>
      <c r="K13" s="494" t="s">
        <v>426</v>
      </c>
      <c r="L13" s="494" t="s">
        <v>427</v>
      </c>
      <c r="M13" s="494" t="s">
        <v>428</v>
      </c>
      <c r="N13" s="494" t="s">
        <v>429</v>
      </c>
      <c r="O13" s="494" t="s">
        <v>430</v>
      </c>
      <c r="P13" s="494" t="s">
        <v>1108</v>
      </c>
      <c r="Q13" s="494" t="s">
        <v>1074</v>
      </c>
      <c r="R13" s="494" t="s">
        <v>1075</v>
      </c>
      <c r="S13" s="494" t="s">
        <v>1076</v>
      </c>
      <c r="T13" s="494" t="s">
        <v>1062</v>
      </c>
      <c r="U13" s="494" t="s">
        <v>1063</v>
      </c>
      <c r="V13" s="494" t="s">
        <v>1109</v>
      </c>
      <c r="W13" s="494" t="s">
        <v>1077</v>
      </c>
      <c r="X13" s="494" t="s">
        <v>1078</v>
      </c>
      <c r="Y13" s="494" t="s">
        <v>1079</v>
      </c>
      <c r="Z13" s="494" t="s">
        <v>1064</v>
      </c>
      <c r="AA13" s="494" t="s">
        <v>1065</v>
      </c>
      <c r="AB13" s="494" t="s">
        <v>1105</v>
      </c>
      <c r="AC13" s="494" t="s">
        <v>1099</v>
      </c>
      <c r="AD13" s="494" t="s">
        <v>1100</v>
      </c>
      <c r="AE13" s="494" t="s">
        <v>1101</v>
      </c>
      <c r="AF13" s="494" t="s">
        <v>1102</v>
      </c>
      <c r="AG13" s="494" t="s">
        <v>1103</v>
      </c>
      <c r="AH13" s="494" t="s">
        <v>1104</v>
      </c>
      <c r="AI13" s="494" t="s">
        <v>1106</v>
      </c>
      <c r="AJ13" s="494" t="s">
        <v>1098</v>
      </c>
      <c r="AK13" s="494" t="s">
        <v>1097</v>
      </c>
      <c r="AL13" s="494" t="s">
        <v>1096</v>
      </c>
      <c r="AM13" s="494" t="s">
        <v>1095</v>
      </c>
      <c r="AN13" s="494" t="s">
        <v>1094</v>
      </c>
      <c r="AO13" s="494" t="s">
        <v>1093</v>
      </c>
      <c r="AP13" s="494" t="s">
        <v>1110</v>
      </c>
      <c r="AQ13" s="494" t="s">
        <v>1080</v>
      </c>
      <c r="AR13" s="494" t="s">
        <v>1081</v>
      </c>
      <c r="AS13" s="494" t="s">
        <v>1082</v>
      </c>
      <c r="AT13" s="494" t="s">
        <v>1066</v>
      </c>
      <c r="AU13" s="494" t="s">
        <v>1067</v>
      </c>
      <c r="AV13" s="494" t="s">
        <v>1111</v>
      </c>
      <c r="AW13" s="494" t="s">
        <v>1083</v>
      </c>
      <c r="AX13" s="494" t="s">
        <v>1084</v>
      </c>
      <c r="AY13" s="494" t="s">
        <v>1085</v>
      </c>
      <c r="AZ13" s="494" t="s">
        <v>1068</v>
      </c>
      <c r="BA13" s="494" t="s">
        <v>1069</v>
      </c>
      <c r="BB13" s="494" t="s">
        <v>1107</v>
      </c>
      <c r="BC13" s="494" t="s">
        <v>1086</v>
      </c>
      <c r="BD13" s="494" t="s">
        <v>1087</v>
      </c>
      <c r="BE13" s="494" t="s">
        <v>1088</v>
      </c>
      <c r="BF13" s="494" t="s">
        <v>1089</v>
      </c>
      <c r="BG13" s="494" t="s">
        <v>1070</v>
      </c>
      <c r="BH13" s="494" t="s">
        <v>1071</v>
      </c>
      <c r="BI13" s="494" t="s">
        <v>1112</v>
      </c>
      <c r="BJ13" s="494" t="s">
        <v>1090</v>
      </c>
      <c r="BK13" s="494" t="s">
        <v>1091</v>
      </c>
      <c r="BL13" s="494" t="s">
        <v>1092</v>
      </c>
      <c r="BM13" s="494" t="s">
        <v>1072</v>
      </c>
      <c r="BN13" s="494" t="s">
        <v>1073</v>
      </c>
      <c r="BO13" s="1029" t="s">
        <v>1020</v>
      </c>
      <c r="BP13" s="1029" t="s">
        <v>1047</v>
      </c>
      <c r="BQ13" s="1029" t="s">
        <v>1025</v>
      </c>
      <c r="BR13" s="1029" t="s">
        <v>1027</v>
      </c>
      <c r="BS13" s="1029" t="s">
        <v>1021</v>
      </c>
      <c r="BT13" s="1029" t="s">
        <v>1026</v>
      </c>
      <c r="BU13" s="1029" t="s">
        <v>1022</v>
      </c>
      <c r="BV13" s="1029" t="s">
        <v>1023</v>
      </c>
      <c r="BW13" s="1029" t="s">
        <v>1024</v>
      </c>
      <c r="BX13" s="1029" t="s">
        <v>1028</v>
      </c>
      <c r="BY13" s="1029" t="s">
        <v>1029</v>
      </c>
      <c r="BZ13" s="1029" t="s">
        <v>1030</v>
      </c>
      <c r="CA13" s="1029" t="s">
        <v>1031</v>
      </c>
      <c r="CB13" s="1029" t="s">
        <v>1032</v>
      </c>
      <c r="CC13" s="1029" t="s">
        <v>1033</v>
      </c>
      <c r="CD13" s="1029" t="s">
        <v>1034</v>
      </c>
      <c r="CE13" s="1029" t="s">
        <v>1035</v>
      </c>
      <c r="CF13" s="1029" t="s">
        <v>1036</v>
      </c>
      <c r="CG13" s="1029" t="s">
        <v>1037</v>
      </c>
      <c r="CH13" s="1029" t="s">
        <v>1038</v>
      </c>
      <c r="CI13" s="1029" t="s">
        <v>1048</v>
      </c>
      <c r="CJ13" s="1029" t="s">
        <v>1039</v>
      </c>
      <c r="CK13" s="1029" t="s">
        <v>1049</v>
      </c>
      <c r="CL13" s="1029" t="s">
        <v>1040</v>
      </c>
      <c r="CM13" s="1029" t="s">
        <v>1041</v>
      </c>
      <c r="CN13" s="1029" t="s">
        <v>1042</v>
      </c>
      <c r="CO13" s="1029" t="s">
        <v>1043</v>
      </c>
      <c r="CP13" s="1029" t="s">
        <v>1044</v>
      </c>
      <c r="CQ13" s="1029" t="s">
        <v>1045</v>
      </c>
      <c r="CR13" s="1029" t="s">
        <v>1046</v>
      </c>
      <c r="CS13" s="494" t="s">
        <v>431</v>
      </c>
      <c r="CT13" s="494" t="s">
        <v>432</v>
      </c>
      <c r="CU13" s="494" t="s">
        <v>433</v>
      </c>
      <c r="CV13" s="494" t="s">
        <v>434</v>
      </c>
      <c r="CW13" s="494" t="s">
        <v>435</v>
      </c>
      <c r="CX13" s="494" t="s">
        <v>436</v>
      </c>
      <c r="CY13" s="494" t="s">
        <v>437</v>
      </c>
      <c r="CZ13" s="494" t="s">
        <v>438</v>
      </c>
      <c r="DA13" s="494" t="s">
        <v>439</v>
      </c>
      <c r="DB13" s="494" t="s">
        <v>440</v>
      </c>
      <c r="DC13" s="494" t="s">
        <v>441</v>
      </c>
      <c r="DD13" s="494" t="s">
        <v>442</v>
      </c>
      <c r="DE13" s="494" t="s">
        <v>443</v>
      </c>
      <c r="DF13" s="494" t="s">
        <v>444</v>
      </c>
      <c r="DG13" s="494" t="s">
        <v>445</v>
      </c>
      <c r="DH13" s="494" t="s">
        <v>446</v>
      </c>
      <c r="DI13" s="494" t="s">
        <v>447</v>
      </c>
      <c r="DJ13" s="494" t="s">
        <v>448</v>
      </c>
      <c r="DK13" s="494" t="s">
        <v>449</v>
      </c>
      <c r="DL13" s="494" t="s">
        <v>450</v>
      </c>
      <c r="DM13" s="494" t="s">
        <v>451</v>
      </c>
      <c r="DN13" s="494" t="s">
        <v>452</v>
      </c>
      <c r="DO13" s="494" t="s">
        <v>453</v>
      </c>
      <c r="DP13" s="494" t="s">
        <v>454</v>
      </c>
      <c r="DQ13" s="494" t="s">
        <v>455</v>
      </c>
      <c r="DR13" s="494" t="s">
        <v>456</v>
      </c>
      <c r="DS13" s="494" t="s">
        <v>457</v>
      </c>
      <c r="DT13" s="494" t="s">
        <v>458</v>
      </c>
      <c r="DU13" s="1035"/>
      <c r="DV13" s="557"/>
      <c r="DW13" s="557"/>
      <c r="DX13" s="557"/>
      <c r="DY13" s="557"/>
      <c r="DZ13" s="557"/>
      <c r="EA13" s="557"/>
      <c r="EB13" s="557"/>
      <c r="EC13" s="408"/>
    </row>
    <row r="14" spans="1:133">
      <c r="B14" s="1023" t="s">
        <v>418</v>
      </c>
      <c r="C14" s="723"/>
      <c r="D14" s="999"/>
      <c r="E14" s="395" t="s">
        <v>122</v>
      </c>
      <c r="F14" s="396"/>
      <c r="G14" s="395" t="s">
        <v>459</v>
      </c>
      <c r="H14" s="408"/>
      <c r="I14" s="494" t="s">
        <v>460</v>
      </c>
      <c r="J14" s="494" t="s">
        <v>460</v>
      </c>
      <c r="K14" s="494" t="s">
        <v>460</v>
      </c>
      <c r="L14" s="494" t="s">
        <v>460</v>
      </c>
      <c r="M14" s="494" t="s">
        <v>460</v>
      </c>
      <c r="N14" s="494" t="s">
        <v>461</v>
      </c>
      <c r="O14" s="494" t="s">
        <v>461</v>
      </c>
      <c r="P14" s="494" t="s">
        <v>460</v>
      </c>
      <c r="Q14" s="494" t="s">
        <v>460</v>
      </c>
      <c r="R14" s="494" t="s">
        <v>460</v>
      </c>
      <c r="S14" s="494" t="s">
        <v>460</v>
      </c>
      <c r="T14" s="494" t="s">
        <v>460</v>
      </c>
      <c r="U14" s="494" t="s">
        <v>460</v>
      </c>
      <c r="V14" s="494" t="s">
        <v>460</v>
      </c>
      <c r="W14" s="494" t="s">
        <v>460</v>
      </c>
      <c r="X14" s="494" t="s">
        <v>460</v>
      </c>
      <c r="Y14" s="494" t="s">
        <v>460</v>
      </c>
      <c r="Z14" s="494" t="s">
        <v>460</v>
      </c>
      <c r="AA14" s="494" t="s">
        <v>460</v>
      </c>
      <c r="AB14" s="494" t="s">
        <v>460</v>
      </c>
      <c r="AC14" s="494" t="s">
        <v>460</v>
      </c>
      <c r="AD14" s="494" t="s">
        <v>460</v>
      </c>
      <c r="AE14" s="494" t="s">
        <v>460</v>
      </c>
      <c r="AF14" s="494" t="s">
        <v>460</v>
      </c>
      <c r="AG14" s="494" t="s">
        <v>460</v>
      </c>
      <c r="AH14" s="494" t="s">
        <v>460</v>
      </c>
      <c r="AI14" s="494" t="s">
        <v>460</v>
      </c>
      <c r="AJ14" s="494" t="s">
        <v>460</v>
      </c>
      <c r="AK14" s="494" t="s">
        <v>460</v>
      </c>
      <c r="AL14" s="494" t="s">
        <v>460</v>
      </c>
      <c r="AM14" s="494" t="s">
        <v>460</v>
      </c>
      <c r="AN14" s="494" t="s">
        <v>460</v>
      </c>
      <c r="AO14" s="494" t="s">
        <v>460</v>
      </c>
      <c r="AP14" s="494" t="s">
        <v>461</v>
      </c>
      <c r="AQ14" s="494" t="s">
        <v>461</v>
      </c>
      <c r="AR14" s="494" t="s">
        <v>461</v>
      </c>
      <c r="AS14" s="494" t="s">
        <v>461</v>
      </c>
      <c r="AT14" s="494" t="s">
        <v>461</v>
      </c>
      <c r="AU14" s="494" t="s">
        <v>461</v>
      </c>
      <c r="AV14" s="494" t="s">
        <v>461</v>
      </c>
      <c r="AW14" s="494" t="s">
        <v>461</v>
      </c>
      <c r="AX14" s="494" t="s">
        <v>461</v>
      </c>
      <c r="AY14" s="494" t="s">
        <v>461</v>
      </c>
      <c r="AZ14" s="494" t="s">
        <v>461</v>
      </c>
      <c r="BA14" s="494" t="s">
        <v>461</v>
      </c>
      <c r="BB14" s="494" t="s">
        <v>461</v>
      </c>
      <c r="BC14" s="494" t="s">
        <v>461</v>
      </c>
      <c r="BD14" s="494" t="s">
        <v>461</v>
      </c>
      <c r="BE14" s="494" t="s">
        <v>461</v>
      </c>
      <c r="BF14" s="494" t="s">
        <v>461</v>
      </c>
      <c r="BG14" s="494" t="s">
        <v>461</v>
      </c>
      <c r="BH14" s="494" t="s">
        <v>461</v>
      </c>
      <c r="BI14" s="494" t="s">
        <v>461</v>
      </c>
      <c r="BJ14" s="494" t="s">
        <v>461</v>
      </c>
      <c r="BK14" s="494" t="s">
        <v>461</v>
      </c>
      <c r="BL14" s="494" t="s">
        <v>461</v>
      </c>
      <c r="BM14" s="494" t="s">
        <v>461</v>
      </c>
      <c r="BN14" s="494" t="s">
        <v>461</v>
      </c>
      <c r="BO14" s="1029" t="s">
        <v>462</v>
      </c>
      <c r="BP14" s="1029" t="s">
        <v>462</v>
      </c>
      <c r="BQ14" s="1029" t="s">
        <v>462</v>
      </c>
      <c r="BR14" s="1029" t="s">
        <v>466</v>
      </c>
      <c r="BS14" s="1029" t="s">
        <v>466</v>
      </c>
      <c r="BT14" s="1029" t="s">
        <v>466</v>
      </c>
      <c r="BU14" s="1029" t="s">
        <v>465</v>
      </c>
      <c r="BV14" s="1029" t="s">
        <v>465</v>
      </c>
      <c r="BW14" s="1029" t="s">
        <v>465</v>
      </c>
      <c r="BX14" s="1029" t="s">
        <v>464</v>
      </c>
      <c r="BY14" s="1029" t="s">
        <v>464</v>
      </c>
      <c r="BZ14" s="1029" t="s">
        <v>464</v>
      </c>
      <c r="CA14" s="1029" t="s">
        <v>1127</v>
      </c>
      <c r="CB14" s="1029" t="s">
        <v>1127</v>
      </c>
      <c r="CC14" s="1029" t="s">
        <v>1127</v>
      </c>
      <c r="CD14" s="1029" t="s">
        <v>1129</v>
      </c>
      <c r="CE14" s="1029" t="s">
        <v>1129</v>
      </c>
      <c r="CF14" s="1029" t="s">
        <v>1131</v>
      </c>
      <c r="CG14" s="1029" t="s">
        <v>1131</v>
      </c>
      <c r="CH14" s="1029" t="s">
        <v>1131</v>
      </c>
      <c r="CI14" s="1029" t="s">
        <v>1130</v>
      </c>
      <c r="CJ14" s="1029" t="s">
        <v>1130</v>
      </c>
      <c r="CK14" s="1029" t="s">
        <v>1130</v>
      </c>
      <c r="CL14" s="1029" t="s">
        <v>1128</v>
      </c>
      <c r="CM14" s="1029" t="s">
        <v>1128</v>
      </c>
      <c r="CN14" s="1029" t="s">
        <v>1128</v>
      </c>
      <c r="CO14" s="1029" t="s">
        <v>463</v>
      </c>
      <c r="CP14" s="1029" t="s">
        <v>463</v>
      </c>
      <c r="CQ14" s="1029" t="s">
        <v>463</v>
      </c>
      <c r="CR14" s="1029" t="s">
        <v>463</v>
      </c>
      <c r="CS14" s="494" t="s">
        <v>1127</v>
      </c>
      <c r="CT14" s="494" t="s">
        <v>1127</v>
      </c>
      <c r="CU14" s="494" t="s">
        <v>1127</v>
      </c>
      <c r="CV14" s="494" t="s">
        <v>1127</v>
      </c>
      <c r="CW14" s="494" t="s">
        <v>1129</v>
      </c>
      <c r="CX14" s="494" t="s">
        <v>1129</v>
      </c>
      <c r="CY14" s="494" t="s">
        <v>1129</v>
      </c>
      <c r="CZ14" s="494" t="s">
        <v>1130</v>
      </c>
      <c r="DA14" s="494" t="s">
        <v>1130</v>
      </c>
      <c r="DB14" s="494" t="s">
        <v>1131</v>
      </c>
      <c r="DC14" s="494" t="s">
        <v>462</v>
      </c>
      <c r="DD14" s="494" t="s">
        <v>462</v>
      </c>
      <c r="DE14" s="494" t="s">
        <v>462</v>
      </c>
      <c r="DF14" s="494" t="s">
        <v>462</v>
      </c>
      <c r="DG14" s="494" t="s">
        <v>462</v>
      </c>
      <c r="DH14" s="494" t="s">
        <v>462</v>
      </c>
      <c r="DI14" s="494" t="s">
        <v>463</v>
      </c>
      <c r="DJ14" s="494" t="s">
        <v>464</v>
      </c>
      <c r="DK14" s="494" t="s">
        <v>464</v>
      </c>
      <c r="DL14" s="494" t="s">
        <v>464</v>
      </c>
      <c r="DM14" s="494" t="s">
        <v>464</v>
      </c>
      <c r="DN14" s="494" t="s">
        <v>464</v>
      </c>
      <c r="DO14" s="494" t="s">
        <v>465</v>
      </c>
      <c r="DP14" s="494" t="s">
        <v>465</v>
      </c>
      <c r="DQ14" s="494" t="s">
        <v>466</v>
      </c>
      <c r="DR14" s="494" t="s">
        <v>466</v>
      </c>
      <c r="DS14" s="494" t="s">
        <v>466</v>
      </c>
      <c r="DT14" s="494" t="s">
        <v>466</v>
      </c>
      <c r="DU14" s="463"/>
      <c r="DV14" s="463"/>
      <c r="DW14" s="558"/>
      <c r="DX14" s="558"/>
      <c r="DY14" s="558"/>
      <c r="DZ14" s="558"/>
      <c r="EA14" s="558"/>
      <c r="EB14" s="558"/>
      <c r="EC14" s="408"/>
    </row>
    <row r="15" spans="1:133">
      <c r="B15" s="1023" t="s">
        <v>418</v>
      </c>
      <c r="C15" s="723"/>
      <c r="D15" s="999"/>
      <c r="E15" s="395" t="s">
        <v>467</v>
      </c>
      <c r="F15" s="396"/>
      <c r="G15" s="395" t="s">
        <v>468</v>
      </c>
      <c r="H15" s="408"/>
      <c r="I15" s="705">
        <v>0</v>
      </c>
      <c r="J15" s="705">
        <v>0</v>
      </c>
      <c r="K15" s="705">
        <v>0</v>
      </c>
      <c r="L15" s="705">
        <v>0</v>
      </c>
      <c r="M15" s="705">
        <v>0</v>
      </c>
      <c r="N15" s="705">
        <v>1</v>
      </c>
      <c r="O15" s="705">
        <v>1</v>
      </c>
      <c r="P15" s="705">
        <v>0</v>
      </c>
      <c r="Q15" s="705">
        <v>0</v>
      </c>
      <c r="R15" s="705">
        <v>0</v>
      </c>
      <c r="S15" s="705">
        <v>0</v>
      </c>
      <c r="T15" s="705">
        <v>0</v>
      </c>
      <c r="U15" s="705">
        <v>0</v>
      </c>
      <c r="V15" s="705">
        <v>0</v>
      </c>
      <c r="W15" s="705">
        <v>0</v>
      </c>
      <c r="X15" s="705">
        <v>0</v>
      </c>
      <c r="Y15" s="705">
        <v>0</v>
      </c>
      <c r="Z15" s="705">
        <v>0</v>
      </c>
      <c r="AA15" s="705">
        <v>0</v>
      </c>
      <c r="AB15" s="705">
        <v>0</v>
      </c>
      <c r="AC15" s="705">
        <v>0</v>
      </c>
      <c r="AD15" s="705">
        <v>0</v>
      </c>
      <c r="AE15" s="705">
        <v>0</v>
      </c>
      <c r="AF15" s="705">
        <v>0</v>
      </c>
      <c r="AG15" s="705">
        <v>0</v>
      </c>
      <c r="AH15" s="705">
        <v>0</v>
      </c>
      <c r="AI15" s="705">
        <v>0</v>
      </c>
      <c r="AJ15" s="705">
        <v>0</v>
      </c>
      <c r="AK15" s="705">
        <v>0</v>
      </c>
      <c r="AL15" s="705">
        <v>0</v>
      </c>
      <c r="AM15" s="705">
        <v>0</v>
      </c>
      <c r="AN15" s="705">
        <v>0</v>
      </c>
      <c r="AO15" s="705">
        <v>0</v>
      </c>
      <c r="AP15" s="705">
        <v>1</v>
      </c>
      <c r="AQ15" s="705">
        <v>1</v>
      </c>
      <c r="AR15" s="705">
        <v>1</v>
      </c>
      <c r="AS15" s="705">
        <v>1</v>
      </c>
      <c r="AT15" s="705">
        <v>1</v>
      </c>
      <c r="AU15" s="705">
        <v>1</v>
      </c>
      <c r="AV15" s="705">
        <v>1</v>
      </c>
      <c r="AW15" s="705">
        <v>1</v>
      </c>
      <c r="AX15" s="705">
        <v>1</v>
      </c>
      <c r="AY15" s="705">
        <v>1</v>
      </c>
      <c r="AZ15" s="705">
        <v>1</v>
      </c>
      <c r="BA15" s="705">
        <v>1</v>
      </c>
      <c r="BB15" s="705">
        <v>1</v>
      </c>
      <c r="BC15" s="705">
        <v>1</v>
      </c>
      <c r="BD15" s="705">
        <v>1</v>
      </c>
      <c r="BE15" s="705">
        <v>1</v>
      </c>
      <c r="BF15" s="705">
        <v>1</v>
      </c>
      <c r="BG15" s="705">
        <v>1</v>
      </c>
      <c r="BH15" s="705">
        <v>1</v>
      </c>
      <c r="BI15" s="705">
        <v>1</v>
      </c>
      <c r="BJ15" s="705">
        <v>1</v>
      </c>
      <c r="BK15" s="705">
        <v>1</v>
      </c>
      <c r="BL15" s="705">
        <v>1</v>
      </c>
      <c r="BM15" s="705">
        <v>1</v>
      </c>
      <c r="BN15" s="705">
        <v>1</v>
      </c>
      <c r="BO15" s="1030">
        <v>1</v>
      </c>
      <c r="BP15" s="1030">
        <v>1</v>
      </c>
      <c r="BQ15" s="1030">
        <v>1</v>
      </c>
      <c r="BR15" s="1030">
        <v>1</v>
      </c>
      <c r="BS15" s="1030">
        <v>1</v>
      </c>
      <c r="BT15" s="1030">
        <v>1</v>
      </c>
      <c r="BU15" s="1030">
        <v>1</v>
      </c>
      <c r="BV15" s="1030">
        <v>1</v>
      </c>
      <c r="BW15" s="1030">
        <v>1</v>
      </c>
      <c r="BX15" s="1030">
        <v>1</v>
      </c>
      <c r="BY15" s="1030">
        <v>1</v>
      </c>
      <c r="BZ15" s="1030">
        <v>1</v>
      </c>
      <c r="CA15" s="1030">
        <v>1</v>
      </c>
      <c r="CB15" s="1030">
        <v>1</v>
      </c>
      <c r="CC15" s="1030">
        <v>1</v>
      </c>
      <c r="CD15" s="1030">
        <v>1</v>
      </c>
      <c r="CE15" s="1030">
        <v>1</v>
      </c>
      <c r="CF15" s="1030">
        <v>1</v>
      </c>
      <c r="CG15" s="1030">
        <v>1</v>
      </c>
      <c r="CH15" s="1030">
        <v>1</v>
      </c>
      <c r="CI15" s="1030">
        <v>1</v>
      </c>
      <c r="CJ15" s="1030">
        <v>1</v>
      </c>
      <c r="CK15" s="1030">
        <v>1</v>
      </c>
      <c r="CL15" s="1030">
        <v>1</v>
      </c>
      <c r="CM15" s="1030">
        <v>1</v>
      </c>
      <c r="CN15" s="1030">
        <v>1</v>
      </c>
      <c r="CO15" s="1030">
        <v>1</v>
      </c>
      <c r="CP15" s="1030">
        <v>1</v>
      </c>
      <c r="CQ15" s="1030">
        <v>1</v>
      </c>
      <c r="CR15" s="1030">
        <v>1</v>
      </c>
      <c r="CS15" s="705">
        <v>0</v>
      </c>
      <c r="CT15" s="705">
        <v>1</v>
      </c>
      <c r="CU15" s="705">
        <v>1</v>
      </c>
      <c r="CV15" s="705">
        <v>1</v>
      </c>
      <c r="CW15" s="705">
        <v>0</v>
      </c>
      <c r="CX15" s="705">
        <v>0</v>
      </c>
      <c r="CY15" s="705">
        <v>0</v>
      </c>
      <c r="CZ15" s="705">
        <v>1</v>
      </c>
      <c r="DA15" s="705">
        <v>1</v>
      </c>
      <c r="DB15" s="705">
        <v>0</v>
      </c>
      <c r="DC15" s="705">
        <v>0</v>
      </c>
      <c r="DD15" s="705">
        <v>0</v>
      </c>
      <c r="DE15" s="705">
        <v>0</v>
      </c>
      <c r="DF15" s="705">
        <v>1</v>
      </c>
      <c r="DG15" s="705">
        <v>1</v>
      </c>
      <c r="DH15" s="705">
        <v>1</v>
      </c>
      <c r="DI15" s="705">
        <v>1</v>
      </c>
      <c r="DJ15" s="705">
        <v>0</v>
      </c>
      <c r="DK15" s="705">
        <v>0</v>
      </c>
      <c r="DL15" s="705">
        <v>1</v>
      </c>
      <c r="DM15" s="705">
        <v>1</v>
      </c>
      <c r="DN15" s="705">
        <v>1</v>
      </c>
      <c r="DO15" s="705">
        <v>1</v>
      </c>
      <c r="DP15" s="705">
        <v>1</v>
      </c>
      <c r="DQ15" s="705">
        <v>0</v>
      </c>
      <c r="DR15" s="705">
        <v>0</v>
      </c>
      <c r="DS15" s="705">
        <v>0</v>
      </c>
      <c r="DT15" s="705">
        <v>1</v>
      </c>
      <c r="DU15" s="1036"/>
      <c r="DV15" s="1037"/>
      <c r="DW15" s="1037"/>
      <c r="DX15" s="1037"/>
      <c r="DY15" s="1037"/>
      <c r="DZ15" s="1037"/>
      <c r="EA15" s="1037"/>
      <c r="EB15" s="1037"/>
      <c r="EC15" s="408"/>
    </row>
    <row r="16" spans="1:133">
      <c r="B16" s="1023" t="s">
        <v>418</v>
      </c>
      <c r="C16" s="723"/>
      <c r="D16" s="999"/>
      <c r="E16" s="495" t="s">
        <v>78</v>
      </c>
      <c r="F16" s="496"/>
      <c r="G16" s="395" t="s">
        <v>469</v>
      </c>
      <c r="H16" s="408"/>
      <c r="I16" s="407">
        <v>180.72</v>
      </c>
      <c r="J16" s="407">
        <v>133.32</v>
      </c>
      <c r="K16" s="407">
        <v>94.44</v>
      </c>
      <c r="L16" s="407">
        <v>110.07</v>
      </c>
      <c r="M16" s="407">
        <v>87.1</v>
      </c>
      <c r="N16" s="407">
        <v>36.709850993377479</v>
      </c>
      <c r="O16" s="407">
        <v>97.875757575757589</v>
      </c>
      <c r="P16" s="407">
        <v>173.61</v>
      </c>
      <c r="Q16" s="407">
        <v>175.18</v>
      </c>
      <c r="R16" s="407">
        <v>167.43</v>
      </c>
      <c r="S16" s="407">
        <v>190.82</v>
      </c>
      <c r="T16" s="407">
        <v>211.2</v>
      </c>
      <c r="U16" s="407">
        <v>224.46</v>
      </c>
      <c r="V16" s="407">
        <v>122.07</v>
      </c>
      <c r="W16" s="407">
        <v>135.15</v>
      </c>
      <c r="X16" s="407">
        <v>135.02000000000001</v>
      </c>
      <c r="Y16" s="407">
        <v>142.93</v>
      </c>
      <c r="Z16" s="407">
        <v>153.47</v>
      </c>
      <c r="AA16" s="407">
        <v>133.93</v>
      </c>
      <c r="AB16" s="407">
        <v>129</v>
      </c>
      <c r="AC16" s="407">
        <v>104.39</v>
      </c>
      <c r="AD16" s="407">
        <v>115.61</v>
      </c>
      <c r="AE16" s="407">
        <v>112.82</v>
      </c>
      <c r="AF16" s="407">
        <v>128.79</v>
      </c>
      <c r="AG16" s="407">
        <v>138.44</v>
      </c>
      <c r="AH16" s="407">
        <v>132.91999999999999</v>
      </c>
      <c r="AI16" s="407">
        <v>114.74</v>
      </c>
      <c r="AJ16" s="407">
        <v>102.04</v>
      </c>
      <c r="AK16" s="407">
        <v>113.83</v>
      </c>
      <c r="AL16" s="407">
        <v>114.65</v>
      </c>
      <c r="AM16" s="407">
        <v>123.6</v>
      </c>
      <c r="AN16" s="407">
        <v>130.75</v>
      </c>
      <c r="AO16" s="407">
        <v>118.78</v>
      </c>
      <c r="AP16" s="407">
        <v>105.15</v>
      </c>
      <c r="AQ16" s="407">
        <v>81.22</v>
      </c>
      <c r="AR16" s="407">
        <v>85.99</v>
      </c>
      <c r="AS16" s="407">
        <v>101.6</v>
      </c>
      <c r="AT16" s="407">
        <v>123.4</v>
      </c>
      <c r="AU16" s="407">
        <v>123.4</v>
      </c>
      <c r="AV16" s="407">
        <v>70.739999999999995</v>
      </c>
      <c r="AW16" s="407">
        <v>80.36</v>
      </c>
      <c r="AX16" s="407">
        <v>68.430000000000007</v>
      </c>
      <c r="AY16" s="407">
        <v>72.86</v>
      </c>
      <c r="AZ16" s="407">
        <v>86.19</v>
      </c>
      <c r="BA16" s="407">
        <v>65.75</v>
      </c>
      <c r="BB16" s="407">
        <v>63.54</v>
      </c>
      <c r="BC16" s="407">
        <v>65.09</v>
      </c>
      <c r="BD16" s="407">
        <v>78.400000000000006</v>
      </c>
      <c r="BE16" s="407">
        <v>64.58</v>
      </c>
      <c r="BF16" s="407">
        <v>86.01</v>
      </c>
      <c r="BG16" s="407">
        <v>73.14</v>
      </c>
      <c r="BH16" s="407">
        <v>28.23</v>
      </c>
      <c r="BI16" s="407">
        <v>64.97</v>
      </c>
      <c r="BJ16" s="407">
        <v>82.3</v>
      </c>
      <c r="BK16" s="407">
        <v>67.7</v>
      </c>
      <c r="BL16" s="407">
        <v>94.11</v>
      </c>
      <c r="BM16" s="407">
        <v>73.97</v>
      </c>
      <c r="BN16" s="407">
        <v>69.930000000000007</v>
      </c>
      <c r="BO16" s="1031">
        <v>297.8</v>
      </c>
      <c r="BP16" s="1031">
        <v>2741</v>
      </c>
      <c r="BQ16" s="1031">
        <v>9456</v>
      </c>
      <c r="BR16" s="1031">
        <v>176.12</v>
      </c>
      <c r="BS16" s="1031">
        <v>1283.5999999999999</v>
      </c>
      <c r="BT16" s="1031">
        <v>6967</v>
      </c>
      <c r="BU16" s="1031">
        <v>409.7</v>
      </c>
      <c r="BV16" s="1031">
        <v>1181.7</v>
      </c>
      <c r="BW16" s="1031">
        <v>3336.6</v>
      </c>
      <c r="BX16" s="1031">
        <v>918.89</v>
      </c>
      <c r="BY16" s="1031">
        <v>3464</v>
      </c>
      <c r="BZ16" s="1031">
        <v>8624.5</v>
      </c>
      <c r="CA16" s="1031">
        <v>179.9</v>
      </c>
      <c r="CB16" s="1031">
        <v>712.2</v>
      </c>
      <c r="CC16" s="1031">
        <v>4340.9399999999996</v>
      </c>
      <c r="CD16" s="1031">
        <v>298.33999999999997</v>
      </c>
      <c r="CE16" s="1031">
        <v>940</v>
      </c>
      <c r="CF16" s="1031">
        <v>325.27</v>
      </c>
      <c r="CG16" s="1031">
        <v>2148.6999999999998</v>
      </c>
      <c r="CH16" s="1031">
        <v>8076.85</v>
      </c>
      <c r="CI16" s="1031">
        <v>469.56</v>
      </c>
      <c r="CJ16" s="1031">
        <v>3353.15</v>
      </c>
      <c r="CK16" s="1031">
        <v>19657.400000000001</v>
      </c>
      <c r="CL16" s="1031">
        <v>1999.52</v>
      </c>
      <c r="CM16" s="1031">
        <v>10894.08</v>
      </c>
      <c r="CN16" s="1031">
        <v>24218.560000000001</v>
      </c>
      <c r="CO16" s="1031">
        <v>580.70000000000005</v>
      </c>
      <c r="CP16" s="1031">
        <v>2757.01</v>
      </c>
      <c r="CQ16" s="1031">
        <v>9295.2000000000007</v>
      </c>
      <c r="CR16" s="1031">
        <v>80.38</v>
      </c>
      <c r="CS16" s="407">
        <v>1814.9799999999998</v>
      </c>
      <c r="CT16" s="407">
        <v>2392.92</v>
      </c>
      <c r="CU16" s="407">
        <v>5036</v>
      </c>
      <c r="CV16" s="407">
        <v>10811.93</v>
      </c>
      <c r="CW16" s="407">
        <v>82.7</v>
      </c>
      <c r="CX16" s="407">
        <v>158.08999999999997</v>
      </c>
      <c r="CY16" s="407">
        <v>1814.9799999999998</v>
      </c>
      <c r="CZ16" s="407">
        <v>5704.88</v>
      </c>
      <c r="DA16" s="407">
        <v>35207.519999999997</v>
      </c>
      <c r="DB16" s="407">
        <v>877.48</v>
      </c>
      <c r="DC16" s="407">
        <v>82.7</v>
      </c>
      <c r="DD16" s="407">
        <v>158.08999999999997</v>
      </c>
      <c r="DE16" s="407">
        <v>1680.46</v>
      </c>
      <c r="DF16" s="407">
        <v>4383</v>
      </c>
      <c r="DG16" s="407">
        <v>24631.52</v>
      </c>
      <c r="DH16" s="407">
        <v>24436.33</v>
      </c>
      <c r="DI16" s="407">
        <v>3792.4500000000003</v>
      </c>
      <c r="DJ16" s="407">
        <v>158.08999999999997</v>
      </c>
      <c r="DK16" s="407">
        <v>2360</v>
      </c>
      <c r="DL16" s="407">
        <v>3833</v>
      </c>
      <c r="DM16" s="407">
        <v>8511.6</v>
      </c>
      <c r="DN16" s="407">
        <v>15729</v>
      </c>
      <c r="DO16" s="407">
        <v>3154.25</v>
      </c>
      <c r="DP16" s="407">
        <v>8714.7799999999988</v>
      </c>
      <c r="DQ16" s="407">
        <v>82.7</v>
      </c>
      <c r="DR16" s="407">
        <v>158.08999999999997</v>
      </c>
      <c r="DS16" s="407">
        <v>1553.2399999999998</v>
      </c>
      <c r="DT16" s="407">
        <v>23023.339999999997</v>
      </c>
      <c r="DU16" s="559"/>
      <c r="DV16" s="380"/>
      <c r="DW16" s="380"/>
      <c r="DX16" s="380"/>
      <c r="DY16" s="380"/>
      <c r="DZ16" s="380"/>
      <c r="EA16" s="380"/>
      <c r="EB16" s="380"/>
      <c r="EC16" s="497"/>
    </row>
    <row r="17" spans="2:133">
      <c r="B17" s="1023" t="s">
        <v>418</v>
      </c>
      <c r="C17" s="723"/>
      <c r="D17" s="999"/>
      <c r="E17" s="495" t="s">
        <v>1018</v>
      </c>
      <c r="F17" s="496"/>
      <c r="G17" s="395" t="s">
        <v>68</v>
      </c>
      <c r="H17" s="408"/>
      <c r="I17" s="407" t="s">
        <v>1019</v>
      </c>
      <c r="J17" s="407" t="s">
        <v>1019</v>
      </c>
      <c r="K17" s="407" t="s">
        <v>1019</v>
      </c>
      <c r="L17" s="407" t="s">
        <v>1019</v>
      </c>
      <c r="M17" s="407" t="s">
        <v>1019</v>
      </c>
      <c r="N17" s="407" t="s">
        <v>1019</v>
      </c>
      <c r="O17" s="407" t="s">
        <v>1019</v>
      </c>
      <c r="P17" s="407" t="s">
        <v>498</v>
      </c>
      <c r="Q17" s="407" t="s">
        <v>497</v>
      </c>
      <c r="R17" s="407" t="s">
        <v>496</v>
      </c>
      <c r="S17" s="407" t="s">
        <v>495</v>
      </c>
      <c r="T17" s="407" t="s">
        <v>1019</v>
      </c>
      <c r="U17" s="407" t="s">
        <v>1051</v>
      </c>
      <c r="V17" s="407" t="s">
        <v>498</v>
      </c>
      <c r="W17" s="407" t="s">
        <v>497</v>
      </c>
      <c r="X17" s="407" t="s">
        <v>496</v>
      </c>
      <c r="Y17" s="407" t="s">
        <v>495</v>
      </c>
      <c r="Z17" s="407" t="s">
        <v>1019</v>
      </c>
      <c r="AA17" s="407" t="s">
        <v>1051</v>
      </c>
      <c r="AB17" s="407" t="s">
        <v>498</v>
      </c>
      <c r="AC17" s="407" t="s">
        <v>498</v>
      </c>
      <c r="AD17" s="407" t="s">
        <v>497</v>
      </c>
      <c r="AE17" s="407" t="s">
        <v>496</v>
      </c>
      <c r="AF17" s="407" t="s">
        <v>495</v>
      </c>
      <c r="AG17" s="407" t="s">
        <v>1019</v>
      </c>
      <c r="AH17" s="407" t="s">
        <v>1051</v>
      </c>
      <c r="AI17" s="407" t="s">
        <v>498</v>
      </c>
      <c r="AJ17" s="407" t="s">
        <v>498</v>
      </c>
      <c r="AK17" s="407" t="s">
        <v>497</v>
      </c>
      <c r="AL17" s="407" t="s">
        <v>496</v>
      </c>
      <c r="AM17" s="407" t="s">
        <v>495</v>
      </c>
      <c r="AN17" s="407" t="s">
        <v>1019</v>
      </c>
      <c r="AO17" s="407" t="s">
        <v>1051</v>
      </c>
      <c r="AP17" s="407" t="s">
        <v>498</v>
      </c>
      <c r="AQ17" s="407" t="s">
        <v>497</v>
      </c>
      <c r="AR17" s="407" t="s">
        <v>496</v>
      </c>
      <c r="AS17" s="407" t="s">
        <v>495</v>
      </c>
      <c r="AT17" s="407" t="s">
        <v>1019</v>
      </c>
      <c r="AU17" s="407" t="s">
        <v>1051</v>
      </c>
      <c r="AV17" s="407" t="s">
        <v>498</v>
      </c>
      <c r="AW17" s="407" t="s">
        <v>497</v>
      </c>
      <c r="AX17" s="407" t="s">
        <v>496</v>
      </c>
      <c r="AY17" s="407" t="s">
        <v>495</v>
      </c>
      <c r="AZ17" s="407" t="s">
        <v>1019</v>
      </c>
      <c r="BA17" s="407" t="s">
        <v>1051</v>
      </c>
      <c r="BB17" s="407" t="s">
        <v>498</v>
      </c>
      <c r="BC17" s="407" t="s">
        <v>498</v>
      </c>
      <c r="BD17" s="407" t="s">
        <v>497</v>
      </c>
      <c r="BE17" s="407" t="s">
        <v>496</v>
      </c>
      <c r="BF17" s="407" t="s">
        <v>495</v>
      </c>
      <c r="BG17" s="407" t="s">
        <v>1019</v>
      </c>
      <c r="BH17" s="407" t="s">
        <v>1051</v>
      </c>
      <c r="BI17" s="407" t="s">
        <v>498</v>
      </c>
      <c r="BJ17" s="407" t="s">
        <v>497</v>
      </c>
      <c r="BK17" s="407" t="s">
        <v>496</v>
      </c>
      <c r="BL17" s="407" t="s">
        <v>495</v>
      </c>
      <c r="BM17" s="407" t="s">
        <v>1019</v>
      </c>
      <c r="BN17" s="407" t="s">
        <v>1051</v>
      </c>
      <c r="BO17" s="1031" t="s">
        <v>495</v>
      </c>
      <c r="BP17" s="1031" t="s">
        <v>495</v>
      </c>
      <c r="BQ17" s="1031" t="s">
        <v>495</v>
      </c>
      <c r="BR17" s="1031" t="s">
        <v>495</v>
      </c>
      <c r="BS17" s="1031" t="s">
        <v>495</v>
      </c>
      <c r="BT17" s="1031" t="s">
        <v>495</v>
      </c>
      <c r="BU17" s="1031" t="s">
        <v>495</v>
      </c>
      <c r="BV17" s="1031" t="s">
        <v>495</v>
      </c>
      <c r="BW17" s="1031" t="s">
        <v>495</v>
      </c>
      <c r="BX17" s="1031" t="s">
        <v>495</v>
      </c>
      <c r="BY17" s="1031" t="s">
        <v>495</v>
      </c>
      <c r="BZ17" s="1031" t="s">
        <v>495</v>
      </c>
      <c r="CA17" s="1031" t="s">
        <v>495</v>
      </c>
      <c r="CB17" s="1031" t="s">
        <v>495</v>
      </c>
      <c r="CC17" s="1031" t="s">
        <v>495</v>
      </c>
      <c r="CD17" s="1031" t="s">
        <v>495</v>
      </c>
      <c r="CE17" s="1031" t="s">
        <v>495</v>
      </c>
      <c r="CF17" s="1031" t="s">
        <v>495</v>
      </c>
      <c r="CG17" s="1031" t="s">
        <v>495</v>
      </c>
      <c r="CH17" s="1031" t="s">
        <v>495</v>
      </c>
      <c r="CI17" s="1031" t="s">
        <v>495</v>
      </c>
      <c r="CJ17" s="1031" t="s">
        <v>495</v>
      </c>
      <c r="CK17" s="1031" t="s">
        <v>495</v>
      </c>
      <c r="CL17" s="1031" t="s">
        <v>495</v>
      </c>
      <c r="CM17" s="1031" t="s">
        <v>495</v>
      </c>
      <c r="CN17" s="1031" t="s">
        <v>495</v>
      </c>
      <c r="CO17" s="1031" t="s">
        <v>495</v>
      </c>
      <c r="CP17" s="1031" t="s">
        <v>495</v>
      </c>
      <c r="CQ17" s="1031" t="s">
        <v>495</v>
      </c>
      <c r="CR17" s="1031" t="s">
        <v>495</v>
      </c>
      <c r="CS17" s="407" t="s">
        <v>1019</v>
      </c>
      <c r="CT17" s="407" t="s">
        <v>1019</v>
      </c>
      <c r="CU17" s="407" t="s">
        <v>1019</v>
      </c>
      <c r="CV17" s="407" t="s">
        <v>1019</v>
      </c>
      <c r="CW17" s="407" t="s">
        <v>1019</v>
      </c>
      <c r="CX17" s="407" t="s">
        <v>1019</v>
      </c>
      <c r="CY17" s="407" t="s">
        <v>1019</v>
      </c>
      <c r="CZ17" s="407" t="s">
        <v>1019</v>
      </c>
      <c r="DA17" s="407" t="s">
        <v>1019</v>
      </c>
      <c r="DB17" s="407" t="s">
        <v>1019</v>
      </c>
      <c r="DC17" s="407" t="s">
        <v>1019</v>
      </c>
      <c r="DD17" s="407" t="s">
        <v>1019</v>
      </c>
      <c r="DE17" s="407" t="s">
        <v>1019</v>
      </c>
      <c r="DF17" s="407" t="s">
        <v>1019</v>
      </c>
      <c r="DG17" s="407" t="s">
        <v>1019</v>
      </c>
      <c r="DH17" s="407" t="s">
        <v>1019</v>
      </c>
      <c r="DI17" s="407" t="s">
        <v>1019</v>
      </c>
      <c r="DJ17" s="407" t="s">
        <v>1019</v>
      </c>
      <c r="DK17" s="407" t="s">
        <v>1019</v>
      </c>
      <c r="DL17" s="407" t="s">
        <v>1019</v>
      </c>
      <c r="DM17" s="407" t="s">
        <v>1019</v>
      </c>
      <c r="DN17" s="407" t="s">
        <v>1019</v>
      </c>
      <c r="DO17" s="407" t="s">
        <v>1019</v>
      </c>
      <c r="DP17" s="407" t="s">
        <v>1019</v>
      </c>
      <c r="DQ17" s="407" t="s">
        <v>1019</v>
      </c>
      <c r="DR17" s="407" t="s">
        <v>1019</v>
      </c>
      <c r="DS17" s="407" t="s">
        <v>1019</v>
      </c>
      <c r="DT17" s="407" t="s">
        <v>1019</v>
      </c>
      <c r="DU17" s="559"/>
      <c r="DV17" s="380"/>
      <c r="DW17" s="380"/>
      <c r="DX17" s="380"/>
      <c r="DY17" s="380"/>
      <c r="DZ17" s="380"/>
      <c r="EA17" s="380"/>
      <c r="EB17" s="380" t="s">
        <v>493</v>
      </c>
      <c r="EC17" s="497"/>
    </row>
    <row r="18" spans="2:133" ht="18.75">
      <c r="B18" s="1023" t="s">
        <v>418</v>
      </c>
      <c r="C18" s="723"/>
      <c r="D18" s="999"/>
      <c r="E18" s="606" t="s">
        <v>470</v>
      </c>
      <c r="F18" s="404"/>
      <c r="G18" s="606"/>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c r="CU18" s="607"/>
      <c r="CV18" s="607"/>
      <c r="CW18" s="607"/>
      <c r="CX18" s="607"/>
      <c r="CY18" s="607"/>
      <c r="CZ18" s="607"/>
      <c r="DA18" s="607"/>
      <c r="DB18" s="607"/>
      <c r="DC18" s="607"/>
      <c r="DD18" s="607"/>
      <c r="DE18" s="607"/>
      <c r="DF18" s="607"/>
      <c r="DG18" s="607"/>
      <c r="DH18" s="607"/>
      <c r="DI18" s="607"/>
      <c r="DJ18" s="607"/>
      <c r="DK18" s="607"/>
      <c r="DL18" s="607"/>
      <c r="DM18" s="607"/>
      <c r="DN18" s="607"/>
      <c r="DO18" s="607"/>
      <c r="DP18" s="607"/>
      <c r="DQ18" s="607"/>
      <c r="DR18" s="607"/>
      <c r="DS18" s="607"/>
      <c r="DT18" s="607"/>
      <c r="DU18" s="614"/>
      <c r="DV18" s="614"/>
      <c r="DW18" s="614"/>
      <c r="DX18" s="614"/>
      <c r="DY18" s="614"/>
      <c r="DZ18" s="614"/>
      <c r="EA18" s="614"/>
      <c r="EB18" s="614"/>
      <c r="EC18" s="607"/>
    </row>
    <row r="19" spans="2:133">
      <c r="B19" s="1023" t="s">
        <v>418</v>
      </c>
      <c r="C19" s="723"/>
      <c r="D19" s="999"/>
      <c r="E19" s="495" t="s">
        <v>471</v>
      </c>
      <c r="F19" s="496"/>
      <c r="G19" s="395" t="s">
        <v>469</v>
      </c>
      <c r="H19" s="408"/>
      <c r="I19" s="498">
        <v>71.3</v>
      </c>
      <c r="J19" s="498">
        <v>48.7</v>
      </c>
      <c r="K19" s="498">
        <v>60.96</v>
      </c>
      <c r="L19" s="498">
        <v>41.42</v>
      </c>
      <c r="M19" s="498">
        <v>60.3</v>
      </c>
      <c r="N19" s="498">
        <v>4.4385761589403971</v>
      </c>
      <c r="O19" s="498">
        <v>17.031515151515151</v>
      </c>
      <c r="P19" s="498">
        <v>104.99</v>
      </c>
      <c r="Q19" s="498">
        <v>108.71</v>
      </c>
      <c r="R19" s="498">
        <v>101.18</v>
      </c>
      <c r="S19" s="498">
        <v>105.49</v>
      </c>
      <c r="T19" s="498">
        <v>115.83</v>
      </c>
      <c r="U19" s="498">
        <v>99.17</v>
      </c>
      <c r="V19" s="498">
        <v>66.69</v>
      </c>
      <c r="W19" s="498">
        <v>65.75</v>
      </c>
      <c r="X19" s="498">
        <v>65.52</v>
      </c>
      <c r="Y19" s="498">
        <v>72.02</v>
      </c>
      <c r="Z19" s="498">
        <v>68.87</v>
      </c>
      <c r="AA19" s="498">
        <v>64.760000000000005</v>
      </c>
      <c r="AB19" s="498">
        <v>60.66</v>
      </c>
      <c r="AC19" s="498">
        <v>50.57</v>
      </c>
      <c r="AD19" s="498">
        <v>54.32</v>
      </c>
      <c r="AE19" s="498">
        <v>54.66</v>
      </c>
      <c r="AF19" s="498">
        <v>66.27</v>
      </c>
      <c r="AG19" s="498">
        <v>59.14</v>
      </c>
      <c r="AH19" s="498">
        <v>61.75</v>
      </c>
      <c r="AI19" s="498">
        <v>53.01</v>
      </c>
      <c r="AJ19" s="498">
        <v>47.2</v>
      </c>
      <c r="AK19" s="498">
        <v>51.25</v>
      </c>
      <c r="AL19" s="498">
        <v>51.86</v>
      </c>
      <c r="AM19" s="498">
        <v>54.05</v>
      </c>
      <c r="AN19" s="498">
        <v>55.69</v>
      </c>
      <c r="AO19" s="498">
        <v>52.8</v>
      </c>
      <c r="AP19" s="498">
        <v>52.58</v>
      </c>
      <c r="AQ19" s="498">
        <v>40.61</v>
      </c>
      <c r="AR19" s="498">
        <v>43</v>
      </c>
      <c r="AS19" s="498">
        <v>50.8</v>
      </c>
      <c r="AT19" s="498">
        <v>61.7</v>
      </c>
      <c r="AU19" s="498">
        <v>61.7</v>
      </c>
      <c r="AV19" s="498">
        <v>70.739999999999995</v>
      </c>
      <c r="AW19" s="498">
        <v>80.36</v>
      </c>
      <c r="AX19" s="498">
        <v>68.430000000000007</v>
      </c>
      <c r="AY19" s="498">
        <v>72.86</v>
      </c>
      <c r="AZ19" s="498">
        <v>86.19</v>
      </c>
      <c r="BA19" s="498">
        <v>65.75</v>
      </c>
      <c r="BB19" s="498">
        <v>63.54</v>
      </c>
      <c r="BC19" s="498">
        <v>65.09</v>
      </c>
      <c r="BD19" s="498">
        <v>78.400000000000006</v>
      </c>
      <c r="BE19" s="498">
        <v>64.58</v>
      </c>
      <c r="BF19" s="498">
        <v>86.01</v>
      </c>
      <c r="BG19" s="498">
        <v>73.14</v>
      </c>
      <c r="BH19" s="498">
        <v>28.23</v>
      </c>
      <c r="BI19" s="498">
        <v>64.97</v>
      </c>
      <c r="BJ19" s="498">
        <v>82.3</v>
      </c>
      <c r="BK19" s="498">
        <v>67.7</v>
      </c>
      <c r="BL19" s="498">
        <v>94.11</v>
      </c>
      <c r="BM19" s="498">
        <v>73.97</v>
      </c>
      <c r="BN19" s="498">
        <v>69.930000000000007</v>
      </c>
      <c r="BO19" s="1032">
        <v>255</v>
      </c>
      <c r="BP19" s="1032">
        <v>748</v>
      </c>
      <c r="BQ19" s="1032">
        <v>1788</v>
      </c>
      <c r="BR19" s="1032">
        <v>176.1</v>
      </c>
      <c r="BS19" s="1032">
        <v>1283.5999999999999</v>
      </c>
      <c r="BT19" s="1032">
        <v>4190</v>
      </c>
      <c r="BU19" s="1032">
        <v>408.8</v>
      </c>
      <c r="BV19" s="1032">
        <v>948.34</v>
      </c>
      <c r="BW19" s="1032">
        <v>3173.37</v>
      </c>
      <c r="BX19" s="1032">
        <v>870.97</v>
      </c>
      <c r="BY19" s="1032">
        <v>2383</v>
      </c>
      <c r="BZ19" s="1032">
        <v>3534.73</v>
      </c>
      <c r="CA19" s="1032">
        <v>179.9</v>
      </c>
      <c r="CB19" s="1032">
        <v>451.72</v>
      </c>
      <c r="CC19" s="1032">
        <v>2245.5</v>
      </c>
      <c r="CD19" s="1032">
        <v>298.33999999999997</v>
      </c>
      <c r="CE19" s="1032">
        <v>940</v>
      </c>
      <c r="CF19" s="1032">
        <v>235.87</v>
      </c>
      <c r="CG19" s="1032">
        <v>951</v>
      </c>
      <c r="CH19" s="1032">
        <v>2641.19</v>
      </c>
      <c r="CI19" s="1032">
        <v>469.56</v>
      </c>
      <c r="CJ19" s="1032">
        <v>0</v>
      </c>
      <c r="CK19" s="1032">
        <v>7307.5</v>
      </c>
      <c r="CL19" s="1032">
        <v>719.83</v>
      </c>
      <c r="CM19" s="1032">
        <v>3763.21</v>
      </c>
      <c r="CN19" s="1032">
        <v>8379.32</v>
      </c>
      <c r="CO19" s="1032">
        <v>213.95</v>
      </c>
      <c r="CP19" s="1032">
        <v>760.7</v>
      </c>
      <c r="CQ19" s="1032">
        <v>1675</v>
      </c>
      <c r="CR19" s="1032">
        <v>55.18</v>
      </c>
      <c r="CS19" s="498">
        <v>1121</v>
      </c>
      <c r="CT19" s="498">
        <v>1572</v>
      </c>
      <c r="CU19" s="498">
        <v>2828.2</v>
      </c>
      <c r="CV19" s="498">
        <v>3461.79</v>
      </c>
      <c r="CW19" s="498">
        <v>80.5</v>
      </c>
      <c r="CX19" s="498">
        <v>80.5</v>
      </c>
      <c r="CY19" s="498">
        <v>1121</v>
      </c>
      <c r="CZ19" s="498">
        <v>1462.2800000000002</v>
      </c>
      <c r="DA19" s="498">
        <v>7237.57</v>
      </c>
      <c r="DB19" s="498">
        <v>589.19000000000005</v>
      </c>
      <c r="DC19" s="498">
        <v>80.5</v>
      </c>
      <c r="DD19" s="498">
        <v>80.5</v>
      </c>
      <c r="DE19" s="498">
        <v>568.4</v>
      </c>
      <c r="DF19" s="498">
        <v>934.8</v>
      </c>
      <c r="DG19" s="498">
        <v>1975.8</v>
      </c>
      <c r="DH19" s="498">
        <v>4322</v>
      </c>
      <c r="DI19" s="498">
        <v>636.4</v>
      </c>
      <c r="DJ19" s="498">
        <v>80.5</v>
      </c>
      <c r="DK19" s="498">
        <v>1396</v>
      </c>
      <c r="DL19" s="498">
        <v>2019</v>
      </c>
      <c r="DM19" s="498">
        <v>3596.4</v>
      </c>
      <c r="DN19" s="498">
        <v>2427.84</v>
      </c>
      <c r="DO19" s="498">
        <v>2224</v>
      </c>
      <c r="DP19" s="498">
        <v>6897.64</v>
      </c>
      <c r="DQ19" s="498">
        <v>80.5</v>
      </c>
      <c r="DR19" s="498">
        <v>80.5</v>
      </c>
      <c r="DS19" s="498">
        <v>1459.89</v>
      </c>
      <c r="DT19" s="498">
        <v>18590.400000000001</v>
      </c>
      <c r="DU19" s="559"/>
      <c r="DV19" s="559"/>
      <c r="DW19" s="559"/>
      <c r="DX19" s="559"/>
      <c r="DY19" s="380"/>
      <c r="DZ19" s="559"/>
      <c r="EA19" s="380"/>
      <c r="EB19" s="380"/>
      <c r="EC19" s="497"/>
    </row>
    <row r="20" spans="2:133">
      <c r="B20" s="1023" t="s">
        <v>418</v>
      </c>
      <c r="C20" s="723"/>
      <c r="D20" s="999"/>
      <c r="E20" s="495" t="s">
        <v>472</v>
      </c>
      <c r="F20" s="496"/>
      <c r="G20" s="395" t="s">
        <v>469</v>
      </c>
      <c r="H20" s="395"/>
      <c r="I20" s="498">
        <v>178.16000000000003</v>
      </c>
      <c r="J20" s="498">
        <v>113.25999999999999</v>
      </c>
      <c r="K20" s="498">
        <v>90.039999999999978</v>
      </c>
      <c r="L20" s="498">
        <v>41.56</v>
      </c>
      <c r="M20" s="498">
        <v>54.47</v>
      </c>
      <c r="N20" s="498">
        <v>7.112450331125828</v>
      </c>
      <c r="O20" s="498">
        <v>39.976212121212122</v>
      </c>
      <c r="P20" s="498">
        <v>145.97999999999999</v>
      </c>
      <c r="Q20" s="498">
        <v>136.58000000000001</v>
      </c>
      <c r="R20" s="498">
        <v>127.5</v>
      </c>
      <c r="S20" s="498">
        <v>141.47999999999999</v>
      </c>
      <c r="T20" s="498">
        <v>157.44</v>
      </c>
      <c r="U20" s="498">
        <v>168.32</v>
      </c>
      <c r="V20" s="498">
        <v>87.72</v>
      </c>
      <c r="W20" s="498">
        <v>96.78</v>
      </c>
      <c r="X20" s="498">
        <v>94.3</v>
      </c>
      <c r="Y20" s="498">
        <v>103.22</v>
      </c>
      <c r="Z20" s="498">
        <v>100.88</v>
      </c>
      <c r="AA20" s="498">
        <v>81.64</v>
      </c>
      <c r="AB20" s="498">
        <v>95.6</v>
      </c>
      <c r="AC20" s="498">
        <v>84.88</v>
      </c>
      <c r="AD20" s="498">
        <v>85.72</v>
      </c>
      <c r="AE20" s="498">
        <v>86.42</v>
      </c>
      <c r="AF20" s="498">
        <v>100.96</v>
      </c>
      <c r="AG20" s="498">
        <v>103.34</v>
      </c>
      <c r="AH20" s="498">
        <v>107.2</v>
      </c>
      <c r="AI20" s="498">
        <v>46.75</v>
      </c>
      <c r="AJ20" s="498">
        <v>41.6</v>
      </c>
      <c r="AK20" s="498">
        <v>40.71</v>
      </c>
      <c r="AL20" s="498">
        <v>41.75</v>
      </c>
      <c r="AM20" s="498">
        <v>51.35</v>
      </c>
      <c r="AN20" s="498">
        <v>48.51</v>
      </c>
      <c r="AO20" s="498">
        <v>51.52</v>
      </c>
      <c r="AP20" s="498">
        <v>38.025000000000006</v>
      </c>
      <c r="AQ20" s="498">
        <v>26.655000000000001</v>
      </c>
      <c r="AR20" s="498">
        <v>33.06</v>
      </c>
      <c r="AS20" s="498">
        <v>34.905000000000001</v>
      </c>
      <c r="AT20" s="498">
        <v>50.025000000000006</v>
      </c>
      <c r="AU20" s="498">
        <v>50.025000000000006</v>
      </c>
      <c r="AV20" s="498">
        <v>14.556000000000001</v>
      </c>
      <c r="AW20" s="498">
        <v>15.525</v>
      </c>
      <c r="AX20" s="498">
        <v>20.1875</v>
      </c>
      <c r="AY20" s="498">
        <v>18.350000000000001</v>
      </c>
      <c r="AZ20" s="498">
        <v>18.335999999999999</v>
      </c>
      <c r="BA20" s="498">
        <v>18.994285714285716</v>
      </c>
      <c r="BB20" s="498">
        <v>23.599999999999998</v>
      </c>
      <c r="BC20" s="498">
        <v>24.22666666666667</v>
      </c>
      <c r="BD20" s="498">
        <v>22.5625</v>
      </c>
      <c r="BE20" s="498">
        <v>20.546666666666667</v>
      </c>
      <c r="BF20" s="498">
        <v>23.319999999999997</v>
      </c>
      <c r="BG20" s="498">
        <v>17.68</v>
      </c>
      <c r="BH20" s="498">
        <v>15.053333333333333</v>
      </c>
      <c r="BI20" s="498">
        <v>15.984</v>
      </c>
      <c r="BJ20" s="498">
        <v>18.445714285714285</v>
      </c>
      <c r="BK20" s="498">
        <v>17.856000000000002</v>
      </c>
      <c r="BL20" s="498">
        <v>25.112500000000001</v>
      </c>
      <c r="BM20" s="498">
        <v>15.036</v>
      </c>
      <c r="BN20" s="498">
        <v>12.705</v>
      </c>
      <c r="BO20" s="1032">
        <v>127.34</v>
      </c>
      <c r="BP20" s="1032">
        <v>1419.32</v>
      </c>
      <c r="BQ20" s="1032">
        <v>4393.6000000000004</v>
      </c>
      <c r="BR20" s="1032">
        <v>74.510000000000005</v>
      </c>
      <c r="BS20" s="1032">
        <v>588.21</v>
      </c>
      <c r="BT20" s="1032">
        <v>1457.3</v>
      </c>
      <c r="BU20" s="1032">
        <v>308.70999999999998</v>
      </c>
      <c r="BV20" s="1032">
        <v>810.12</v>
      </c>
      <c r="BW20" s="1032">
        <v>1539.68</v>
      </c>
      <c r="BX20" s="1032">
        <v>559.06999999999994</v>
      </c>
      <c r="BY20" s="1032">
        <v>1177.73</v>
      </c>
      <c r="BZ20" s="1032">
        <v>3344.24</v>
      </c>
      <c r="CA20" s="1032">
        <v>121.97999999999999</v>
      </c>
      <c r="CB20" s="1032">
        <v>411.56</v>
      </c>
      <c r="CC20" s="1032">
        <v>2506.21</v>
      </c>
      <c r="CD20" s="1032">
        <v>152.71</v>
      </c>
      <c r="CE20" s="1032">
        <v>430.51</v>
      </c>
      <c r="CF20" s="1032">
        <v>178.21</v>
      </c>
      <c r="CG20" s="1032">
        <v>870.5</v>
      </c>
      <c r="CH20" s="1032">
        <v>3419.12</v>
      </c>
      <c r="CI20" s="1032">
        <v>233.9</v>
      </c>
      <c r="CJ20" s="1032">
        <v>1151.51</v>
      </c>
      <c r="CK20" s="1032">
        <v>4989</v>
      </c>
      <c r="CL20" s="1032">
        <v>1049.57</v>
      </c>
      <c r="CM20" s="1032">
        <v>3704.25</v>
      </c>
      <c r="CN20" s="1032">
        <v>7992.65</v>
      </c>
      <c r="CO20" s="1032">
        <v>456.91</v>
      </c>
      <c r="CP20" s="1032">
        <v>1133.43</v>
      </c>
      <c r="CQ20" s="1032">
        <v>4712.76</v>
      </c>
      <c r="CR20" s="1032">
        <v>51.63</v>
      </c>
      <c r="CS20" s="498">
        <v>447.8</v>
      </c>
      <c r="CT20" s="498">
        <v>950</v>
      </c>
      <c r="CU20" s="498">
        <v>1348.08</v>
      </c>
      <c r="CV20" s="498">
        <v>4427.46</v>
      </c>
      <c r="CW20" s="498">
        <v>66.25</v>
      </c>
      <c r="CX20" s="498">
        <v>154.85</v>
      </c>
      <c r="CY20" s="498">
        <v>447.8</v>
      </c>
      <c r="CZ20" s="498">
        <v>1370.91</v>
      </c>
      <c r="DA20" s="498">
        <v>7353.4800000000005</v>
      </c>
      <c r="DB20" s="498">
        <v>448.95000000000005</v>
      </c>
      <c r="DC20" s="498">
        <v>66.25</v>
      </c>
      <c r="DD20" s="498">
        <v>154.85</v>
      </c>
      <c r="DE20" s="498">
        <v>509.2</v>
      </c>
      <c r="DF20" s="498">
        <v>1495.6</v>
      </c>
      <c r="DG20" s="498">
        <v>2342.2999999999997</v>
      </c>
      <c r="DH20" s="498">
        <v>2291.8000000000002</v>
      </c>
      <c r="DI20" s="498">
        <v>1851.1899999999998</v>
      </c>
      <c r="DJ20" s="498">
        <v>154.85</v>
      </c>
      <c r="DK20" s="498">
        <v>1174.6000000000001</v>
      </c>
      <c r="DL20" s="498">
        <v>1438.8500000000001</v>
      </c>
      <c r="DM20" s="498">
        <v>2212.4</v>
      </c>
      <c r="DN20" s="498">
        <v>2185.1</v>
      </c>
      <c r="DO20" s="498">
        <v>403.4</v>
      </c>
      <c r="DP20" s="498">
        <v>3101.7400000000002</v>
      </c>
      <c r="DQ20" s="498">
        <v>66.25</v>
      </c>
      <c r="DR20" s="498">
        <v>154.85</v>
      </c>
      <c r="DS20" s="498">
        <v>702.63</v>
      </c>
      <c r="DT20" s="498">
        <v>2588.0199999999995</v>
      </c>
      <c r="DU20" s="559"/>
      <c r="DV20" s="559"/>
      <c r="DW20" s="559"/>
      <c r="DX20" s="559"/>
      <c r="DY20" s="380"/>
      <c r="DZ20" s="559"/>
      <c r="EA20" s="380"/>
      <c r="EB20" s="380"/>
      <c r="EC20" s="497"/>
    </row>
    <row r="21" spans="2:133">
      <c r="B21" s="1023" t="s">
        <v>418</v>
      </c>
      <c r="C21" s="723"/>
      <c r="D21" s="999"/>
      <c r="E21" s="495" t="s">
        <v>473</v>
      </c>
      <c r="F21" s="496"/>
      <c r="G21" s="395" t="s">
        <v>469</v>
      </c>
      <c r="H21" s="395"/>
      <c r="I21" s="498">
        <v>0</v>
      </c>
      <c r="J21" s="498">
        <v>0</v>
      </c>
      <c r="K21" s="498">
        <v>3.38</v>
      </c>
      <c r="L21" s="498">
        <v>0</v>
      </c>
      <c r="M21" s="498">
        <v>60.3</v>
      </c>
      <c r="N21" s="498">
        <v>4.3449337748344368</v>
      </c>
      <c r="O21" s="498">
        <v>17.815454545454543</v>
      </c>
      <c r="P21" s="498">
        <v>40.58</v>
      </c>
      <c r="Q21" s="498">
        <v>32.35</v>
      </c>
      <c r="R21" s="498">
        <v>21.01</v>
      </c>
      <c r="S21" s="498">
        <v>23.94</v>
      </c>
      <c r="T21" s="498">
        <v>26.91</v>
      </c>
      <c r="U21" s="498">
        <v>23.8</v>
      </c>
      <c r="V21" s="498">
        <v>24.76</v>
      </c>
      <c r="W21" s="498">
        <v>13.59</v>
      </c>
      <c r="X21" s="498">
        <v>17</v>
      </c>
      <c r="Y21" s="498">
        <v>20.73</v>
      </c>
      <c r="Z21" s="498">
        <v>16.829999999999998</v>
      </c>
      <c r="AA21" s="498">
        <v>0</v>
      </c>
      <c r="AB21" s="498">
        <v>24.28</v>
      </c>
      <c r="AC21" s="498">
        <v>16.77</v>
      </c>
      <c r="AD21" s="498">
        <v>0</v>
      </c>
      <c r="AE21" s="498">
        <v>0</v>
      </c>
      <c r="AF21" s="498">
        <v>27.66</v>
      </c>
      <c r="AG21" s="498">
        <v>12.24</v>
      </c>
      <c r="AH21" s="498">
        <v>0</v>
      </c>
      <c r="AI21" s="498">
        <v>19.45</v>
      </c>
      <c r="AJ21" s="498">
        <v>0</v>
      </c>
      <c r="AK21" s="498">
        <v>0</v>
      </c>
      <c r="AL21" s="498">
        <v>0</v>
      </c>
      <c r="AM21" s="498">
        <v>18.5</v>
      </c>
      <c r="AN21" s="498">
        <v>0</v>
      </c>
      <c r="AO21" s="498">
        <v>13.97</v>
      </c>
      <c r="AP21" s="498">
        <v>26.29</v>
      </c>
      <c r="AQ21" s="498">
        <v>0</v>
      </c>
      <c r="AR21" s="498">
        <v>0</v>
      </c>
      <c r="AS21" s="498">
        <v>25.4</v>
      </c>
      <c r="AT21" s="498">
        <v>30.85</v>
      </c>
      <c r="AU21" s="498">
        <v>30.85</v>
      </c>
      <c r="AV21" s="498">
        <v>14.148</v>
      </c>
      <c r="AW21" s="498">
        <v>10.045</v>
      </c>
      <c r="AX21" s="498">
        <v>17.107500000000002</v>
      </c>
      <c r="AY21" s="498">
        <v>18.215</v>
      </c>
      <c r="AZ21" s="498">
        <v>17.238</v>
      </c>
      <c r="BA21" s="498">
        <v>0</v>
      </c>
      <c r="BB21" s="498">
        <v>21.18</v>
      </c>
      <c r="BC21" s="498">
        <v>21.696666666666669</v>
      </c>
      <c r="BD21" s="498">
        <v>19.600000000000001</v>
      </c>
      <c r="BE21" s="498">
        <v>21.526666666666667</v>
      </c>
      <c r="BF21" s="498">
        <v>28.67</v>
      </c>
      <c r="BG21" s="498">
        <v>24.38</v>
      </c>
      <c r="BH21" s="498">
        <v>9.41</v>
      </c>
      <c r="BI21" s="498">
        <v>12.994</v>
      </c>
      <c r="BJ21" s="498">
        <v>11.757142857142856</v>
      </c>
      <c r="BK21" s="498">
        <v>13.540000000000001</v>
      </c>
      <c r="BL21" s="498">
        <v>23.5275</v>
      </c>
      <c r="BM21" s="498">
        <v>14.794</v>
      </c>
      <c r="BN21" s="498">
        <v>11.655000000000001</v>
      </c>
      <c r="BO21" s="1032">
        <v>110.21</v>
      </c>
      <c r="BP21" s="1032">
        <v>662</v>
      </c>
      <c r="BQ21" s="1032">
        <v>1716.3</v>
      </c>
      <c r="BR21" s="1032">
        <v>0</v>
      </c>
      <c r="BS21" s="1032">
        <v>280</v>
      </c>
      <c r="BT21" s="1032">
        <v>4190</v>
      </c>
      <c r="BU21" s="1032">
        <v>407.7</v>
      </c>
      <c r="BV21" s="1032">
        <v>914.14</v>
      </c>
      <c r="BW21" s="1032">
        <v>3114.57</v>
      </c>
      <c r="BX21" s="1032">
        <v>870.97</v>
      </c>
      <c r="BY21" s="1032">
        <v>2383</v>
      </c>
      <c r="BZ21" s="1032">
        <v>2862.53</v>
      </c>
      <c r="CA21" s="1032">
        <v>0</v>
      </c>
      <c r="CB21" s="1032">
        <v>414.66</v>
      </c>
      <c r="CC21" s="1032">
        <v>2439.2800000000002</v>
      </c>
      <c r="CD21" s="1032">
        <v>291.14</v>
      </c>
      <c r="CE21" s="1032">
        <v>446.8</v>
      </c>
      <c r="CF21" s="1032">
        <v>227.85</v>
      </c>
      <c r="CG21" s="1032">
        <v>1100.8</v>
      </c>
      <c r="CH21" s="1032">
        <v>2641.19</v>
      </c>
      <c r="CI21" s="1032">
        <v>342.94</v>
      </c>
      <c r="CJ21" s="1032">
        <v>3459.87</v>
      </c>
      <c r="CK21" s="1032">
        <v>7308.5</v>
      </c>
      <c r="CL21" s="1032">
        <v>708.92</v>
      </c>
      <c r="CM21" s="1032">
        <v>3230.54</v>
      </c>
      <c r="CN21" s="1032">
        <v>8030.72</v>
      </c>
      <c r="CO21" s="1032">
        <v>213.95</v>
      </c>
      <c r="CP21" s="1032">
        <v>760.7</v>
      </c>
      <c r="CQ21" s="1032">
        <v>1664.9</v>
      </c>
      <c r="CR21" s="1032">
        <v>0</v>
      </c>
      <c r="CS21" s="498">
        <v>1052</v>
      </c>
      <c r="CT21" s="498">
        <v>1608</v>
      </c>
      <c r="CU21" s="498">
        <v>2866</v>
      </c>
      <c r="CV21" s="498">
        <v>4266.08</v>
      </c>
      <c r="CW21" s="498">
        <v>80.5</v>
      </c>
      <c r="CX21" s="498">
        <v>80.5</v>
      </c>
      <c r="CY21" s="498">
        <v>1052</v>
      </c>
      <c r="CZ21" s="498">
        <v>1462</v>
      </c>
      <c r="DA21" s="498">
        <v>0</v>
      </c>
      <c r="DB21" s="498">
        <v>579.5</v>
      </c>
      <c r="DC21" s="498">
        <v>80.5</v>
      </c>
      <c r="DD21" s="498">
        <v>80.5</v>
      </c>
      <c r="DE21" s="498">
        <v>565.5</v>
      </c>
      <c r="DF21" s="498">
        <v>934.8</v>
      </c>
      <c r="DG21" s="498">
        <v>1871</v>
      </c>
      <c r="DH21" s="498">
        <v>2851.6</v>
      </c>
      <c r="DI21" s="498">
        <v>749.33999999999992</v>
      </c>
      <c r="DJ21" s="498">
        <v>80.5</v>
      </c>
      <c r="DK21" s="498">
        <v>1384</v>
      </c>
      <c r="DL21" s="498">
        <v>1987</v>
      </c>
      <c r="DM21" s="498">
        <v>3492</v>
      </c>
      <c r="DN21" s="498">
        <v>2404</v>
      </c>
      <c r="DO21" s="498">
        <v>2224</v>
      </c>
      <c r="DP21" s="498">
        <v>7230</v>
      </c>
      <c r="DQ21" s="498">
        <v>80.5</v>
      </c>
      <c r="DR21" s="498">
        <v>80.5</v>
      </c>
      <c r="DS21" s="498">
        <v>35</v>
      </c>
      <c r="DT21" s="498">
        <v>18719.400000000001</v>
      </c>
      <c r="DU21" s="559"/>
      <c r="DV21" s="559"/>
      <c r="DW21" s="559"/>
      <c r="DX21" s="559"/>
      <c r="DY21" s="380"/>
      <c r="DZ21" s="559"/>
      <c r="EA21" s="380"/>
      <c r="EB21" s="380"/>
      <c r="EC21" s="497"/>
    </row>
    <row r="22" spans="2:133">
      <c r="B22" s="1023" t="s">
        <v>418</v>
      </c>
      <c r="C22" s="723"/>
      <c r="D22" s="999"/>
      <c r="E22" s="495" t="s">
        <v>474</v>
      </c>
      <c r="F22" s="496"/>
      <c r="G22" s="395" t="s">
        <v>469</v>
      </c>
      <c r="H22" s="395"/>
      <c r="I22" s="498">
        <v>93.68</v>
      </c>
      <c r="J22" s="498">
        <v>70.739999999999995</v>
      </c>
      <c r="K22" s="498">
        <v>85.34</v>
      </c>
      <c r="L22" s="498">
        <v>62.38</v>
      </c>
      <c r="M22" s="498">
        <v>0</v>
      </c>
      <c r="N22" s="498">
        <v>0</v>
      </c>
      <c r="O22" s="498">
        <v>0</v>
      </c>
      <c r="P22" s="498">
        <v>95.57</v>
      </c>
      <c r="Q22" s="498">
        <v>102.32</v>
      </c>
      <c r="R22" s="498">
        <v>107.15</v>
      </c>
      <c r="S22" s="498">
        <v>118.04</v>
      </c>
      <c r="T22" s="498">
        <v>119.61</v>
      </c>
      <c r="U22" s="498">
        <v>131.37</v>
      </c>
      <c r="V22" s="498">
        <v>56.82</v>
      </c>
      <c r="W22" s="498">
        <v>58.62</v>
      </c>
      <c r="X22" s="498">
        <v>68.94</v>
      </c>
      <c r="Y22" s="498">
        <v>64.8</v>
      </c>
      <c r="Z22" s="498">
        <v>78.459999999999994</v>
      </c>
      <c r="AA22" s="498">
        <v>79.709999999999994</v>
      </c>
      <c r="AB22" s="498">
        <v>52.17</v>
      </c>
      <c r="AC22" s="498">
        <v>48.64</v>
      </c>
      <c r="AD22" s="498">
        <v>57.45</v>
      </c>
      <c r="AE22" s="498">
        <v>61.89</v>
      </c>
      <c r="AF22" s="498">
        <v>54.81</v>
      </c>
      <c r="AG22" s="498">
        <v>66.31</v>
      </c>
      <c r="AH22" s="498">
        <v>73.19</v>
      </c>
      <c r="AI22" s="498">
        <v>46.17</v>
      </c>
      <c r="AJ22" s="498">
        <v>50.88</v>
      </c>
      <c r="AK22" s="498">
        <v>55.77</v>
      </c>
      <c r="AL22" s="498">
        <v>60.68</v>
      </c>
      <c r="AM22" s="498">
        <v>50.49</v>
      </c>
      <c r="AN22" s="498">
        <v>59.61</v>
      </c>
      <c r="AO22" s="498">
        <v>60.57</v>
      </c>
      <c r="AP22" s="498">
        <v>0</v>
      </c>
      <c r="AQ22" s="498">
        <v>34.659999999999997</v>
      </c>
      <c r="AR22" s="498">
        <v>33.344999999999999</v>
      </c>
      <c r="AS22" s="498">
        <v>0</v>
      </c>
      <c r="AT22" s="498">
        <v>0</v>
      </c>
      <c r="AU22" s="498">
        <v>0</v>
      </c>
      <c r="AV22" s="498">
        <v>0</v>
      </c>
      <c r="AW22" s="498">
        <v>0</v>
      </c>
      <c r="AX22" s="498">
        <v>0</v>
      </c>
      <c r="AY22" s="498">
        <v>0</v>
      </c>
      <c r="AZ22" s="498">
        <v>0</v>
      </c>
      <c r="BA22" s="498">
        <v>15.114285714285714</v>
      </c>
      <c r="BB22" s="498">
        <v>0</v>
      </c>
      <c r="BC22" s="498">
        <v>0</v>
      </c>
      <c r="BD22" s="498">
        <v>0</v>
      </c>
      <c r="BE22" s="498">
        <v>0</v>
      </c>
      <c r="BF22" s="498">
        <v>0</v>
      </c>
      <c r="BG22" s="498">
        <v>0</v>
      </c>
      <c r="BH22" s="498">
        <v>0</v>
      </c>
      <c r="BI22" s="498">
        <v>0</v>
      </c>
      <c r="BJ22" s="498">
        <v>0</v>
      </c>
      <c r="BK22" s="498">
        <v>0</v>
      </c>
      <c r="BL22" s="498">
        <v>0</v>
      </c>
      <c r="BM22" s="498">
        <v>0</v>
      </c>
      <c r="BN22" s="498">
        <v>0</v>
      </c>
      <c r="BO22" s="1032">
        <v>0</v>
      </c>
      <c r="BP22" s="1032">
        <v>0</v>
      </c>
      <c r="BQ22" s="1032">
        <v>0</v>
      </c>
      <c r="BR22" s="1032">
        <v>0</v>
      </c>
      <c r="BS22" s="1032">
        <v>0</v>
      </c>
      <c r="BT22" s="1032">
        <v>0</v>
      </c>
      <c r="BU22" s="1032">
        <v>0</v>
      </c>
      <c r="BV22" s="1032">
        <v>0</v>
      </c>
      <c r="BW22" s="1032">
        <v>0</v>
      </c>
      <c r="BX22" s="1032">
        <v>0</v>
      </c>
      <c r="BY22" s="1032">
        <v>0</v>
      </c>
      <c r="BZ22" s="1032">
        <v>0</v>
      </c>
      <c r="CA22" s="1032">
        <v>0</v>
      </c>
      <c r="CB22" s="1032">
        <v>0</v>
      </c>
      <c r="CC22" s="1032">
        <v>0</v>
      </c>
      <c r="CD22" s="1032">
        <v>0</v>
      </c>
      <c r="CE22" s="1032">
        <v>0</v>
      </c>
      <c r="CF22" s="1032">
        <v>0</v>
      </c>
      <c r="CG22" s="1032">
        <v>0</v>
      </c>
      <c r="CH22" s="1032">
        <v>0</v>
      </c>
      <c r="CI22" s="1032">
        <v>0</v>
      </c>
      <c r="CJ22" s="1032">
        <v>0</v>
      </c>
      <c r="CK22" s="1032">
        <v>0</v>
      </c>
      <c r="CL22" s="1032">
        <v>0</v>
      </c>
      <c r="CM22" s="1032">
        <v>0</v>
      </c>
      <c r="CN22" s="1032">
        <v>0</v>
      </c>
      <c r="CO22" s="1032">
        <v>0</v>
      </c>
      <c r="CP22" s="1032">
        <v>0</v>
      </c>
      <c r="CQ22" s="1032">
        <v>0</v>
      </c>
      <c r="CR22" s="1032">
        <v>101.64</v>
      </c>
      <c r="CS22" s="498">
        <v>0</v>
      </c>
      <c r="CT22" s="498">
        <v>0</v>
      </c>
      <c r="CU22" s="498">
        <v>0</v>
      </c>
      <c r="CV22" s="498">
        <v>0</v>
      </c>
      <c r="CW22" s="498">
        <v>0</v>
      </c>
      <c r="CX22" s="498">
        <v>0</v>
      </c>
      <c r="CY22" s="498">
        <v>0</v>
      </c>
      <c r="CZ22" s="498">
        <v>0</v>
      </c>
      <c r="DA22" s="498">
        <v>0</v>
      </c>
      <c r="DB22" s="498">
        <v>0</v>
      </c>
      <c r="DC22" s="498">
        <v>0</v>
      </c>
      <c r="DD22" s="498">
        <v>0</v>
      </c>
      <c r="DE22" s="498">
        <v>0</v>
      </c>
      <c r="DF22" s="498">
        <v>0</v>
      </c>
      <c r="DG22" s="498">
        <v>0</v>
      </c>
      <c r="DH22" s="498">
        <v>0</v>
      </c>
      <c r="DI22" s="498">
        <v>0</v>
      </c>
      <c r="DJ22" s="498">
        <v>0</v>
      </c>
      <c r="DK22" s="498">
        <v>0</v>
      </c>
      <c r="DL22" s="498">
        <v>0</v>
      </c>
      <c r="DM22" s="498">
        <v>0</v>
      </c>
      <c r="DN22" s="498">
        <v>0</v>
      </c>
      <c r="DO22" s="498">
        <v>0</v>
      </c>
      <c r="DP22" s="498">
        <v>0</v>
      </c>
      <c r="DQ22" s="498">
        <v>0</v>
      </c>
      <c r="DR22" s="498">
        <v>0</v>
      </c>
      <c r="DS22" s="498">
        <v>1516.99</v>
      </c>
      <c r="DT22" s="498">
        <v>0</v>
      </c>
      <c r="DU22" s="559"/>
      <c r="DV22" s="559"/>
      <c r="DW22" s="559"/>
      <c r="DX22" s="559"/>
      <c r="DY22" s="380"/>
      <c r="DZ22" s="559"/>
      <c r="EA22" s="380"/>
      <c r="EB22" s="380"/>
      <c r="EC22" s="497"/>
    </row>
    <row r="23" spans="2:133">
      <c r="B23" s="1023" t="s">
        <v>418</v>
      </c>
      <c r="C23" s="723"/>
      <c r="D23" s="999"/>
      <c r="E23" s="495" t="s">
        <v>475</v>
      </c>
      <c r="F23" s="496"/>
      <c r="G23" s="395" t="s">
        <v>469</v>
      </c>
      <c r="H23" s="395"/>
      <c r="I23" s="498">
        <v>55.990000000000009</v>
      </c>
      <c r="J23" s="498">
        <v>28.45</v>
      </c>
      <c r="K23" s="498">
        <v>22.89</v>
      </c>
      <c r="L23" s="498">
        <v>16.36</v>
      </c>
      <c r="M23" s="498">
        <v>17.420000000000002</v>
      </c>
      <c r="N23" s="498">
        <v>4.3329635761589396</v>
      </c>
      <c r="O23" s="498">
        <v>23.74606060606061</v>
      </c>
      <c r="P23" s="498">
        <v>34.54</v>
      </c>
      <c r="Q23" s="498">
        <v>40.42</v>
      </c>
      <c r="R23" s="498">
        <v>33.200000000000003</v>
      </c>
      <c r="S23" s="498">
        <v>39.840000000000003</v>
      </c>
      <c r="T23" s="498">
        <v>46.58</v>
      </c>
      <c r="U23" s="498">
        <v>46.5</v>
      </c>
      <c r="V23" s="498">
        <v>23.520000000000003</v>
      </c>
      <c r="W23" s="498">
        <v>30.759999999999998</v>
      </c>
      <c r="X23" s="498">
        <v>24.709999999999997</v>
      </c>
      <c r="Y23" s="498">
        <v>26.98</v>
      </c>
      <c r="Z23" s="498">
        <v>30.53</v>
      </c>
      <c r="AA23" s="498">
        <v>22.130000000000003</v>
      </c>
      <c r="AB23" s="498">
        <v>24.360000000000003</v>
      </c>
      <c r="AC23" s="498">
        <v>20.98</v>
      </c>
      <c r="AD23" s="498">
        <v>27.04</v>
      </c>
      <c r="AE23" s="498">
        <v>19.760000000000002</v>
      </c>
      <c r="AF23" s="498">
        <v>23.87</v>
      </c>
      <c r="AG23" s="498">
        <v>27.560000000000002</v>
      </c>
      <c r="AH23" s="498">
        <v>28.16</v>
      </c>
      <c r="AI23" s="498">
        <v>21.18</v>
      </c>
      <c r="AJ23" s="498">
        <v>21.26</v>
      </c>
      <c r="AK23" s="498">
        <v>24.64</v>
      </c>
      <c r="AL23" s="498">
        <v>18.420000000000002</v>
      </c>
      <c r="AM23" s="498">
        <v>22.92</v>
      </c>
      <c r="AN23" s="498">
        <v>20.78</v>
      </c>
      <c r="AO23" s="498">
        <v>18.77</v>
      </c>
      <c r="AP23" s="498">
        <v>18.2</v>
      </c>
      <c r="AQ23" s="498">
        <v>17.07</v>
      </c>
      <c r="AR23" s="498">
        <v>12.594999999999999</v>
      </c>
      <c r="AS23" s="498">
        <v>18.079999999999998</v>
      </c>
      <c r="AT23" s="498">
        <v>18.535</v>
      </c>
      <c r="AU23" s="498">
        <v>18.535</v>
      </c>
      <c r="AV23" s="498">
        <v>16.478000000000002</v>
      </c>
      <c r="AW23" s="498">
        <v>17.52</v>
      </c>
      <c r="AX23" s="498">
        <v>10.719999999999999</v>
      </c>
      <c r="AY23" s="498">
        <v>12.477500000000001</v>
      </c>
      <c r="AZ23" s="498">
        <v>17.388000000000002</v>
      </c>
      <c r="BA23" s="498">
        <v>8.6242857142857137</v>
      </c>
      <c r="BB23" s="498">
        <v>11.263333333333332</v>
      </c>
      <c r="BC23" s="498">
        <v>14.083333333333334</v>
      </c>
      <c r="BD23" s="498">
        <v>17.317500000000003</v>
      </c>
      <c r="BE23" s="498">
        <v>10.306666666666667</v>
      </c>
      <c r="BF23" s="498">
        <v>15.66</v>
      </c>
      <c r="BG23" s="498">
        <v>13.066666666666666</v>
      </c>
      <c r="BH23" s="498">
        <v>3.8800000000000003</v>
      </c>
      <c r="BI23" s="498">
        <v>11.02</v>
      </c>
      <c r="BJ23" s="498">
        <v>13.662857142857142</v>
      </c>
      <c r="BK23" s="498">
        <v>10.241999999999999</v>
      </c>
      <c r="BL23" s="498">
        <v>15.725000000000001</v>
      </c>
      <c r="BM23" s="498">
        <v>14.24</v>
      </c>
      <c r="BN23" s="498">
        <v>13.373333333333335</v>
      </c>
      <c r="BO23" s="1032">
        <v>46.13</v>
      </c>
      <c r="BP23" s="1032">
        <v>739.81</v>
      </c>
      <c r="BQ23" s="1032">
        <v>2500.5</v>
      </c>
      <c r="BR23" s="1032">
        <v>34.86</v>
      </c>
      <c r="BS23" s="1032">
        <v>200.95000000000002</v>
      </c>
      <c r="BT23" s="1032">
        <v>419.4</v>
      </c>
      <c r="BU23" s="1032">
        <v>74</v>
      </c>
      <c r="BV23" s="1032">
        <v>187.78</v>
      </c>
      <c r="BW23" s="1032">
        <v>233.4</v>
      </c>
      <c r="BX23" s="1032">
        <v>184.82999999999998</v>
      </c>
      <c r="BY23" s="1032">
        <v>354.07</v>
      </c>
      <c r="BZ23" s="1032">
        <v>1909.0900000000001</v>
      </c>
      <c r="CA23" s="1032">
        <v>48.24</v>
      </c>
      <c r="CB23" s="1032">
        <v>173.49</v>
      </c>
      <c r="CC23" s="1032">
        <v>952.25</v>
      </c>
      <c r="CD23" s="1032">
        <v>60.870000000000005</v>
      </c>
      <c r="CE23" s="1032">
        <v>200.24</v>
      </c>
      <c r="CF23" s="1032">
        <v>69.09</v>
      </c>
      <c r="CG23" s="1032">
        <v>313.7</v>
      </c>
      <c r="CH23" s="1032">
        <v>1639.31</v>
      </c>
      <c r="CI23" s="1032">
        <v>82.899999999999991</v>
      </c>
      <c r="CJ23" s="1032">
        <v>412.8</v>
      </c>
      <c r="CK23" s="1032">
        <v>1843.6999999999998</v>
      </c>
      <c r="CL23" s="1032">
        <v>322.63</v>
      </c>
      <c r="CM23" s="1032">
        <v>1142.23</v>
      </c>
      <c r="CN23" s="1032">
        <v>2637.65</v>
      </c>
      <c r="CO23" s="1032">
        <v>95.710000000000008</v>
      </c>
      <c r="CP23" s="1032">
        <v>827.37</v>
      </c>
      <c r="CQ23" s="1032">
        <v>1373.1</v>
      </c>
      <c r="CR23" s="1032">
        <v>12.940000000000001</v>
      </c>
      <c r="CS23" s="498">
        <v>400.79999999999995</v>
      </c>
      <c r="CT23" s="498">
        <v>175.92</v>
      </c>
      <c r="CU23" s="498">
        <v>421.1</v>
      </c>
      <c r="CV23" s="498">
        <v>788.18000000000006</v>
      </c>
      <c r="CW23" s="498">
        <v>29.9</v>
      </c>
      <c r="CX23" s="498">
        <v>52.3</v>
      </c>
      <c r="CY23" s="498">
        <v>400.79999999999995</v>
      </c>
      <c r="CZ23" s="498">
        <v>529.32000000000005</v>
      </c>
      <c r="DA23" s="498">
        <v>15081.93</v>
      </c>
      <c r="DB23" s="498">
        <v>90.79</v>
      </c>
      <c r="DC23" s="498">
        <v>29.9</v>
      </c>
      <c r="DD23" s="498">
        <v>52.3</v>
      </c>
      <c r="DE23" s="498">
        <v>140.5</v>
      </c>
      <c r="DF23" s="498">
        <v>993.8</v>
      </c>
      <c r="DG23" s="498">
        <v>10229.200000000001</v>
      </c>
      <c r="DH23" s="498">
        <v>8977</v>
      </c>
      <c r="DI23" s="498">
        <v>962.82</v>
      </c>
      <c r="DJ23" s="498">
        <v>52.3</v>
      </c>
      <c r="DK23" s="498">
        <v>423.05999999999995</v>
      </c>
      <c r="DL23" s="498">
        <v>603.12</v>
      </c>
      <c r="DM23" s="498">
        <v>1198</v>
      </c>
      <c r="DN23" s="498">
        <v>4184</v>
      </c>
      <c r="DO23" s="498">
        <v>177.4</v>
      </c>
      <c r="DP23" s="498">
        <v>330.6</v>
      </c>
      <c r="DQ23" s="498">
        <v>29.9</v>
      </c>
      <c r="DR23" s="498">
        <v>52.3</v>
      </c>
      <c r="DS23" s="498">
        <v>137.89999999999998</v>
      </c>
      <c r="DT23" s="498">
        <v>305.60000000000002</v>
      </c>
      <c r="DU23" s="559"/>
      <c r="DV23" s="559"/>
      <c r="DW23" s="559"/>
      <c r="DX23" s="559"/>
      <c r="DY23" s="380"/>
      <c r="DZ23" s="559"/>
      <c r="EA23" s="380"/>
      <c r="EB23" s="380"/>
      <c r="EC23" s="497"/>
    </row>
    <row r="24" spans="2:133">
      <c r="B24" s="1023" t="s">
        <v>418</v>
      </c>
      <c r="C24" s="723"/>
      <c r="D24" s="999"/>
      <c r="E24" s="495" t="s">
        <v>476</v>
      </c>
      <c r="F24" s="496"/>
      <c r="G24" s="395" t="s">
        <v>469</v>
      </c>
      <c r="H24" s="395"/>
      <c r="I24" s="498">
        <v>2.4700000000000002</v>
      </c>
      <c r="J24" s="498">
        <v>2.4</v>
      </c>
      <c r="K24" s="498">
        <v>4.9400000000000004</v>
      </c>
      <c r="L24" s="498">
        <v>2.4700000000000002</v>
      </c>
      <c r="M24" s="498">
        <v>2.4700000000000002</v>
      </c>
      <c r="N24" s="498">
        <v>0</v>
      </c>
      <c r="O24" s="498">
        <v>0.37454545454545451</v>
      </c>
      <c r="P24" s="498">
        <v>9.27</v>
      </c>
      <c r="Q24" s="498">
        <v>8.4600000000000009</v>
      </c>
      <c r="R24" s="498">
        <v>8.8699999999999992</v>
      </c>
      <c r="S24" s="498">
        <v>10.18</v>
      </c>
      <c r="T24" s="498">
        <v>12.92</v>
      </c>
      <c r="U24" s="498">
        <v>10.52</v>
      </c>
      <c r="V24" s="498">
        <v>6.81</v>
      </c>
      <c r="W24" s="498">
        <v>6.46</v>
      </c>
      <c r="X24" s="498">
        <v>7.29</v>
      </c>
      <c r="Y24" s="498">
        <v>8</v>
      </c>
      <c r="Z24" s="498">
        <v>8.8800000000000008</v>
      </c>
      <c r="AA24" s="498">
        <v>8.16</v>
      </c>
      <c r="AB24" s="498">
        <v>7.91</v>
      </c>
      <c r="AC24" s="498">
        <v>6.51</v>
      </c>
      <c r="AD24" s="498">
        <v>5.56</v>
      </c>
      <c r="AE24" s="498">
        <v>5.15</v>
      </c>
      <c r="AF24" s="498">
        <v>7.61</v>
      </c>
      <c r="AG24" s="498">
        <v>6.81</v>
      </c>
      <c r="AH24" s="498">
        <v>5.38</v>
      </c>
      <c r="AI24" s="498">
        <v>7.21</v>
      </c>
      <c r="AJ24" s="498">
        <v>5.84</v>
      </c>
      <c r="AK24" s="498">
        <v>5.48</v>
      </c>
      <c r="AL24" s="498">
        <v>5.26</v>
      </c>
      <c r="AM24" s="498">
        <v>6.09</v>
      </c>
      <c r="AN24" s="498">
        <v>6.16</v>
      </c>
      <c r="AO24" s="498">
        <v>6.18</v>
      </c>
      <c r="AP24" s="498">
        <v>6.59</v>
      </c>
      <c r="AQ24" s="498">
        <v>5.62</v>
      </c>
      <c r="AR24" s="498">
        <v>4.68</v>
      </c>
      <c r="AS24" s="498">
        <v>4.4000000000000004</v>
      </c>
      <c r="AT24" s="498">
        <v>7.8</v>
      </c>
      <c r="AU24" s="498">
        <v>7.8</v>
      </c>
      <c r="AV24" s="498">
        <v>4.55</v>
      </c>
      <c r="AW24" s="498">
        <v>4.8600000000000003</v>
      </c>
      <c r="AX24" s="498">
        <v>4.26</v>
      </c>
      <c r="AY24" s="498">
        <v>4.0999999999999996</v>
      </c>
      <c r="AZ24" s="498">
        <v>4.2699999999999996</v>
      </c>
      <c r="BA24" s="498">
        <v>3.98</v>
      </c>
      <c r="BB24" s="498">
        <v>5.65</v>
      </c>
      <c r="BC24" s="498">
        <v>5.71</v>
      </c>
      <c r="BD24" s="498">
        <v>4.37</v>
      </c>
      <c r="BE24" s="498">
        <v>4.92</v>
      </c>
      <c r="BF24" s="498">
        <v>3.78</v>
      </c>
      <c r="BG24" s="498">
        <v>4.95</v>
      </c>
      <c r="BH24" s="498">
        <v>4.2</v>
      </c>
      <c r="BI24" s="498">
        <v>3.91</v>
      </c>
      <c r="BJ24" s="498">
        <v>3.44</v>
      </c>
      <c r="BK24" s="498">
        <v>2.46</v>
      </c>
      <c r="BL24" s="498">
        <v>4.33</v>
      </c>
      <c r="BM24" s="498">
        <v>3.01</v>
      </c>
      <c r="BN24" s="498">
        <v>3.2</v>
      </c>
      <c r="BO24" s="1032">
        <v>0</v>
      </c>
      <c r="BP24" s="1032">
        <v>24.2</v>
      </c>
      <c r="BQ24" s="1032">
        <v>11.26</v>
      </c>
      <c r="BR24" s="1032">
        <v>5</v>
      </c>
      <c r="BS24" s="1032">
        <v>4.99</v>
      </c>
      <c r="BT24" s="1032">
        <v>0</v>
      </c>
      <c r="BU24" s="1032">
        <v>5.85</v>
      </c>
      <c r="BV24" s="1032">
        <v>4.4000000000000004</v>
      </c>
      <c r="BW24" s="1032">
        <v>23.15</v>
      </c>
      <c r="BX24" s="1032">
        <v>2.6</v>
      </c>
      <c r="BY24" s="1032">
        <v>10.1</v>
      </c>
      <c r="BZ24" s="1032">
        <v>10.27</v>
      </c>
      <c r="CA24" s="1032">
        <v>4.4000000000000004</v>
      </c>
      <c r="CB24" s="1032">
        <v>15.37</v>
      </c>
      <c r="CC24" s="1032">
        <v>0</v>
      </c>
      <c r="CD24" s="1032">
        <v>0</v>
      </c>
      <c r="CE24" s="1032">
        <v>6.45</v>
      </c>
      <c r="CF24" s="1032">
        <v>2.2999999999999998</v>
      </c>
      <c r="CG24" s="1032">
        <v>5.83</v>
      </c>
      <c r="CH24" s="1032">
        <v>22.57</v>
      </c>
      <c r="CI24" s="1032">
        <v>4.7</v>
      </c>
      <c r="CJ24" s="1032">
        <v>0</v>
      </c>
      <c r="CK24" s="1032">
        <v>0</v>
      </c>
      <c r="CL24" s="1032">
        <v>4.75</v>
      </c>
      <c r="CM24" s="1032">
        <v>3.57</v>
      </c>
      <c r="CN24" s="1032">
        <v>5.09</v>
      </c>
      <c r="CO24" s="1032">
        <v>21.73</v>
      </c>
      <c r="CP24" s="1032">
        <v>3.58</v>
      </c>
      <c r="CQ24" s="1032">
        <v>2.04</v>
      </c>
      <c r="CR24" s="1032">
        <v>1.03</v>
      </c>
      <c r="CS24" s="498">
        <v>59.2</v>
      </c>
      <c r="CT24" s="498">
        <v>14.610000000000001</v>
      </c>
      <c r="CU24" s="498">
        <v>24</v>
      </c>
      <c r="CV24" s="498">
        <v>24.29</v>
      </c>
      <c r="CW24" s="498">
        <v>3.75</v>
      </c>
      <c r="CX24" s="498">
        <v>3.75</v>
      </c>
      <c r="CY24" s="498">
        <v>59.2</v>
      </c>
      <c r="CZ24" s="498">
        <v>7.41</v>
      </c>
      <c r="DA24" s="498">
        <v>12.21</v>
      </c>
      <c r="DB24" s="498">
        <v>2.4700000000000002</v>
      </c>
      <c r="DC24" s="498">
        <v>3.75</v>
      </c>
      <c r="DD24" s="498">
        <v>3.75</v>
      </c>
      <c r="DE24" s="498">
        <v>0</v>
      </c>
      <c r="DF24" s="498">
        <v>0</v>
      </c>
      <c r="DG24" s="498">
        <v>0</v>
      </c>
      <c r="DH24" s="498">
        <v>36.6</v>
      </c>
      <c r="DI24" s="498">
        <v>4.79</v>
      </c>
      <c r="DJ24" s="498">
        <v>3.75</v>
      </c>
      <c r="DK24" s="498">
        <v>6.14</v>
      </c>
      <c r="DL24" s="498">
        <v>7.4</v>
      </c>
      <c r="DM24" s="498">
        <v>2.4700000000000002</v>
      </c>
      <c r="DN24" s="498">
        <v>0</v>
      </c>
      <c r="DO24" s="498">
        <v>19.8</v>
      </c>
      <c r="DP24" s="498">
        <v>60.210000000000008</v>
      </c>
      <c r="DQ24" s="498">
        <v>3.75</v>
      </c>
      <c r="DR24" s="498">
        <v>3.75</v>
      </c>
      <c r="DS24" s="498">
        <v>9.89</v>
      </c>
      <c r="DT24" s="498">
        <v>73.22</v>
      </c>
      <c r="DU24" s="559"/>
      <c r="DV24" s="559"/>
      <c r="DW24" s="559"/>
      <c r="DX24" s="559"/>
      <c r="DY24" s="380"/>
      <c r="DZ24" s="559"/>
      <c r="EA24" s="380"/>
      <c r="EB24" s="380"/>
      <c r="EC24" s="497"/>
    </row>
    <row r="25" spans="2:133">
      <c r="B25" s="1023" t="s">
        <v>418</v>
      </c>
      <c r="C25" s="723"/>
      <c r="D25" s="999"/>
      <c r="E25" s="495" t="s">
        <v>255</v>
      </c>
      <c r="F25" s="496"/>
      <c r="G25" s="395" t="s">
        <v>469</v>
      </c>
      <c r="H25" s="395"/>
      <c r="I25" s="499">
        <f>0.7*I19+SUM(I20:I24)</f>
        <v>380.21000000000004</v>
      </c>
      <c r="J25" s="499">
        <f t="shared" ref="J25:CY25" si="4">0.7*J19+SUM(J20:J24)</f>
        <v>248.94</v>
      </c>
      <c r="K25" s="499">
        <f t="shared" si="4"/>
        <v>249.26199999999997</v>
      </c>
      <c r="L25" s="499">
        <f t="shared" si="4"/>
        <v>151.76400000000001</v>
      </c>
      <c r="M25" s="499">
        <f t="shared" si="4"/>
        <v>176.87</v>
      </c>
      <c r="N25" s="499">
        <f t="shared" si="4"/>
        <v>18.897350993377483</v>
      </c>
      <c r="O25" s="499">
        <f t="shared" si="4"/>
        <v>93.834333333333319</v>
      </c>
      <c r="P25" s="499">
        <f t="shared" si="4"/>
        <v>399.43299999999999</v>
      </c>
      <c r="Q25" s="499">
        <f t="shared" si="4"/>
        <v>396.22699999999998</v>
      </c>
      <c r="R25" s="499">
        <f t="shared" si="4"/>
        <v>368.55600000000004</v>
      </c>
      <c r="S25" s="499">
        <f t="shared" si="4"/>
        <v>407.32299999999998</v>
      </c>
      <c r="T25" s="499">
        <f t="shared" si="4"/>
        <v>444.54099999999994</v>
      </c>
      <c r="U25" s="499">
        <f t="shared" si="4"/>
        <v>449.92899999999997</v>
      </c>
      <c r="V25" s="499">
        <f t="shared" si="4"/>
        <v>246.31300000000002</v>
      </c>
      <c r="W25" s="499">
        <f t="shared" si="4"/>
        <v>252.23500000000001</v>
      </c>
      <c r="X25" s="499">
        <f t="shared" si="4"/>
        <v>258.10399999999998</v>
      </c>
      <c r="Y25" s="499">
        <f t="shared" si="4"/>
        <v>274.14400000000001</v>
      </c>
      <c r="Z25" s="499">
        <f t="shared" si="4"/>
        <v>283.78899999999999</v>
      </c>
      <c r="AA25" s="499">
        <f t="shared" si="4"/>
        <v>236.97199999999998</v>
      </c>
      <c r="AB25" s="499">
        <f t="shared" si="4"/>
        <v>246.78200000000001</v>
      </c>
      <c r="AC25" s="499">
        <f t="shared" si="4"/>
        <v>213.17899999999997</v>
      </c>
      <c r="AD25" s="499">
        <f t="shared" si="4"/>
        <v>213.79400000000001</v>
      </c>
      <c r="AE25" s="499">
        <f t="shared" si="4"/>
        <v>211.482</v>
      </c>
      <c r="AF25" s="499">
        <f t="shared" si="4"/>
        <v>261.29900000000004</v>
      </c>
      <c r="AG25" s="499">
        <f t="shared" si="4"/>
        <v>257.65800000000002</v>
      </c>
      <c r="AH25" s="499">
        <f t="shared" si="4"/>
        <v>257.15499999999997</v>
      </c>
      <c r="AI25" s="499">
        <f t="shared" si="4"/>
        <v>177.86700000000002</v>
      </c>
      <c r="AJ25" s="499">
        <f t="shared" si="4"/>
        <v>152.62</v>
      </c>
      <c r="AK25" s="499">
        <f t="shared" si="4"/>
        <v>162.47500000000002</v>
      </c>
      <c r="AL25" s="499">
        <f t="shared" si="4"/>
        <v>162.41200000000001</v>
      </c>
      <c r="AM25" s="499">
        <f t="shared" si="4"/>
        <v>187.185</v>
      </c>
      <c r="AN25" s="499">
        <f t="shared" si="4"/>
        <v>174.04300000000001</v>
      </c>
      <c r="AO25" s="499">
        <f t="shared" si="4"/>
        <v>187.97000000000003</v>
      </c>
      <c r="AP25" s="499">
        <f t="shared" si="4"/>
        <v>125.911</v>
      </c>
      <c r="AQ25" s="499">
        <f t="shared" si="4"/>
        <v>112.43199999999999</v>
      </c>
      <c r="AR25" s="499">
        <f t="shared" si="4"/>
        <v>113.78</v>
      </c>
      <c r="AS25" s="499">
        <f t="shared" si="4"/>
        <v>118.345</v>
      </c>
      <c r="AT25" s="499">
        <f t="shared" si="4"/>
        <v>150.39999999999998</v>
      </c>
      <c r="AU25" s="499">
        <f t="shared" si="4"/>
        <v>150.39999999999998</v>
      </c>
      <c r="AV25" s="499">
        <f t="shared" si="4"/>
        <v>99.25</v>
      </c>
      <c r="AW25" s="499">
        <f t="shared" si="4"/>
        <v>104.202</v>
      </c>
      <c r="AX25" s="499">
        <f t="shared" si="4"/>
        <v>100.176</v>
      </c>
      <c r="AY25" s="499">
        <f t="shared" si="4"/>
        <v>104.14449999999999</v>
      </c>
      <c r="AZ25" s="499">
        <f t="shared" si="4"/>
        <v>117.565</v>
      </c>
      <c r="BA25" s="499">
        <f t="shared" si="4"/>
        <v>92.737857142857138</v>
      </c>
      <c r="BB25" s="499">
        <f t="shared" si="4"/>
        <v>106.17133333333334</v>
      </c>
      <c r="BC25" s="499">
        <f t="shared" si="4"/>
        <v>111.27966666666667</v>
      </c>
      <c r="BD25" s="499">
        <f t="shared" si="4"/>
        <v>118.73</v>
      </c>
      <c r="BE25" s="499">
        <f t="shared" si="4"/>
        <v>102.506</v>
      </c>
      <c r="BF25" s="499">
        <f t="shared" si="4"/>
        <v>131.637</v>
      </c>
      <c r="BG25" s="499">
        <f t="shared" si="4"/>
        <v>111.27466666666666</v>
      </c>
      <c r="BH25" s="499">
        <f t="shared" si="4"/>
        <v>52.304333333333332</v>
      </c>
      <c r="BI25" s="499">
        <f t="shared" si="4"/>
        <v>89.387</v>
      </c>
      <c r="BJ25" s="499">
        <f t="shared" si="4"/>
        <v>104.91571428571427</v>
      </c>
      <c r="BK25" s="499">
        <f t="shared" si="4"/>
        <v>91.488</v>
      </c>
      <c r="BL25" s="499">
        <f t="shared" si="4"/>
        <v>134.572</v>
      </c>
      <c r="BM25" s="499">
        <f t="shared" si="4"/>
        <v>98.858999999999995</v>
      </c>
      <c r="BN25" s="499">
        <f t="shared" si="4"/>
        <v>89.884333333333331</v>
      </c>
      <c r="BO25" s="1033">
        <v>462.18</v>
      </c>
      <c r="BP25" s="1033">
        <v>3368.9299999999994</v>
      </c>
      <c r="BQ25" s="1033">
        <v>9873.260000000002</v>
      </c>
      <c r="BR25" s="1033">
        <v>237.64</v>
      </c>
      <c r="BS25" s="1033">
        <v>1972.67</v>
      </c>
      <c r="BT25" s="1033">
        <v>8999.7000000000007</v>
      </c>
      <c r="BU25" s="1033">
        <v>1082.42</v>
      </c>
      <c r="BV25" s="1033">
        <v>2580.2780000000002</v>
      </c>
      <c r="BW25" s="1033">
        <v>7132.1589999999997</v>
      </c>
      <c r="BX25" s="1033">
        <v>2227.1489999999999</v>
      </c>
      <c r="BY25" s="1033">
        <v>5593</v>
      </c>
      <c r="BZ25" s="1033">
        <v>10600.441000000001</v>
      </c>
      <c r="CA25" s="1033">
        <v>300.55</v>
      </c>
      <c r="CB25" s="1033">
        <v>1331.2840000000001</v>
      </c>
      <c r="CC25" s="1033">
        <v>7469.59</v>
      </c>
      <c r="CD25" s="1033">
        <v>713.55799999999999</v>
      </c>
      <c r="CE25" s="1033">
        <v>1742</v>
      </c>
      <c r="CF25" s="1033">
        <v>642.55899999999997</v>
      </c>
      <c r="CG25" s="1033">
        <v>2956.5299999999997</v>
      </c>
      <c r="CH25" s="1033">
        <v>9571.0229999999992</v>
      </c>
      <c r="CI25" s="1033">
        <v>993.13200000000006</v>
      </c>
      <c r="CJ25" s="1033">
        <v>5024.18</v>
      </c>
      <c r="CK25" s="1033">
        <v>19256.45</v>
      </c>
      <c r="CL25" s="1033">
        <v>2589.7509999999997</v>
      </c>
      <c r="CM25" s="1033">
        <v>10714.837</v>
      </c>
      <c r="CN25" s="1033">
        <v>24531.633999999998</v>
      </c>
      <c r="CO25" s="1033">
        <v>938.06500000000005</v>
      </c>
      <c r="CP25" s="1033">
        <v>3257.5699999999997</v>
      </c>
      <c r="CQ25" s="1033">
        <v>8925.2999999999993</v>
      </c>
      <c r="CR25" s="1033">
        <v>205.86600000000001</v>
      </c>
      <c r="CS25" s="499">
        <f t="shared" si="4"/>
        <v>2744.5</v>
      </c>
      <c r="CT25" s="499">
        <f t="shared" si="4"/>
        <v>3848.9300000000003</v>
      </c>
      <c r="CU25" s="499">
        <f t="shared" si="4"/>
        <v>6638.92</v>
      </c>
      <c r="CV25" s="499">
        <f t="shared" si="4"/>
        <v>11929.263000000003</v>
      </c>
      <c r="CW25" s="499">
        <f t="shared" si="4"/>
        <v>236.75</v>
      </c>
      <c r="CX25" s="499">
        <f t="shared" si="4"/>
        <v>347.75</v>
      </c>
      <c r="CY25" s="499">
        <f t="shared" si="4"/>
        <v>2744.5</v>
      </c>
      <c r="CZ25" s="499">
        <f t="shared" ref="CZ25:EB25" si="5">0.7*CZ19+SUM(CZ20:CZ24)</f>
        <v>4393.2359999999999</v>
      </c>
      <c r="DA25" s="499">
        <f t="shared" si="5"/>
        <v>27513.918999999998</v>
      </c>
      <c r="DB25" s="499">
        <f t="shared" si="5"/>
        <v>1534.143</v>
      </c>
      <c r="DC25" s="499">
        <f t="shared" si="5"/>
        <v>236.75</v>
      </c>
      <c r="DD25" s="499">
        <f t="shared" si="5"/>
        <v>347.75</v>
      </c>
      <c r="DE25" s="499">
        <f t="shared" si="5"/>
        <v>1613.08</v>
      </c>
      <c r="DF25" s="499">
        <f t="shared" si="5"/>
        <v>4078.5599999999995</v>
      </c>
      <c r="DG25" s="499">
        <f t="shared" si="5"/>
        <v>15825.56</v>
      </c>
      <c r="DH25" s="499">
        <f t="shared" si="5"/>
        <v>17182.400000000001</v>
      </c>
      <c r="DI25" s="499">
        <f t="shared" si="5"/>
        <v>4013.62</v>
      </c>
      <c r="DJ25" s="499">
        <f t="shared" si="5"/>
        <v>347.75</v>
      </c>
      <c r="DK25" s="499">
        <f t="shared" si="5"/>
        <v>3965</v>
      </c>
      <c r="DL25" s="499">
        <f t="shared" si="5"/>
        <v>5449.67</v>
      </c>
      <c r="DM25" s="499">
        <f t="shared" si="5"/>
        <v>9422.35</v>
      </c>
      <c r="DN25" s="499">
        <f t="shared" si="5"/>
        <v>10472.588</v>
      </c>
      <c r="DO25" s="499">
        <f t="shared" si="5"/>
        <v>4381.4000000000005</v>
      </c>
      <c r="DP25" s="499">
        <f t="shared" si="5"/>
        <v>15550.897999999999</v>
      </c>
      <c r="DQ25" s="499">
        <f t="shared" si="5"/>
        <v>236.75</v>
      </c>
      <c r="DR25" s="499">
        <f t="shared" si="5"/>
        <v>347.75</v>
      </c>
      <c r="DS25" s="499">
        <f t="shared" si="5"/>
        <v>3424.3329999999996</v>
      </c>
      <c r="DT25" s="499">
        <f t="shared" si="5"/>
        <v>34699.520000000004</v>
      </c>
      <c r="DU25" s="499">
        <f t="shared" si="5"/>
        <v>0</v>
      </c>
      <c r="DV25" s="499">
        <f t="shared" si="5"/>
        <v>0</v>
      </c>
      <c r="DW25" s="499">
        <f t="shared" si="5"/>
        <v>0</v>
      </c>
      <c r="DX25" s="499">
        <f t="shared" si="5"/>
        <v>0</v>
      </c>
      <c r="DY25" s="499">
        <f t="shared" si="5"/>
        <v>0</v>
      </c>
      <c r="DZ25" s="499">
        <f t="shared" si="5"/>
        <v>0</v>
      </c>
      <c r="EA25" s="499">
        <f t="shared" si="5"/>
        <v>0</v>
      </c>
      <c r="EB25" s="499">
        <f t="shared" si="5"/>
        <v>0</v>
      </c>
      <c r="EC25" s="497"/>
    </row>
    <row r="26" spans="2:133">
      <c r="B26" s="1023" t="s">
        <v>418</v>
      </c>
      <c r="C26" s="723"/>
      <c r="D26" s="1000"/>
      <c r="E26" s="495" t="s">
        <v>477</v>
      </c>
      <c r="F26" s="496"/>
      <c r="G26" s="395" t="s">
        <v>137</v>
      </c>
      <c r="H26" s="395"/>
      <c r="I26" s="499">
        <f t="shared" ref="I26:O26" si="6">IF(I16=0,0,I25/I16)</f>
        <v>2.1038623284639222</v>
      </c>
      <c r="J26" s="499">
        <f t="shared" si="6"/>
        <v>1.8672367236723673</v>
      </c>
      <c r="K26" s="499">
        <f t="shared" si="6"/>
        <v>2.6393689114781869</v>
      </c>
      <c r="L26" s="499">
        <f t="shared" si="6"/>
        <v>1.3787953120741347</v>
      </c>
      <c r="M26" s="499">
        <f t="shared" si="6"/>
        <v>2.030654420206659</v>
      </c>
      <c r="N26" s="499">
        <f t="shared" si="6"/>
        <v>0.51477602011478052</v>
      </c>
      <c r="O26" s="499">
        <f t="shared" si="6"/>
        <v>0.95870862875011587</v>
      </c>
      <c r="P26" s="499">
        <f t="shared" ref="P26:CS26" si="7">IF(P16=0,0,P25/P16)</f>
        <v>2.3007488047923506</v>
      </c>
      <c r="Q26" s="499">
        <f t="shared" si="7"/>
        <v>2.2618278342276512</v>
      </c>
      <c r="R26" s="499">
        <f t="shared" si="7"/>
        <v>2.2012542555097654</v>
      </c>
      <c r="S26" s="499">
        <f t="shared" si="7"/>
        <v>2.1345928099779896</v>
      </c>
      <c r="T26" s="499">
        <f t="shared" si="7"/>
        <v>2.10483428030303</v>
      </c>
      <c r="U26" s="499">
        <f t="shared" si="7"/>
        <v>2.0044952330036532</v>
      </c>
      <c r="V26" s="499">
        <f t="shared" si="7"/>
        <v>2.01780126157123</v>
      </c>
      <c r="W26" s="499">
        <f t="shared" si="7"/>
        <v>1.8663337032926379</v>
      </c>
      <c r="X26" s="499">
        <f t="shared" si="7"/>
        <v>1.9115982817360389</v>
      </c>
      <c r="Y26" s="499">
        <f t="shared" si="7"/>
        <v>1.9180298047995521</v>
      </c>
      <c r="Z26" s="499">
        <f t="shared" si="7"/>
        <v>1.8491496709454616</v>
      </c>
      <c r="AA26" s="499">
        <f t="shared" si="7"/>
        <v>1.7693720600313594</v>
      </c>
      <c r="AB26" s="499">
        <f t="shared" si="7"/>
        <v>1.9130387596899225</v>
      </c>
      <c r="AC26" s="499">
        <f t="shared" si="7"/>
        <v>2.0421400517290924</v>
      </c>
      <c r="AD26" s="499">
        <f t="shared" si="7"/>
        <v>1.8492690943689993</v>
      </c>
      <c r="AE26" s="499">
        <f t="shared" si="7"/>
        <v>1.8745080659457545</v>
      </c>
      <c r="AF26" s="499">
        <f t="shared" si="7"/>
        <v>2.028876465564097</v>
      </c>
      <c r="AG26" s="499">
        <f t="shared" si="7"/>
        <v>1.8611528459982665</v>
      </c>
      <c r="AH26" s="499">
        <f t="shared" si="7"/>
        <v>1.9346599458320795</v>
      </c>
      <c r="AI26" s="499">
        <f t="shared" si="7"/>
        <v>1.5501743071291618</v>
      </c>
      <c r="AJ26" s="499">
        <f t="shared" si="7"/>
        <v>1.4956879655037241</v>
      </c>
      <c r="AK26" s="499">
        <f t="shared" si="7"/>
        <v>1.427347799349908</v>
      </c>
      <c r="AL26" s="499">
        <f t="shared" si="7"/>
        <v>1.4165896205843873</v>
      </c>
      <c r="AM26" s="499">
        <f t="shared" si="7"/>
        <v>1.5144417475728156</v>
      </c>
      <c r="AN26" s="499">
        <f t="shared" si="7"/>
        <v>1.331112810707457</v>
      </c>
      <c r="AO26" s="499">
        <f t="shared" si="7"/>
        <v>1.5825054723017344</v>
      </c>
      <c r="AP26" s="499">
        <f t="shared" si="7"/>
        <v>1.1974417498811221</v>
      </c>
      <c r="AQ26" s="499">
        <f t="shared" si="7"/>
        <v>1.3842895838463432</v>
      </c>
      <c r="AR26" s="499">
        <f t="shared" si="7"/>
        <v>1.3231771136178627</v>
      </c>
      <c r="AS26" s="499">
        <f t="shared" si="7"/>
        <v>1.1648129921259842</v>
      </c>
      <c r="AT26" s="499">
        <f t="shared" si="7"/>
        <v>1.218800648298217</v>
      </c>
      <c r="AU26" s="499">
        <f t="shared" si="7"/>
        <v>1.218800648298217</v>
      </c>
      <c r="AV26" s="499">
        <f t="shared" si="7"/>
        <v>1.4030251625671475</v>
      </c>
      <c r="AW26" s="499">
        <f t="shared" si="7"/>
        <v>1.2966898954703832</v>
      </c>
      <c r="AX26" s="499">
        <f t="shared" si="7"/>
        <v>1.4639193336256027</v>
      </c>
      <c r="AY26" s="499">
        <f t="shared" si="7"/>
        <v>1.4293782596760911</v>
      </c>
      <c r="AZ26" s="499">
        <f t="shared" si="7"/>
        <v>1.364021348184244</v>
      </c>
      <c r="BA26" s="499">
        <f t="shared" si="7"/>
        <v>1.4104617055947855</v>
      </c>
      <c r="BB26" s="499">
        <f t="shared" si="7"/>
        <v>1.6709369426083307</v>
      </c>
      <c r="BC26" s="499">
        <f t="shared" si="7"/>
        <v>1.7096276949864291</v>
      </c>
      <c r="BD26" s="499">
        <f t="shared" si="7"/>
        <v>1.5144132653061224</v>
      </c>
      <c r="BE26" s="499">
        <f t="shared" si="7"/>
        <v>1.5872716011148964</v>
      </c>
      <c r="BF26" s="499">
        <f t="shared" si="7"/>
        <v>1.5304848273456575</v>
      </c>
      <c r="BG26" s="499">
        <f t="shared" si="7"/>
        <v>1.5213927627381276</v>
      </c>
      <c r="BH26" s="499">
        <f t="shared" si="7"/>
        <v>1.8527925374896681</v>
      </c>
      <c r="BI26" s="499">
        <f t="shared" si="7"/>
        <v>1.375819609050331</v>
      </c>
      <c r="BJ26" s="499">
        <f t="shared" si="7"/>
        <v>1.2747960423537579</v>
      </c>
      <c r="BK26" s="499">
        <f t="shared" si="7"/>
        <v>1.3513737075332348</v>
      </c>
      <c r="BL26" s="499">
        <f t="shared" si="7"/>
        <v>1.4299436829242376</v>
      </c>
      <c r="BM26" s="499">
        <f t="shared" si="7"/>
        <v>1.3364742463160739</v>
      </c>
      <c r="BN26" s="499">
        <f t="shared" si="7"/>
        <v>1.2853472520139184</v>
      </c>
      <c r="BO26" s="1033">
        <v>1.5519811954331766</v>
      </c>
      <c r="BP26" s="1033">
        <v>1.2290879241152861</v>
      </c>
      <c r="BQ26" s="1033">
        <v>1.0441264805414554</v>
      </c>
      <c r="BR26" s="1033">
        <v>1.3493072904837609</v>
      </c>
      <c r="BS26" s="1033">
        <v>1.5368261140542228</v>
      </c>
      <c r="BT26" s="1033">
        <v>1.291761159753122</v>
      </c>
      <c r="BU26" s="1033">
        <v>2.6419819380034175</v>
      </c>
      <c r="BV26" s="1033">
        <v>2.1835305068968438</v>
      </c>
      <c r="BW26" s="1033">
        <v>2.1375528981598033</v>
      </c>
      <c r="BX26" s="1033">
        <v>2.4237384235327406</v>
      </c>
      <c r="BY26" s="1033">
        <v>1.6146073903002309</v>
      </c>
      <c r="BZ26" s="1033">
        <v>1.2291078903124819</v>
      </c>
      <c r="CA26" s="1033">
        <v>1.67065036131184</v>
      </c>
      <c r="CB26" s="1033">
        <v>1.8692558270148836</v>
      </c>
      <c r="CC26" s="1033">
        <v>1.7207309937478981</v>
      </c>
      <c r="CD26" s="1033">
        <v>2.3917610779647385</v>
      </c>
      <c r="CE26" s="1033">
        <v>1.8531914893617021</v>
      </c>
      <c r="CF26" s="1033">
        <v>1.9754634611246042</v>
      </c>
      <c r="CG26" s="1033">
        <v>1.3759622097081956</v>
      </c>
      <c r="CH26" s="1033">
        <v>1.1849945213790027</v>
      </c>
      <c r="CI26" s="1033">
        <v>2.115026833631485</v>
      </c>
      <c r="CJ26" s="1033">
        <v>1.4983463310618375</v>
      </c>
      <c r="CK26" s="1033">
        <v>0.97960310112222371</v>
      </c>
      <c r="CL26" s="1033">
        <v>1.2951863447227334</v>
      </c>
      <c r="CM26" s="1033">
        <v>0.98354675199741504</v>
      </c>
      <c r="CN26" s="1033">
        <v>1.0129270278662315</v>
      </c>
      <c r="CO26" s="1033">
        <v>1.6154038229722749</v>
      </c>
      <c r="CP26" s="1033">
        <v>1.181559007765659</v>
      </c>
      <c r="CQ26" s="1033">
        <v>0.96020526723470168</v>
      </c>
      <c r="CR26" s="1033">
        <v>2.5611594924110479</v>
      </c>
      <c r="CS26" s="499">
        <f t="shared" si="7"/>
        <v>1.5121378747975187</v>
      </c>
      <c r="CT26" s="499">
        <f t="shared" ref="CT26:DT26" si="8">IF(CT16=0,0,CT25/CT16)</f>
        <v>1.6084658074653562</v>
      </c>
      <c r="CU26" s="499">
        <f t="shared" si="8"/>
        <v>1.3182922954725973</v>
      </c>
      <c r="CV26" s="499">
        <f t="shared" si="8"/>
        <v>1.1033426039569256</v>
      </c>
      <c r="CW26" s="499">
        <f t="shared" si="8"/>
        <v>2.8627569528415959</v>
      </c>
      <c r="CX26" s="499">
        <f t="shared" si="8"/>
        <v>2.1996963754823207</v>
      </c>
      <c r="CY26" s="499">
        <f t="shared" si="8"/>
        <v>1.5121378747975187</v>
      </c>
      <c r="CZ26" s="499">
        <f t="shared" si="8"/>
        <v>0.77008385803031787</v>
      </c>
      <c r="DA26" s="499">
        <f t="shared" si="8"/>
        <v>0.78147847391693592</v>
      </c>
      <c r="DB26" s="499">
        <f t="shared" si="8"/>
        <v>1.74835095956603</v>
      </c>
      <c r="DC26" s="499">
        <f t="shared" si="8"/>
        <v>2.8627569528415959</v>
      </c>
      <c r="DD26" s="499">
        <f t="shared" si="8"/>
        <v>2.1996963754823207</v>
      </c>
      <c r="DE26" s="499">
        <f t="shared" si="8"/>
        <v>0.95990383585446837</v>
      </c>
      <c r="DF26" s="499">
        <f t="shared" si="8"/>
        <v>0.93054072553045852</v>
      </c>
      <c r="DG26" s="499">
        <f t="shared" si="8"/>
        <v>0.64249222134890571</v>
      </c>
      <c r="DH26" s="499">
        <f t="shared" si="8"/>
        <v>0.70314977740110729</v>
      </c>
      <c r="DI26" s="499">
        <f t="shared" si="8"/>
        <v>1.0583185012327123</v>
      </c>
      <c r="DJ26" s="499">
        <f t="shared" si="8"/>
        <v>2.1996963754823207</v>
      </c>
      <c r="DK26" s="499">
        <f t="shared" si="8"/>
        <v>1.6800847457627119</v>
      </c>
      <c r="DL26" s="499">
        <f t="shared" si="8"/>
        <v>1.421776676232716</v>
      </c>
      <c r="DM26" s="499">
        <f t="shared" si="8"/>
        <v>1.1070010338831713</v>
      </c>
      <c r="DN26" s="499">
        <f t="shared" si="8"/>
        <v>0.66581397418780597</v>
      </c>
      <c r="DO26" s="499">
        <f t="shared" si="8"/>
        <v>1.3890465245303956</v>
      </c>
      <c r="DP26" s="499">
        <f t="shared" si="8"/>
        <v>1.7844280635885246</v>
      </c>
      <c r="DQ26" s="499">
        <f t="shared" si="8"/>
        <v>2.8627569528415959</v>
      </c>
      <c r="DR26" s="499">
        <f t="shared" si="8"/>
        <v>2.1996963754823207</v>
      </c>
      <c r="DS26" s="499">
        <f t="shared" si="8"/>
        <v>2.2046386907367825</v>
      </c>
      <c r="DT26" s="499">
        <f t="shared" si="8"/>
        <v>1.5071453577109146</v>
      </c>
      <c r="DU26" s="499">
        <f t="shared" ref="DU26:EB26" si="9">IF(DU16=0,0,DU25/DU16)</f>
        <v>0</v>
      </c>
      <c r="DV26" s="499">
        <f t="shared" si="9"/>
        <v>0</v>
      </c>
      <c r="DW26" s="499">
        <f t="shared" si="9"/>
        <v>0</v>
      </c>
      <c r="DX26" s="499">
        <f t="shared" si="9"/>
        <v>0</v>
      </c>
      <c r="DY26" s="499">
        <f t="shared" si="9"/>
        <v>0</v>
      </c>
      <c r="DZ26" s="499">
        <f t="shared" si="9"/>
        <v>0</v>
      </c>
      <c r="EA26" s="499">
        <f t="shared" si="9"/>
        <v>0</v>
      </c>
      <c r="EB26" s="499">
        <f t="shared" si="9"/>
        <v>0</v>
      </c>
      <c r="EC26" s="497"/>
    </row>
    <row r="27" spans="2:133">
      <c r="B27" s="1023" t="s">
        <v>418</v>
      </c>
      <c r="C27" s="723"/>
      <c r="D27" s="1000"/>
      <c r="E27" s="495" t="s">
        <v>478</v>
      </c>
      <c r="F27" s="496"/>
      <c r="G27" s="395" t="s">
        <v>137</v>
      </c>
      <c r="H27" s="395"/>
      <c r="I27" s="499">
        <f>IF(I16=0,0,I23/I16)</f>
        <v>0.30981629039397968</v>
      </c>
      <c r="J27" s="499">
        <f t="shared" ref="J27:CY27" si="10">IF(J16=0,0,J23/J16)</f>
        <v>0.2133963396339634</v>
      </c>
      <c r="K27" s="499">
        <f t="shared" si="10"/>
        <v>0.2423761118170267</v>
      </c>
      <c r="L27" s="499">
        <f t="shared" si="10"/>
        <v>0.14863268828927048</v>
      </c>
      <c r="M27" s="499">
        <f t="shared" si="10"/>
        <v>0.20000000000000004</v>
      </c>
      <c r="N27" s="499">
        <f t="shared" si="10"/>
        <v>0.11803272034366508</v>
      </c>
      <c r="O27" s="499">
        <f t="shared" si="10"/>
        <v>0.24261432242484288</v>
      </c>
      <c r="P27" s="499">
        <f t="shared" si="10"/>
        <v>0.19895167329070904</v>
      </c>
      <c r="Q27" s="499">
        <f t="shared" si="10"/>
        <v>0.23073410206644593</v>
      </c>
      <c r="R27" s="499">
        <f t="shared" si="10"/>
        <v>0.19829182344860541</v>
      </c>
      <c r="S27" s="499">
        <f t="shared" si="10"/>
        <v>0.20878314642071064</v>
      </c>
      <c r="T27" s="499">
        <f t="shared" si="10"/>
        <v>0.22054924242424243</v>
      </c>
      <c r="U27" s="499">
        <f t="shared" si="10"/>
        <v>0.20716385993049985</v>
      </c>
      <c r="V27" s="499">
        <f t="shared" si="10"/>
        <v>0.19267633325141317</v>
      </c>
      <c r="W27" s="499">
        <f t="shared" si="10"/>
        <v>0.22759896411394745</v>
      </c>
      <c r="X27" s="499">
        <f t="shared" si="10"/>
        <v>0.18300992445563616</v>
      </c>
      <c r="Y27" s="499">
        <f t="shared" si="10"/>
        <v>0.1887637304974463</v>
      </c>
      <c r="Z27" s="499">
        <f t="shared" si="10"/>
        <v>0.19893138724180623</v>
      </c>
      <c r="AA27" s="499">
        <f t="shared" si="10"/>
        <v>0.16523557082057794</v>
      </c>
      <c r="AB27" s="499">
        <f t="shared" si="10"/>
        <v>0.18883720930232561</v>
      </c>
      <c r="AC27" s="499">
        <f t="shared" si="10"/>
        <v>0.20097710508669414</v>
      </c>
      <c r="AD27" s="499">
        <f t="shared" si="10"/>
        <v>0.23388980192024911</v>
      </c>
      <c r="AE27" s="499">
        <f t="shared" si="10"/>
        <v>0.17514625066477577</v>
      </c>
      <c r="AF27" s="499">
        <f t="shared" si="10"/>
        <v>0.18534047674508891</v>
      </c>
      <c r="AG27" s="499">
        <f t="shared" si="10"/>
        <v>0.19907541173071369</v>
      </c>
      <c r="AH27" s="499">
        <f t="shared" si="10"/>
        <v>0.21185675594342462</v>
      </c>
      <c r="AI27" s="499">
        <f t="shared" si="10"/>
        <v>0.18459124978211611</v>
      </c>
      <c r="AJ27" s="499">
        <f t="shared" si="10"/>
        <v>0.20834966679733438</v>
      </c>
      <c r="AK27" s="499">
        <f t="shared" si="10"/>
        <v>0.21646314679785647</v>
      </c>
      <c r="AL27" s="499">
        <f t="shared" si="10"/>
        <v>0.16066288704753598</v>
      </c>
      <c r="AM27" s="499">
        <f t="shared" si="10"/>
        <v>0.18543689320388351</v>
      </c>
      <c r="AN27" s="499">
        <f t="shared" si="10"/>
        <v>0.15892925430210325</v>
      </c>
      <c r="AO27" s="499">
        <f t="shared" si="10"/>
        <v>0.1580232362350564</v>
      </c>
      <c r="AP27" s="499">
        <f t="shared" si="10"/>
        <v>0.17308606752258676</v>
      </c>
      <c r="AQ27" s="499">
        <f t="shared" si="10"/>
        <v>0.2101699088894361</v>
      </c>
      <c r="AR27" s="499">
        <f t="shared" si="10"/>
        <v>0.14647051982788695</v>
      </c>
      <c r="AS27" s="499">
        <f t="shared" si="10"/>
        <v>0.17795275590551179</v>
      </c>
      <c r="AT27" s="499">
        <f t="shared" si="10"/>
        <v>0.15020259319286872</v>
      </c>
      <c r="AU27" s="499">
        <f t="shared" si="10"/>
        <v>0.15020259319286872</v>
      </c>
      <c r="AV27" s="499">
        <f t="shared" si="10"/>
        <v>0.23293751767034213</v>
      </c>
      <c r="AW27" s="499">
        <f t="shared" si="10"/>
        <v>0.21801891488302638</v>
      </c>
      <c r="AX27" s="499">
        <f t="shared" si="10"/>
        <v>0.15665643723513076</v>
      </c>
      <c r="AY27" s="499">
        <f t="shared" si="10"/>
        <v>0.17125308811419163</v>
      </c>
      <c r="AZ27" s="499">
        <f t="shared" si="10"/>
        <v>0.20174034110685696</v>
      </c>
      <c r="BA27" s="499">
        <f t="shared" si="10"/>
        <v>0.13116784356328082</v>
      </c>
      <c r="BB27" s="499">
        <f t="shared" si="10"/>
        <v>0.17726366593222115</v>
      </c>
      <c r="BC27" s="499">
        <f t="shared" si="10"/>
        <v>0.21636708147692937</v>
      </c>
      <c r="BD27" s="499">
        <f t="shared" si="10"/>
        <v>0.22088647959183674</v>
      </c>
      <c r="BE27" s="499">
        <f t="shared" si="10"/>
        <v>0.15959533395272013</v>
      </c>
      <c r="BF27" s="499">
        <f t="shared" si="10"/>
        <v>0.18207185211021973</v>
      </c>
      <c r="BG27" s="499">
        <f t="shared" si="10"/>
        <v>0.17865281195880048</v>
      </c>
      <c r="BH27" s="499">
        <f t="shared" si="10"/>
        <v>0.13744243712362736</v>
      </c>
      <c r="BI27" s="499">
        <f t="shared" si="10"/>
        <v>0.16961674619054948</v>
      </c>
      <c r="BJ27" s="499">
        <f t="shared" si="10"/>
        <v>0.16601284499218885</v>
      </c>
      <c r="BK27" s="499">
        <f t="shared" si="10"/>
        <v>0.15128508124076809</v>
      </c>
      <c r="BL27" s="499">
        <f t="shared" si="10"/>
        <v>0.16709170120072259</v>
      </c>
      <c r="BM27" s="499">
        <f t="shared" si="10"/>
        <v>0.1925104772204948</v>
      </c>
      <c r="BN27" s="499">
        <f t="shared" si="10"/>
        <v>0.19123885790552458</v>
      </c>
      <c r="BO27" s="1033">
        <v>0.15490261920752182</v>
      </c>
      <c r="BP27" s="1033">
        <v>0.26990514410798977</v>
      </c>
      <c r="BQ27" s="1033">
        <v>0.26443527918781728</v>
      </c>
      <c r="BR27" s="1033">
        <v>0.19793322734499205</v>
      </c>
      <c r="BS27" s="1033">
        <v>0.15655188532253042</v>
      </c>
      <c r="BT27" s="1033">
        <v>6.0198076647050375E-2</v>
      </c>
      <c r="BU27" s="1033">
        <v>0.18061996582865511</v>
      </c>
      <c r="BV27" s="1033">
        <v>0.1589066598967589</v>
      </c>
      <c r="BW27" s="1033">
        <v>6.9951447581370257E-2</v>
      </c>
      <c r="BX27" s="1033">
        <v>0.2011448595588155</v>
      </c>
      <c r="BY27" s="1033">
        <v>0.10221420323325635</v>
      </c>
      <c r="BZ27" s="1033">
        <v>0.22135660038263089</v>
      </c>
      <c r="CA27" s="1033">
        <v>0.26814897165091717</v>
      </c>
      <c r="CB27" s="1033">
        <v>0.24359730412805392</v>
      </c>
      <c r="CC27" s="1033">
        <v>0.21936493017641343</v>
      </c>
      <c r="CD27" s="1033">
        <v>0.20402896024669842</v>
      </c>
      <c r="CE27" s="1033">
        <v>0.21302127659574469</v>
      </c>
      <c r="CF27" s="1033">
        <v>0.21240815322655027</v>
      </c>
      <c r="CG27" s="1033">
        <v>0.14599525294364035</v>
      </c>
      <c r="CH27" s="1033">
        <v>0.20296402681738548</v>
      </c>
      <c r="CI27" s="1033">
        <v>0.17654825794360676</v>
      </c>
      <c r="CJ27" s="1033">
        <v>0.1231081222134411</v>
      </c>
      <c r="CK27" s="1033">
        <v>9.3791650981309815E-2</v>
      </c>
      <c r="CL27" s="1033">
        <v>0.16135372489397456</v>
      </c>
      <c r="CM27" s="1033">
        <v>0.10484868846199037</v>
      </c>
      <c r="CN27" s="1033">
        <v>0.10891027377350264</v>
      </c>
      <c r="CO27" s="1033">
        <v>0.1648183227139659</v>
      </c>
      <c r="CP27" s="1033">
        <v>0.30009684404481662</v>
      </c>
      <c r="CQ27" s="1033">
        <v>0.14772140459592045</v>
      </c>
      <c r="CR27" s="1033">
        <v>0.16098531973127647</v>
      </c>
      <c r="CS27" s="499">
        <f t="shared" si="10"/>
        <v>0.22082887965707612</v>
      </c>
      <c r="CT27" s="499">
        <f t="shared" si="10"/>
        <v>7.3516874780602773E-2</v>
      </c>
      <c r="CU27" s="499">
        <f t="shared" si="10"/>
        <v>8.3617950754567127E-2</v>
      </c>
      <c r="CV27" s="499">
        <f t="shared" si="10"/>
        <v>7.2899103120349473E-2</v>
      </c>
      <c r="CW27" s="499">
        <f t="shared" si="10"/>
        <v>0.36154776299879077</v>
      </c>
      <c r="CX27" s="499">
        <f t="shared" si="10"/>
        <v>0.330824214055285</v>
      </c>
      <c r="CY27" s="499">
        <f t="shared" si="10"/>
        <v>0.22082887965707612</v>
      </c>
      <c r="CZ27" s="499">
        <f t="shared" ref="CZ27:EB27" si="11">IF(CZ16=0,0,CZ23/CZ16)</f>
        <v>9.2783722006422584E-2</v>
      </c>
      <c r="DA27" s="499">
        <f t="shared" si="11"/>
        <v>0.42837240453175918</v>
      </c>
      <c r="DB27" s="499">
        <f t="shared" si="11"/>
        <v>0.10346674568081324</v>
      </c>
      <c r="DC27" s="499">
        <f t="shared" si="11"/>
        <v>0.36154776299879077</v>
      </c>
      <c r="DD27" s="499">
        <f t="shared" si="11"/>
        <v>0.330824214055285</v>
      </c>
      <c r="DE27" s="499">
        <f t="shared" si="11"/>
        <v>8.3608059697939843E-2</v>
      </c>
      <c r="DF27" s="499">
        <f t="shared" si="11"/>
        <v>0.22673967602099018</v>
      </c>
      <c r="DG27" s="499">
        <f t="shared" si="11"/>
        <v>0.41528902804211842</v>
      </c>
      <c r="DH27" s="499">
        <f t="shared" si="11"/>
        <v>0.36736285686107528</v>
      </c>
      <c r="DI27" s="499">
        <f t="shared" si="11"/>
        <v>0.25387809990902976</v>
      </c>
      <c r="DJ27" s="499">
        <f t="shared" si="11"/>
        <v>0.330824214055285</v>
      </c>
      <c r="DK27" s="499">
        <f t="shared" si="11"/>
        <v>0.17926271186440676</v>
      </c>
      <c r="DL27" s="499">
        <f t="shared" si="11"/>
        <v>0.15734933472475868</v>
      </c>
      <c r="DM27" s="499">
        <f t="shared" si="11"/>
        <v>0.14074909535222518</v>
      </c>
      <c r="DN27" s="499">
        <f t="shared" si="11"/>
        <v>0.2660054676076038</v>
      </c>
      <c r="DO27" s="499">
        <f t="shared" si="11"/>
        <v>5.6241578822223984E-2</v>
      </c>
      <c r="DP27" s="499">
        <f t="shared" si="11"/>
        <v>3.7935553163705803E-2</v>
      </c>
      <c r="DQ27" s="499">
        <f t="shared" si="11"/>
        <v>0.36154776299879077</v>
      </c>
      <c r="DR27" s="499">
        <f t="shared" si="11"/>
        <v>0.330824214055285</v>
      </c>
      <c r="DS27" s="499">
        <f t="shared" si="11"/>
        <v>8.8782158584635978E-2</v>
      </c>
      <c r="DT27" s="499">
        <f t="shared" si="11"/>
        <v>1.3273486818159314E-2</v>
      </c>
      <c r="DU27" s="499">
        <f t="shared" si="11"/>
        <v>0</v>
      </c>
      <c r="DV27" s="499">
        <f t="shared" si="11"/>
        <v>0</v>
      </c>
      <c r="DW27" s="499">
        <f t="shared" si="11"/>
        <v>0</v>
      </c>
      <c r="DX27" s="499">
        <f t="shared" si="11"/>
        <v>0</v>
      </c>
      <c r="DY27" s="499">
        <f t="shared" si="11"/>
        <v>0</v>
      </c>
      <c r="DZ27" s="499">
        <f t="shared" si="11"/>
        <v>0</v>
      </c>
      <c r="EA27" s="499">
        <f t="shared" si="11"/>
        <v>0</v>
      </c>
      <c r="EB27" s="499">
        <f t="shared" si="11"/>
        <v>0</v>
      </c>
      <c r="EC27" s="497"/>
    </row>
    <row r="28" spans="2:133" ht="38.25">
      <c r="B28" s="1023" t="s">
        <v>418</v>
      </c>
      <c r="C28" s="723"/>
      <c r="D28" s="1000"/>
      <c r="E28" s="519" t="s">
        <v>479</v>
      </c>
      <c r="F28" s="519"/>
      <c r="G28" s="519"/>
      <c r="H28" s="520"/>
      <c r="I28" s="1098" t="str">
        <f>HYPERLINK("https://www.rvo.nl/sites/default/files/2017/02/Referentiegebouwen%20BENG.pdf","BENG referentie woningen")</f>
        <v>BENG referentie woningen</v>
      </c>
      <c r="J28" s="1098" t="str">
        <f t="shared" ref="J28:O28" si="12">HYPERLINK("https://www.rvo.nl/sites/default/files/2017/02/Referentiegebouwen%20BENG.pdf","BENG referentie woningen")</f>
        <v>BENG referentie woningen</v>
      </c>
      <c r="K28" s="1098" t="str">
        <f t="shared" si="12"/>
        <v>BENG referentie woningen</v>
      </c>
      <c r="L28" s="1098" t="str">
        <f t="shared" si="12"/>
        <v>BENG referentie woningen</v>
      </c>
      <c r="M28" s="1098" t="str">
        <f t="shared" si="12"/>
        <v>BENG referentie woningen</v>
      </c>
      <c r="N28" s="1098" t="str">
        <f t="shared" si="12"/>
        <v>BENG referentie woningen</v>
      </c>
      <c r="O28" s="1098" t="str">
        <f t="shared" si="12"/>
        <v>BENG referentie woningen</v>
      </c>
      <c r="P28" s="1098" t="str">
        <f>HYPERLINK("https://www.rvo.nl/onderwerpen/wetten-en-regels-gebouwen/voorbeeldwoningen-bestaande-bouw","Voorbeeld- woningen bestaand 2022")</f>
        <v>Voorbeeld- woningen bestaand 2022</v>
      </c>
      <c r="Q28" s="1098" t="str">
        <f t="shared" ref="Q28:BN28" si="13">HYPERLINK("https://www.rvo.nl/onderwerpen/wetten-en-regels-gebouwen/voorbeeldwoningen-bestaande-bouw","Voorbeeld- woningen bestaand 2022")</f>
        <v>Voorbeeld- woningen bestaand 2022</v>
      </c>
      <c r="R28" s="1098" t="str">
        <f t="shared" si="13"/>
        <v>Voorbeeld- woningen bestaand 2022</v>
      </c>
      <c r="S28" s="1098" t="str">
        <f t="shared" si="13"/>
        <v>Voorbeeld- woningen bestaand 2022</v>
      </c>
      <c r="T28" s="1098" t="str">
        <f t="shared" si="13"/>
        <v>Voorbeeld- woningen bestaand 2022</v>
      </c>
      <c r="U28" s="1098" t="str">
        <f t="shared" si="13"/>
        <v>Voorbeeld- woningen bestaand 2022</v>
      </c>
      <c r="V28" s="1098" t="str">
        <f t="shared" si="13"/>
        <v>Voorbeeld- woningen bestaand 2022</v>
      </c>
      <c r="W28" s="1098" t="str">
        <f t="shared" si="13"/>
        <v>Voorbeeld- woningen bestaand 2022</v>
      </c>
      <c r="X28" s="1098" t="str">
        <f t="shared" si="13"/>
        <v>Voorbeeld- woningen bestaand 2022</v>
      </c>
      <c r="Y28" s="1098" t="str">
        <f t="shared" si="13"/>
        <v>Voorbeeld- woningen bestaand 2022</v>
      </c>
      <c r="Z28" s="1098" t="str">
        <f t="shared" si="13"/>
        <v>Voorbeeld- woningen bestaand 2022</v>
      </c>
      <c r="AA28" s="1098" t="str">
        <f t="shared" si="13"/>
        <v>Voorbeeld- woningen bestaand 2022</v>
      </c>
      <c r="AB28" s="1098" t="str">
        <f t="shared" si="13"/>
        <v>Voorbeeld- woningen bestaand 2022</v>
      </c>
      <c r="AC28" s="1098" t="str">
        <f t="shared" si="13"/>
        <v>Voorbeeld- woningen bestaand 2022</v>
      </c>
      <c r="AD28" s="1098" t="str">
        <f t="shared" si="13"/>
        <v>Voorbeeld- woningen bestaand 2022</v>
      </c>
      <c r="AE28" s="1098" t="str">
        <f t="shared" si="13"/>
        <v>Voorbeeld- woningen bestaand 2022</v>
      </c>
      <c r="AF28" s="1098" t="str">
        <f t="shared" si="13"/>
        <v>Voorbeeld- woningen bestaand 2022</v>
      </c>
      <c r="AG28" s="1098" t="str">
        <f t="shared" si="13"/>
        <v>Voorbeeld- woningen bestaand 2022</v>
      </c>
      <c r="AH28" s="1098" t="str">
        <f t="shared" si="13"/>
        <v>Voorbeeld- woningen bestaand 2022</v>
      </c>
      <c r="AI28" s="1098" t="str">
        <f t="shared" si="13"/>
        <v>Voorbeeld- woningen bestaand 2022</v>
      </c>
      <c r="AJ28" s="1098" t="str">
        <f t="shared" si="13"/>
        <v>Voorbeeld- woningen bestaand 2022</v>
      </c>
      <c r="AK28" s="1098" t="str">
        <f t="shared" si="13"/>
        <v>Voorbeeld- woningen bestaand 2022</v>
      </c>
      <c r="AL28" s="1098" t="str">
        <f t="shared" si="13"/>
        <v>Voorbeeld- woningen bestaand 2022</v>
      </c>
      <c r="AM28" s="1098" t="str">
        <f t="shared" si="13"/>
        <v>Voorbeeld- woningen bestaand 2022</v>
      </c>
      <c r="AN28" s="1098" t="str">
        <f t="shared" si="13"/>
        <v>Voorbeeld- woningen bestaand 2022</v>
      </c>
      <c r="AO28" s="1098" t="str">
        <f t="shared" si="13"/>
        <v>Voorbeeld- woningen bestaand 2022</v>
      </c>
      <c r="AP28" s="1098" t="str">
        <f t="shared" si="13"/>
        <v>Voorbeeld- woningen bestaand 2022</v>
      </c>
      <c r="AQ28" s="1098" t="str">
        <f t="shared" si="13"/>
        <v>Voorbeeld- woningen bestaand 2022</v>
      </c>
      <c r="AR28" s="1098" t="str">
        <f t="shared" si="13"/>
        <v>Voorbeeld- woningen bestaand 2022</v>
      </c>
      <c r="AS28" s="1098" t="str">
        <f t="shared" si="13"/>
        <v>Voorbeeld- woningen bestaand 2022</v>
      </c>
      <c r="AT28" s="1098" t="str">
        <f t="shared" si="13"/>
        <v>Voorbeeld- woningen bestaand 2022</v>
      </c>
      <c r="AU28" s="1098" t="str">
        <f t="shared" si="13"/>
        <v>Voorbeeld- woningen bestaand 2022</v>
      </c>
      <c r="AV28" s="1098" t="str">
        <f t="shared" si="13"/>
        <v>Voorbeeld- woningen bestaand 2022</v>
      </c>
      <c r="AW28" s="1098" t="str">
        <f t="shared" si="13"/>
        <v>Voorbeeld- woningen bestaand 2022</v>
      </c>
      <c r="AX28" s="1098" t="str">
        <f t="shared" si="13"/>
        <v>Voorbeeld- woningen bestaand 2022</v>
      </c>
      <c r="AY28" s="1098" t="str">
        <f t="shared" si="13"/>
        <v>Voorbeeld- woningen bestaand 2022</v>
      </c>
      <c r="AZ28" s="1098" t="str">
        <f t="shared" si="13"/>
        <v>Voorbeeld- woningen bestaand 2022</v>
      </c>
      <c r="BA28" s="1098" t="str">
        <f t="shared" si="13"/>
        <v>Voorbeeld- woningen bestaand 2022</v>
      </c>
      <c r="BB28" s="1098" t="str">
        <f t="shared" si="13"/>
        <v>Voorbeeld- woningen bestaand 2022</v>
      </c>
      <c r="BC28" s="1098" t="str">
        <f t="shared" si="13"/>
        <v>Voorbeeld- woningen bestaand 2022</v>
      </c>
      <c r="BD28" s="1098" t="str">
        <f t="shared" si="13"/>
        <v>Voorbeeld- woningen bestaand 2022</v>
      </c>
      <c r="BE28" s="1098" t="str">
        <f t="shared" si="13"/>
        <v>Voorbeeld- woningen bestaand 2022</v>
      </c>
      <c r="BF28" s="1098" t="str">
        <f t="shared" si="13"/>
        <v>Voorbeeld- woningen bestaand 2022</v>
      </c>
      <c r="BG28" s="1098" t="str">
        <f t="shared" si="13"/>
        <v>Voorbeeld- woningen bestaand 2022</v>
      </c>
      <c r="BH28" s="1098" t="str">
        <f t="shared" si="13"/>
        <v>Voorbeeld- woningen bestaand 2022</v>
      </c>
      <c r="BI28" s="1098" t="str">
        <f t="shared" si="13"/>
        <v>Voorbeeld- woningen bestaand 2022</v>
      </c>
      <c r="BJ28" s="1098" t="str">
        <f t="shared" si="13"/>
        <v>Voorbeeld- woningen bestaand 2022</v>
      </c>
      <c r="BK28" s="1098" t="str">
        <f t="shared" si="13"/>
        <v>Voorbeeld- woningen bestaand 2022</v>
      </c>
      <c r="BL28" s="1098" t="str">
        <f t="shared" si="13"/>
        <v>Voorbeeld- woningen bestaand 2022</v>
      </c>
      <c r="BM28" s="1098" t="str">
        <f t="shared" si="13"/>
        <v>Voorbeeld- woningen bestaand 2022</v>
      </c>
      <c r="BN28" s="1098" t="str">
        <f t="shared" si="13"/>
        <v>Voorbeeld- woningen bestaand 2022</v>
      </c>
      <c r="BO28" s="1034" t="s">
        <v>2026</v>
      </c>
      <c r="BP28" s="1034" t="s">
        <v>2026</v>
      </c>
      <c r="BQ28" s="1034" t="s">
        <v>2026</v>
      </c>
      <c r="BR28" s="1034" t="s">
        <v>2026</v>
      </c>
      <c r="BS28" s="1034" t="s">
        <v>2026</v>
      </c>
      <c r="BT28" s="1034" t="s">
        <v>2026</v>
      </c>
      <c r="BU28" s="1034" t="s">
        <v>2026</v>
      </c>
      <c r="BV28" s="1034" t="s">
        <v>2026</v>
      </c>
      <c r="BW28" s="1034" t="s">
        <v>2026</v>
      </c>
      <c r="BX28" s="1034" t="s">
        <v>2026</v>
      </c>
      <c r="BY28" s="1034" t="s">
        <v>2026</v>
      </c>
      <c r="BZ28" s="1034" t="s">
        <v>2026</v>
      </c>
      <c r="CA28" s="1034" t="s">
        <v>2026</v>
      </c>
      <c r="CB28" s="1034" t="s">
        <v>2026</v>
      </c>
      <c r="CC28" s="1034" t="s">
        <v>2026</v>
      </c>
      <c r="CD28" s="1034" t="s">
        <v>2026</v>
      </c>
      <c r="CE28" s="1034" t="s">
        <v>2026</v>
      </c>
      <c r="CF28" s="1034" t="s">
        <v>2026</v>
      </c>
      <c r="CG28" s="1034" t="s">
        <v>2026</v>
      </c>
      <c r="CH28" s="1034" t="s">
        <v>2026</v>
      </c>
      <c r="CI28" s="1034" t="s">
        <v>2026</v>
      </c>
      <c r="CJ28" s="1034" t="s">
        <v>2026</v>
      </c>
      <c r="CK28" s="1034" t="s">
        <v>2026</v>
      </c>
      <c r="CL28" s="1034" t="s">
        <v>2026</v>
      </c>
      <c r="CM28" s="1034" t="s">
        <v>2026</v>
      </c>
      <c r="CN28" s="1034" t="s">
        <v>2026</v>
      </c>
      <c r="CO28" s="1034" t="s">
        <v>2026</v>
      </c>
      <c r="CP28" s="1034" t="s">
        <v>2026</v>
      </c>
      <c r="CQ28" s="1034" t="s">
        <v>2026</v>
      </c>
      <c r="CR28" s="1034" t="s">
        <v>2026</v>
      </c>
      <c r="CS28" s="521" t="s">
        <v>480</v>
      </c>
      <c r="CT28" s="521" t="s">
        <v>480</v>
      </c>
      <c r="CU28" s="521" t="s">
        <v>480</v>
      </c>
      <c r="CV28" s="521" t="s">
        <v>480</v>
      </c>
      <c r="CW28" s="521" t="s">
        <v>480</v>
      </c>
      <c r="CX28" s="521" t="s">
        <v>480</v>
      </c>
      <c r="CY28" s="521" t="s">
        <v>480</v>
      </c>
      <c r="CZ28" s="521" t="s">
        <v>480</v>
      </c>
      <c r="DA28" s="521" t="s">
        <v>480</v>
      </c>
      <c r="DB28" s="521" t="s">
        <v>480</v>
      </c>
      <c r="DC28" s="521" t="s">
        <v>480</v>
      </c>
      <c r="DD28" s="521" t="s">
        <v>480</v>
      </c>
      <c r="DE28" s="521" t="s">
        <v>480</v>
      </c>
      <c r="DF28" s="521" t="s">
        <v>480</v>
      </c>
      <c r="DG28" s="521" t="s">
        <v>480</v>
      </c>
      <c r="DH28" s="521" t="s">
        <v>480</v>
      </c>
      <c r="DI28" s="521" t="s">
        <v>480</v>
      </c>
      <c r="DJ28" s="521" t="s">
        <v>480</v>
      </c>
      <c r="DK28" s="521" t="s">
        <v>480</v>
      </c>
      <c r="DL28" s="521" t="s">
        <v>480</v>
      </c>
      <c r="DM28" s="521" t="s">
        <v>480</v>
      </c>
      <c r="DN28" s="521" t="s">
        <v>480</v>
      </c>
      <c r="DO28" s="521" t="s">
        <v>480</v>
      </c>
      <c r="DP28" s="521" t="s">
        <v>480</v>
      </c>
      <c r="DQ28" s="521" t="s">
        <v>480</v>
      </c>
      <c r="DR28" s="521" t="s">
        <v>480</v>
      </c>
      <c r="DS28" s="521" t="s">
        <v>480</v>
      </c>
      <c r="DT28" s="521" t="s">
        <v>480</v>
      </c>
      <c r="DU28" s="521"/>
      <c r="DV28" s="521"/>
      <c r="DW28" s="521"/>
      <c r="DX28" s="521"/>
      <c r="DY28" s="521"/>
      <c r="DZ28" s="521"/>
      <c r="EA28" s="521"/>
      <c r="EB28" s="521"/>
      <c r="EC28" s="521"/>
    </row>
    <row r="29" spans="2:133">
      <c r="B29" s="1023" t="s">
        <v>418</v>
      </c>
      <c r="C29" s="723"/>
      <c r="D29" s="1000"/>
      <c r="E29" s="5"/>
      <c r="F29" s="5"/>
      <c r="G29" s="5"/>
      <c r="H29" s="16"/>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row>
    <row r="30" spans="2:133" hidden="1">
      <c r="B30" s="1023" t="s">
        <v>481</v>
      </c>
      <c r="C30" s="723"/>
      <c r="D30" s="1000"/>
      <c r="E30" s="5"/>
      <c r="F30" s="5"/>
      <c r="G30" s="5"/>
      <c r="H30" s="16"/>
      <c r="I30" s="85"/>
      <c r="J30" s="16"/>
      <c r="K30" s="16"/>
      <c r="L30" s="16"/>
      <c r="M30" s="16"/>
      <c r="N30" s="16"/>
      <c r="O30" s="16"/>
      <c r="P30" s="16"/>
      <c r="Q30" s="16"/>
      <c r="R30" s="16"/>
      <c r="S30" s="16"/>
      <c r="T30" s="16"/>
      <c r="U30" s="16"/>
      <c r="V30" s="16"/>
      <c r="W30" s="16"/>
      <c r="X30" s="16"/>
      <c r="Y30" s="20"/>
      <c r="Z30" s="5"/>
      <c r="AA30" s="5"/>
      <c r="AB30" s="5"/>
      <c r="AC30" s="5"/>
      <c r="AD30" s="5"/>
      <c r="AE30" s="5"/>
      <c r="AF30" s="5"/>
      <c r="AG30" s="5"/>
      <c r="AH30" s="5"/>
      <c r="AI30" s="5"/>
      <c r="AJ30" s="5"/>
      <c r="AK30" s="5"/>
      <c r="AL30" s="5"/>
      <c r="AM30" s="5"/>
      <c r="AN30" s="5"/>
      <c r="AO30" s="5"/>
      <c r="AP30" s="5"/>
      <c r="AQ30" s="5"/>
      <c r="AR30" s="5"/>
      <c r="AS30" s="437"/>
    </row>
    <row r="31" spans="2:133" ht="21" hidden="1">
      <c r="B31" s="1023" t="s">
        <v>481</v>
      </c>
      <c r="C31" s="723"/>
      <c r="D31" s="999"/>
      <c r="E31" s="240" t="s">
        <v>481</v>
      </c>
      <c r="F31" s="240"/>
      <c r="G31" s="240"/>
      <c r="H31" s="240"/>
      <c r="I31" s="240"/>
      <c r="J31" s="240"/>
      <c r="K31" s="240"/>
      <c r="L31" s="240"/>
      <c r="M31" s="240"/>
      <c r="N31" s="240"/>
      <c r="O31" s="240"/>
      <c r="P31" s="240"/>
      <c r="Q31" s="240"/>
      <c r="R31" s="240"/>
      <c r="S31" s="240"/>
      <c r="T31" s="240"/>
      <c r="U31" s="240"/>
      <c r="V31" s="240"/>
      <c r="W31" s="240"/>
      <c r="X31" s="16"/>
      <c r="Y31" s="16"/>
      <c r="Z31" s="5"/>
      <c r="AA31" s="5"/>
      <c r="AB31" s="1020" t="s">
        <v>482</v>
      </c>
      <c r="AH31" s="5"/>
      <c r="AI31" s="5"/>
      <c r="AJ31" s="5"/>
      <c r="AK31" s="5"/>
      <c r="AL31" s="5"/>
      <c r="AM31" s="5"/>
      <c r="AN31" s="5"/>
      <c r="AO31" s="5"/>
      <c r="AP31" s="5"/>
      <c r="AQ31" s="5"/>
      <c r="AR31" s="5"/>
      <c r="AS31" s="437"/>
    </row>
    <row r="32" spans="2:133" hidden="1">
      <c r="B32" s="1023" t="s">
        <v>481</v>
      </c>
      <c r="C32" s="723"/>
      <c r="D32" s="1000"/>
      <c r="E32" s="506" t="s">
        <v>483</v>
      </c>
      <c r="F32" s="506"/>
      <c r="G32" s="506" t="s">
        <v>420</v>
      </c>
      <c r="H32" s="507"/>
      <c r="I32" s="508">
        <f t="shared" ref="I32:V32" ca="1" si="14">OFFSET(I32,0,-1)+1</f>
        <v>1</v>
      </c>
      <c r="J32" s="508">
        <f t="shared" ca="1" si="14"/>
        <v>2</v>
      </c>
      <c r="K32" s="508">
        <f t="shared" ca="1" si="14"/>
        <v>3</v>
      </c>
      <c r="L32" s="508">
        <f t="shared" ca="1" si="14"/>
        <v>4</v>
      </c>
      <c r="M32" s="508">
        <f t="shared" ca="1" si="14"/>
        <v>5</v>
      </c>
      <c r="N32" s="508">
        <f t="shared" ca="1" si="14"/>
        <v>6</v>
      </c>
      <c r="O32" s="508">
        <f t="shared" ca="1" si="14"/>
        <v>7</v>
      </c>
      <c r="P32" s="508">
        <f t="shared" ca="1" si="14"/>
        <v>8</v>
      </c>
      <c r="Q32" s="508">
        <f t="shared" ca="1" si="14"/>
        <v>9</v>
      </c>
      <c r="R32" s="508">
        <f t="shared" ca="1" si="14"/>
        <v>10</v>
      </c>
      <c r="S32" s="508">
        <f t="shared" ca="1" si="14"/>
        <v>11</v>
      </c>
      <c r="T32" s="508">
        <f t="shared" ca="1" si="14"/>
        <v>12</v>
      </c>
      <c r="U32" s="508">
        <f t="shared" ca="1" si="14"/>
        <v>13</v>
      </c>
      <c r="V32" s="508">
        <f t="shared" ca="1" si="14"/>
        <v>14</v>
      </c>
      <c r="W32" s="508"/>
      <c r="X32" s="16"/>
      <c r="Y32" s="16"/>
      <c r="Z32" s="5"/>
      <c r="AA32" s="5"/>
      <c r="AH32" s="5"/>
      <c r="AI32" s="5"/>
      <c r="AJ32" s="5"/>
      <c r="AK32" s="5"/>
      <c r="AL32" s="5"/>
      <c r="AM32" s="5"/>
      <c r="AN32" s="5"/>
      <c r="AO32" s="5"/>
      <c r="AP32" s="5"/>
      <c r="AQ32" s="5"/>
      <c r="AR32" s="5"/>
      <c r="AS32" s="22"/>
    </row>
    <row r="33" spans="2:99" ht="18.75" hidden="1">
      <c r="B33" s="1023" t="s">
        <v>481</v>
      </c>
      <c r="C33" s="723"/>
      <c r="D33" s="999"/>
      <c r="E33" s="403" t="s">
        <v>484</v>
      </c>
      <c r="F33" s="404"/>
      <c r="G33" s="403"/>
      <c r="H33" s="509"/>
      <c r="I33" s="509"/>
      <c r="J33" s="509"/>
      <c r="K33" s="509"/>
      <c r="L33" s="509"/>
      <c r="M33" s="509"/>
      <c r="N33" s="509"/>
      <c r="O33" s="509"/>
      <c r="P33" s="684"/>
      <c r="Q33" s="684"/>
      <c r="R33" s="684" t="s">
        <v>485</v>
      </c>
      <c r="S33" s="684" t="s">
        <v>485</v>
      </c>
      <c r="T33" s="684" t="s">
        <v>485</v>
      </c>
      <c r="U33" s="684" t="s">
        <v>485</v>
      </c>
      <c r="V33" s="684" t="s">
        <v>485</v>
      </c>
      <c r="W33" s="509"/>
      <c r="X33" s="16"/>
      <c r="Y33" s="16"/>
      <c r="Z33" s="5"/>
      <c r="AA33" s="5"/>
      <c r="AB33" s="1007"/>
      <c r="AC33" s="1008"/>
      <c r="AD33" s="1009" t="s">
        <v>486</v>
      </c>
      <c r="AE33" s="1009" t="s">
        <v>487</v>
      </c>
      <c r="AF33" s="1009" t="s">
        <v>488</v>
      </c>
      <c r="AG33" s="1009" t="s">
        <v>489</v>
      </c>
      <c r="AH33" s="1009" t="s">
        <v>490</v>
      </c>
      <c r="AI33" s="1009" t="s">
        <v>491</v>
      </c>
      <c r="AJ33" s="5"/>
      <c r="AK33" s="5"/>
      <c r="AL33" s="5"/>
      <c r="AM33" s="5"/>
      <c r="AN33" s="5"/>
      <c r="AO33" s="5"/>
      <c r="AP33" s="22"/>
      <c r="AQ33" s="22"/>
      <c r="AR33" s="22"/>
      <c r="AS33" s="22"/>
    </row>
    <row r="34" spans="2:99" ht="25.5" hidden="1">
      <c r="B34" s="1023" t="s">
        <v>481</v>
      </c>
      <c r="C34" s="723"/>
      <c r="D34" s="1000"/>
      <c r="E34" s="395" t="s">
        <v>492</v>
      </c>
      <c r="F34" s="396"/>
      <c r="G34" s="395" t="s">
        <v>68</v>
      </c>
      <c r="H34" s="408"/>
      <c r="I34" s="494" t="s">
        <v>1061</v>
      </c>
      <c r="J34" s="494" t="s">
        <v>966</v>
      </c>
      <c r="K34" s="494" t="s">
        <v>1060</v>
      </c>
      <c r="L34" s="494" t="s">
        <v>1051</v>
      </c>
      <c r="M34" s="494" t="s">
        <v>1019</v>
      </c>
      <c r="N34" s="494" t="s">
        <v>495</v>
      </c>
      <c r="O34" s="494" t="s">
        <v>496</v>
      </c>
      <c r="P34" s="494" t="s">
        <v>497</v>
      </c>
      <c r="Q34" s="494" t="s">
        <v>498</v>
      </c>
      <c r="R34" s="557" t="s">
        <v>485</v>
      </c>
      <c r="S34" s="557"/>
      <c r="T34" s="557"/>
      <c r="U34" s="557"/>
      <c r="V34" s="557"/>
      <c r="W34" s="501"/>
      <c r="X34" s="16"/>
      <c r="Y34" s="16"/>
      <c r="Z34" s="5"/>
      <c r="AA34" s="5"/>
      <c r="AB34" s="1010"/>
      <c r="AC34" s="1008"/>
      <c r="AD34" s="1011" t="s">
        <v>134</v>
      </c>
      <c r="AE34" s="1011" t="s">
        <v>499</v>
      </c>
      <c r="AF34" s="1011" t="s">
        <v>499</v>
      </c>
      <c r="AG34" s="1011" t="s">
        <v>499</v>
      </c>
      <c r="AH34" s="1011" t="s">
        <v>160</v>
      </c>
      <c r="AI34" s="1011" t="s">
        <v>500</v>
      </c>
      <c r="AJ34" s="5"/>
      <c r="AK34" s="5"/>
      <c r="AL34" s="5"/>
      <c r="AM34" s="5"/>
      <c r="AN34" s="5"/>
      <c r="AO34" s="5"/>
      <c r="AP34" s="5"/>
      <c r="AQ34" s="5"/>
      <c r="AR34" s="5"/>
      <c r="AS34" s="22"/>
    </row>
    <row r="35" spans="2:99" hidden="1">
      <c r="B35" s="1023" t="s">
        <v>481</v>
      </c>
      <c r="C35" s="723"/>
      <c r="D35" s="1001" t="s">
        <v>48</v>
      </c>
      <c r="E35" s="495" t="s">
        <v>501</v>
      </c>
      <c r="F35" s="496"/>
      <c r="G35" s="395" t="s">
        <v>499</v>
      </c>
      <c r="H35" s="395"/>
      <c r="I35" s="498">
        <v>3.5</v>
      </c>
      <c r="J35" s="498">
        <v>3.7</v>
      </c>
      <c r="K35" s="498">
        <v>3.5</v>
      </c>
      <c r="L35" s="498">
        <v>3.5</v>
      </c>
      <c r="M35" s="498">
        <v>3.5</v>
      </c>
      <c r="N35" s="498">
        <v>2.5</v>
      </c>
      <c r="O35" s="498">
        <v>1.3</v>
      </c>
      <c r="P35" s="498">
        <v>0.86</v>
      </c>
      <c r="Q35" s="498">
        <v>0.19</v>
      </c>
      <c r="R35" s="502">
        <v>3.7</v>
      </c>
      <c r="S35" s="502"/>
      <c r="T35" s="502"/>
      <c r="U35" s="502"/>
      <c r="V35" s="502"/>
      <c r="W35" s="503"/>
      <c r="X35" s="16"/>
      <c r="Y35" s="16"/>
      <c r="Z35" s="5"/>
      <c r="AA35" s="5"/>
      <c r="AB35" s="1012" t="s">
        <v>502</v>
      </c>
      <c r="AC35" s="1008"/>
      <c r="AD35" s="1008"/>
      <c r="AE35" s="1008"/>
      <c r="AF35" s="1008"/>
      <c r="AG35" s="1008"/>
      <c r="AH35" s="1008"/>
      <c r="AI35" s="1008"/>
      <c r="AJ35" s="5"/>
      <c r="AK35" s="5"/>
      <c r="AL35" s="5"/>
      <c r="AM35" s="5"/>
      <c r="AN35" s="5"/>
      <c r="AO35" s="5"/>
      <c r="AP35" s="5"/>
      <c r="AQ35" s="5"/>
      <c r="AR35" s="5"/>
      <c r="AS35" s="22"/>
    </row>
    <row r="36" spans="2:99" hidden="1">
      <c r="B36" s="1023" t="s">
        <v>481</v>
      </c>
      <c r="C36" s="723"/>
      <c r="D36" s="1000"/>
      <c r="E36" s="495" t="s">
        <v>503</v>
      </c>
      <c r="F36" s="496"/>
      <c r="G36" s="395" t="s">
        <v>499</v>
      </c>
      <c r="H36" s="395"/>
      <c r="I36" s="498">
        <v>6</v>
      </c>
      <c r="J36" s="498">
        <v>4.7</v>
      </c>
      <c r="K36" s="498">
        <v>1.7</v>
      </c>
      <c r="L36" s="498">
        <v>4.5</v>
      </c>
      <c r="M36" s="498">
        <v>3.5</v>
      </c>
      <c r="N36" s="498">
        <v>2.5</v>
      </c>
      <c r="O36" s="498">
        <v>1.3</v>
      </c>
      <c r="P36" s="498">
        <v>0.86</v>
      </c>
      <c r="Q36" s="498">
        <v>0.22</v>
      </c>
      <c r="R36" s="502">
        <v>4.7</v>
      </c>
      <c r="S36" s="502"/>
      <c r="T36" s="502"/>
      <c r="U36" s="502"/>
      <c r="V36" s="502"/>
      <c r="W36" s="503"/>
      <c r="X36" s="16"/>
      <c r="Y36" s="16"/>
      <c r="Z36" s="5"/>
      <c r="AA36" s="5"/>
      <c r="AB36" s="1010" t="s">
        <v>504</v>
      </c>
      <c r="AC36" s="1008"/>
      <c r="AD36" s="1018">
        <v>10</v>
      </c>
      <c r="AE36" s="1018">
        <v>3.5</v>
      </c>
      <c r="AF36" s="1019">
        <v>0.17</v>
      </c>
      <c r="AG36" s="1013">
        <f>AE36+AF36</f>
        <v>3.67</v>
      </c>
      <c r="AH36" s="1015">
        <f>1/(AE36+AF36)</f>
        <v>0.27247956403269757</v>
      </c>
      <c r="AI36" s="1016">
        <f>AD36*AH36</f>
        <v>2.7247956403269757</v>
      </c>
      <c r="AJ36" s="5"/>
      <c r="AK36" s="5"/>
      <c r="AL36" s="5"/>
      <c r="AM36" s="5"/>
      <c r="AN36" s="5"/>
      <c r="AO36" s="5"/>
      <c r="AP36" s="5"/>
      <c r="AQ36" s="5"/>
      <c r="AR36" s="5"/>
      <c r="AS36" s="22"/>
    </row>
    <row r="37" spans="2:99" hidden="1">
      <c r="B37" s="1023" t="s">
        <v>481</v>
      </c>
      <c r="C37" s="723"/>
      <c r="D37" s="1000"/>
      <c r="E37" s="495" t="s">
        <v>505</v>
      </c>
      <c r="F37" s="496"/>
      <c r="G37" s="395" t="s">
        <v>499</v>
      </c>
      <c r="H37" s="395"/>
      <c r="I37" s="498">
        <v>8</v>
      </c>
      <c r="J37" s="498">
        <v>6.3</v>
      </c>
      <c r="K37" s="498">
        <v>3.5</v>
      </c>
      <c r="L37" s="498">
        <v>6</v>
      </c>
      <c r="M37" s="498">
        <v>3.5</v>
      </c>
      <c r="N37" s="498">
        <v>2.5</v>
      </c>
      <c r="O37" s="498">
        <v>1.3</v>
      </c>
      <c r="P37" s="498">
        <v>0.86</v>
      </c>
      <c r="Q37" s="498">
        <v>0.22</v>
      </c>
      <c r="R37" s="502">
        <v>6.3</v>
      </c>
      <c r="S37" s="502"/>
      <c r="T37" s="502"/>
      <c r="U37" s="502"/>
      <c r="V37" s="502"/>
      <c r="W37" s="503"/>
      <c r="X37" s="20"/>
      <c r="Y37" s="20"/>
      <c r="Z37" s="5"/>
      <c r="AA37" s="5"/>
      <c r="AB37" s="1010" t="s">
        <v>506</v>
      </c>
      <c r="AD37" s="1018">
        <v>15</v>
      </c>
      <c r="AE37" s="1018">
        <v>0.5</v>
      </c>
      <c r="AF37" s="1014">
        <f>$AF$36</f>
        <v>0.17</v>
      </c>
      <c r="AG37" s="1013">
        <f>AE37+AF37</f>
        <v>0.67</v>
      </c>
      <c r="AH37" s="1015">
        <f>1/(AE37+AF37)</f>
        <v>1.4925373134328357</v>
      </c>
      <c r="AI37" s="1016">
        <f>AD37*AH37</f>
        <v>22.388059701492537</v>
      </c>
      <c r="AJ37" s="5"/>
      <c r="AK37" s="5"/>
      <c r="AL37" s="5"/>
      <c r="AM37" s="5"/>
      <c r="AN37" s="5"/>
      <c r="AO37" s="5"/>
      <c r="AP37" s="5"/>
      <c r="AQ37" s="5"/>
      <c r="AR37" s="5"/>
      <c r="AS37" s="22"/>
    </row>
    <row r="38" spans="2:99" hidden="1">
      <c r="B38" s="1023" t="s">
        <v>481</v>
      </c>
      <c r="C38" s="723"/>
      <c r="D38" s="1000"/>
      <c r="E38" s="495" t="s">
        <v>507</v>
      </c>
      <c r="F38" s="496"/>
      <c r="G38" s="395" t="s">
        <v>499</v>
      </c>
      <c r="H38" s="395"/>
      <c r="I38" s="498">
        <v>8</v>
      </c>
      <c r="J38" s="498">
        <v>6.3</v>
      </c>
      <c r="K38" s="498">
        <v>3.5</v>
      </c>
      <c r="L38" s="498">
        <v>6</v>
      </c>
      <c r="M38" s="498">
        <v>3.5</v>
      </c>
      <c r="N38" s="498">
        <v>2.5</v>
      </c>
      <c r="O38" s="498">
        <v>1.3</v>
      </c>
      <c r="P38" s="498">
        <v>0.86</v>
      </c>
      <c r="Q38" s="498">
        <v>0.22</v>
      </c>
      <c r="R38" s="502">
        <v>6.3</v>
      </c>
      <c r="S38" s="502"/>
      <c r="T38" s="502"/>
      <c r="U38" s="502"/>
      <c r="V38" s="502"/>
      <c r="W38" s="503"/>
      <c r="X38" s="20"/>
      <c r="Y38" s="20"/>
      <c r="Z38" s="5"/>
      <c r="AA38" s="5"/>
      <c r="AB38" s="1010" t="s">
        <v>508</v>
      </c>
      <c r="AC38" s="1008"/>
      <c r="AD38" s="1018">
        <v>20</v>
      </c>
      <c r="AE38" s="1018">
        <v>0.22</v>
      </c>
      <c r="AF38" s="1014">
        <f>$AF$36</f>
        <v>0.17</v>
      </c>
      <c r="AG38" s="1013">
        <f>AE38+AF38</f>
        <v>0.39</v>
      </c>
      <c r="AH38" s="1015">
        <f>1/(AE38+AF38)</f>
        <v>2.5641025641025639</v>
      </c>
      <c r="AI38" s="1016">
        <f>AD38*AH38</f>
        <v>51.282051282051277</v>
      </c>
      <c r="AJ38" s="5"/>
      <c r="AK38" s="5"/>
      <c r="AL38" s="5"/>
      <c r="AM38" s="5"/>
      <c r="AN38" s="5"/>
      <c r="AO38" s="5"/>
      <c r="AP38" s="5"/>
      <c r="AQ38" s="5"/>
      <c r="AR38" s="5"/>
      <c r="AS38" s="22"/>
    </row>
    <row r="39" spans="2:99" hidden="1">
      <c r="B39" s="1023" t="s">
        <v>481</v>
      </c>
      <c r="C39" s="723"/>
      <c r="D39" s="1000"/>
      <c r="E39" s="495" t="s">
        <v>509</v>
      </c>
      <c r="F39" s="504">
        <v>0.26</v>
      </c>
      <c r="G39" s="395" t="s">
        <v>160</v>
      </c>
      <c r="H39" s="395"/>
      <c r="I39" s="499">
        <f>1/(I35+$F39)</f>
        <v>0.26595744680851063</v>
      </c>
      <c r="J39" s="499">
        <f>1/(J35+$F39)</f>
        <v>0.25252525252525254</v>
      </c>
      <c r="K39" s="499">
        <f t="shared" ref="K39" si="15">1/(K35+$F39)</f>
        <v>0.26595744680851063</v>
      </c>
      <c r="L39" s="499">
        <f t="shared" ref="L39:V39" si="16">1/(L35+$F39)</f>
        <v>0.26595744680851063</v>
      </c>
      <c r="M39" s="499">
        <f t="shared" si="16"/>
        <v>0.26595744680851063</v>
      </c>
      <c r="N39" s="499">
        <f t="shared" si="16"/>
        <v>0.3623188405797102</v>
      </c>
      <c r="O39" s="499">
        <f t="shared" si="16"/>
        <v>0.64102564102564097</v>
      </c>
      <c r="P39" s="499">
        <f t="shared" si="16"/>
        <v>0.89285714285714279</v>
      </c>
      <c r="Q39" s="499">
        <f t="shared" si="16"/>
        <v>2.2222222222222223</v>
      </c>
      <c r="R39" s="499">
        <f t="shared" si="16"/>
        <v>0.25252525252525254</v>
      </c>
      <c r="S39" s="499">
        <f t="shared" si="16"/>
        <v>3.8461538461538458</v>
      </c>
      <c r="T39" s="499">
        <f t="shared" si="16"/>
        <v>3.8461538461538458</v>
      </c>
      <c r="U39" s="499">
        <f t="shared" si="16"/>
        <v>3.8461538461538458</v>
      </c>
      <c r="V39" s="499">
        <f t="shared" si="16"/>
        <v>3.8461538461538458</v>
      </c>
      <c r="W39" s="503"/>
      <c r="X39" s="20"/>
      <c r="Y39" s="20"/>
      <c r="Z39" s="5"/>
      <c r="AA39" s="5"/>
      <c r="AB39" s="1008"/>
      <c r="AC39" s="1008"/>
      <c r="AD39" s="1008"/>
      <c r="AE39" s="1008"/>
      <c r="AF39" s="1008"/>
      <c r="AG39" s="1008"/>
      <c r="AH39" s="1008"/>
      <c r="AI39" s="1008"/>
      <c r="AJ39" s="5"/>
      <c r="AK39" s="5"/>
      <c r="AL39" s="5"/>
      <c r="AM39" s="5"/>
      <c r="AN39" s="5"/>
      <c r="AO39" s="5"/>
      <c r="AP39" s="5"/>
      <c r="AQ39" s="5"/>
      <c r="AR39" s="5"/>
      <c r="AS39" s="22"/>
    </row>
    <row r="40" spans="2:99" hidden="1">
      <c r="B40" s="1023" t="s">
        <v>481</v>
      </c>
      <c r="C40" s="723"/>
      <c r="D40" s="1000"/>
      <c r="E40" s="495" t="s">
        <v>510</v>
      </c>
      <c r="F40" s="505">
        <v>0.5</v>
      </c>
      <c r="G40" s="395" t="s">
        <v>160</v>
      </c>
      <c r="H40" s="395"/>
      <c r="I40" s="499">
        <f>I39*MAX($F40,1/(1+I39))</f>
        <v>0.21008403361344535</v>
      </c>
      <c r="J40" s="499">
        <f>J39*MAX($F40,1/(1+J39))</f>
        <v>0.20161290322580647</v>
      </c>
      <c r="K40" s="499">
        <f t="shared" ref="K40" si="17">K39*MAX($F40,1/(1+K39))</f>
        <v>0.21008403361344535</v>
      </c>
      <c r="L40" s="499">
        <f t="shared" ref="L40:V40" si="18">L39*MAX($F40,1/(1+L39))</f>
        <v>0.21008403361344535</v>
      </c>
      <c r="M40" s="499">
        <f t="shared" si="18"/>
        <v>0.21008403361344535</v>
      </c>
      <c r="N40" s="499">
        <f t="shared" si="18"/>
        <v>0.26595744680851069</v>
      </c>
      <c r="O40" s="499">
        <f t="shared" si="18"/>
        <v>0.39062499999999994</v>
      </c>
      <c r="P40" s="499">
        <f t="shared" si="18"/>
        <v>0.47169811320754712</v>
      </c>
      <c r="Q40" s="499">
        <f t="shared" si="18"/>
        <v>1.1111111111111112</v>
      </c>
      <c r="R40" s="499">
        <f t="shared" si="18"/>
        <v>0.20161290322580647</v>
      </c>
      <c r="S40" s="499">
        <f t="shared" si="18"/>
        <v>1.9230769230769229</v>
      </c>
      <c r="T40" s="499">
        <f t="shared" si="18"/>
        <v>1.9230769230769229</v>
      </c>
      <c r="U40" s="499">
        <f t="shared" si="18"/>
        <v>1.9230769230769229</v>
      </c>
      <c r="V40" s="499">
        <f t="shared" si="18"/>
        <v>1.9230769230769229</v>
      </c>
      <c r="W40" s="503"/>
      <c r="X40" s="20"/>
      <c r="Y40" s="20"/>
      <c r="Z40" s="5"/>
      <c r="AA40" s="5"/>
      <c r="AB40" s="1012" t="s">
        <v>511</v>
      </c>
      <c r="AC40" s="1008"/>
      <c r="AD40" s="1008"/>
      <c r="AE40" s="1008"/>
      <c r="AF40" s="1008"/>
      <c r="AG40" s="1008"/>
      <c r="AH40" s="1008"/>
      <c r="AI40" s="1008"/>
      <c r="AJ40" s="5"/>
      <c r="AK40" s="5"/>
      <c r="AL40" s="5"/>
      <c r="AM40" s="5"/>
      <c r="AN40" s="5"/>
      <c r="AO40" s="5"/>
      <c r="AP40" s="5"/>
      <c r="AQ40" s="5"/>
      <c r="AR40" s="5"/>
      <c r="AS40" s="22"/>
    </row>
    <row r="41" spans="2:99" hidden="1">
      <c r="B41" s="1023" t="s">
        <v>481</v>
      </c>
      <c r="C41" s="723"/>
      <c r="D41" s="1000"/>
      <c r="E41" s="495" t="s">
        <v>512</v>
      </c>
      <c r="F41" s="504">
        <v>0.17</v>
      </c>
      <c r="G41" s="395" t="s">
        <v>160</v>
      </c>
      <c r="H41" s="395"/>
      <c r="I41" s="499">
        <f>1/($F41+I36)</f>
        <v>0.16207455429497569</v>
      </c>
      <c r="J41" s="499">
        <f>1/($F41+J36)</f>
        <v>0.20533880903490759</v>
      </c>
      <c r="K41" s="499">
        <f t="shared" ref="K41" si="19">1/($F41+K36)</f>
        <v>0.53475935828877008</v>
      </c>
      <c r="L41" s="499">
        <f t="shared" ref="L41:V41" si="20">1/($F41+L36)</f>
        <v>0.21413276231263384</v>
      </c>
      <c r="M41" s="499">
        <f t="shared" si="20"/>
        <v>0.27247956403269757</v>
      </c>
      <c r="N41" s="499">
        <f t="shared" si="20"/>
        <v>0.37453183520599254</v>
      </c>
      <c r="O41" s="499">
        <f t="shared" si="20"/>
        <v>0.68027210884353739</v>
      </c>
      <c r="P41" s="499">
        <f t="shared" si="20"/>
        <v>0.970873786407767</v>
      </c>
      <c r="Q41" s="499">
        <f t="shared" si="20"/>
        <v>2.5641025641025639</v>
      </c>
      <c r="R41" s="499">
        <f t="shared" si="20"/>
        <v>0.20533880903490759</v>
      </c>
      <c r="S41" s="499">
        <f t="shared" si="20"/>
        <v>5.8823529411764701</v>
      </c>
      <c r="T41" s="499">
        <f t="shared" si="20"/>
        <v>5.8823529411764701</v>
      </c>
      <c r="U41" s="499">
        <f t="shared" si="20"/>
        <v>5.8823529411764701</v>
      </c>
      <c r="V41" s="499">
        <f t="shared" si="20"/>
        <v>5.8823529411764701</v>
      </c>
      <c r="W41" s="503"/>
      <c r="X41" s="20"/>
      <c r="Y41" s="20"/>
      <c r="Z41" s="5"/>
      <c r="AA41" s="5"/>
      <c r="AB41" s="1010" t="s">
        <v>513</v>
      </c>
      <c r="AC41" s="1008"/>
      <c r="AD41" s="1013"/>
      <c r="AE41" s="1013"/>
      <c r="AF41" s="1014"/>
      <c r="AG41" s="1013"/>
      <c r="AH41" s="1015"/>
      <c r="AI41" s="1016">
        <f>SUM(AI36:AI38)</f>
        <v>76.394906623870781</v>
      </c>
      <c r="AJ41" s="5"/>
      <c r="AK41" s="5"/>
      <c r="AL41" s="5"/>
      <c r="AM41" s="5"/>
      <c r="AN41" s="5"/>
      <c r="AO41" s="5"/>
      <c r="AP41" s="5"/>
      <c r="AQ41" s="5"/>
      <c r="AR41" s="5"/>
      <c r="AS41" s="22"/>
    </row>
    <row r="42" spans="2:99" hidden="1">
      <c r="B42" s="1023" t="s">
        <v>481</v>
      </c>
      <c r="C42" s="723"/>
      <c r="D42" s="1000"/>
      <c r="E42" s="495" t="s">
        <v>514</v>
      </c>
      <c r="F42" s="504">
        <v>0.17</v>
      </c>
      <c r="G42" s="395" t="s">
        <v>160</v>
      </c>
      <c r="H42" s="395"/>
      <c r="I42" s="499">
        <f t="shared" ref="I42:V43" si="21">1/($F42+I37)</f>
        <v>0.12239902080783353</v>
      </c>
      <c r="J42" s="499">
        <f t="shared" ref="J42:K42" si="22">1/($F42+J37)</f>
        <v>0.15455950540958269</v>
      </c>
      <c r="K42" s="499">
        <f t="shared" si="22"/>
        <v>0.27247956403269757</v>
      </c>
      <c r="L42" s="499">
        <f t="shared" si="21"/>
        <v>0.16207455429497569</v>
      </c>
      <c r="M42" s="499">
        <f t="shared" si="21"/>
        <v>0.27247956403269757</v>
      </c>
      <c r="N42" s="499">
        <f t="shared" si="21"/>
        <v>0.37453183520599254</v>
      </c>
      <c r="O42" s="499">
        <f t="shared" si="21"/>
        <v>0.68027210884353739</v>
      </c>
      <c r="P42" s="499">
        <f t="shared" si="21"/>
        <v>0.970873786407767</v>
      </c>
      <c r="Q42" s="499">
        <f t="shared" si="21"/>
        <v>2.5641025641025639</v>
      </c>
      <c r="R42" s="499">
        <f t="shared" si="21"/>
        <v>0.15455950540958269</v>
      </c>
      <c r="S42" s="499">
        <f t="shared" si="21"/>
        <v>5.8823529411764701</v>
      </c>
      <c r="T42" s="499">
        <f t="shared" si="21"/>
        <v>5.8823529411764701</v>
      </c>
      <c r="U42" s="499">
        <f t="shared" si="21"/>
        <v>5.8823529411764701</v>
      </c>
      <c r="V42" s="499">
        <f t="shared" si="21"/>
        <v>5.8823529411764701</v>
      </c>
      <c r="W42" s="503"/>
      <c r="X42" s="20"/>
      <c r="Y42" s="20"/>
      <c r="Z42" s="5"/>
      <c r="AA42" s="5"/>
      <c r="AB42" s="1010" t="s">
        <v>515</v>
      </c>
      <c r="AC42" s="1013"/>
      <c r="AD42" s="1013">
        <f>SUM(AD36:AD38)</f>
        <v>45</v>
      </c>
      <c r="AE42" s="1013"/>
      <c r="AF42" s="1014"/>
      <c r="AG42" s="1013"/>
      <c r="AH42" s="1015"/>
      <c r="AI42" s="1016"/>
      <c r="AJ42" s="5"/>
      <c r="AK42" s="5"/>
      <c r="AL42" s="5"/>
      <c r="AM42" s="5"/>
      <c r="AN42" s="5"/>
      <c r="AO42" s="5"/>
      <c r="AP42" s="5"/>
      <c r="AQ42" s="5"/>
      <c r="AR42" s="5"/>
      <c r="AS42" s="22"/>
      <c r="CU42" s="762"/>
    </row>
    <row r="43" spans="2:99" hidden="1">
      <c r="B43" s="1023" t="s">
        <v>481</v>
      </c>
      <c r="C43" s="723"/>
      <c r="D43" s="1000"/>
      <c r="E43" s="495" t="s">
        <v>516</v>
      </c>
      <c r="F43" s="504">
        <v>0.17</v>
      </c>
      <c r="G43" s="395" t="s">
        <v>160</v>
      </c>
      <c r="H43" s="395"/>
      <c r="I43" s="499">
        <f t="shared" si="21"/>
        <v>0.12239902080783353</v>
      </c>
      <c r="J43" s="499">
        <f t="shared" ref="J43:K43" si="23">1/($F43+J38)</f>
        <v>0.15455950540958269</v>
      </c>
      <c r="K43" s="499">
        <f t="shared" si="23"/>
        <v>0.27247956403269757</v>
      </c>
      <c r="L43" s="499">
        <f t="shared" si="21"/>
        <v>0.16207455429497569</v>
      </c>
      <c r="M43" s="499">
        <f t="shared" si="21"/>
        <v>0.27247956403269757</v>
      </c>
      <c r="N43" s="499">
        <f t="shared" si="21"/>
        <v>0.37453183520599254</v>
      </c>
      <c r="O43" s="499">
        <f t="shared" si="21"/>
        <v>0.68027210884353739</v>
      </c>
      <c r="P43" s="499">
        <f t="shared" si="21"/>
        <v>0.970873786407767</v>
      </c>
      <c r="Q43" s="499">
        <f t="shared" si="21"/>
        <v>2.5641025641025639</v>
      </c>
      <c r="R43" s="499">
        <f t="shared" si="21"/>
        <v>0.15455950540958269</v>
      </c>
      <c r="S43" s="499">
        <f t="shared" si="21"/>
        <v>5.8823529411764701</v>
      </c>
      <c r="T43" s="499">
        <f t="shared" si="21"/>
        <v>5.8823529411764701</v>
      </c>
      <c r="U43" s="499">
        <f t="shared" si="21"/>
        <v>5.8823529411764701</v>
      </c>
      <c r="V43" s="499">
        <f t="shared" si="21"/>
        <v>5.8823529411764701</v>
      </c>
      <c r="W43" s="503"/>
      <c r="X43" s="20"/>
      <c r="Y43" s="20"/>
      <c r="Z43" s="5"/>
      <c r="AA43" s="5"/>
      <c r="AB43" s="1017" t="s">
        <v>517</v>
      </c>
      <c r="AC43" s="1017"/>
      <c r="AD43" s="1013"/>
      <c r="AE43" s="1013"/>
      <c r="AF43" s="1014"/>
      <c r="AG43" s="1013"/>
      <c r="AH43" s="1015">
        <f>AI41/AD42</f>
        <v>1.6976645916415729</v>
      </c>
      <c r="AI43" s="1016"/>
      <c r="AJ43" s="5"/>
      <c r="AK43" s="5"/>
      <c r="AL43" s="5"/>
      <c r="AM43" s="5"/>
      <c r="AN43" s="5"/>
      <c r="AO43" s="5"/>
      <c r="AP43" s="5"/>
      <c r="AQ43" s="5"/>
      <c r="AR43" s="5"/>
      <c r="AS43" s="22"/>
    </row>
    <row r="44" spans="2:99" hidden="1">
      <c r="B44" s="1023" t="s">
        <v>481</v>
      </c>
      <c r="C44" s="723"/>
      <c r="D44" s="1000"/>
      <c r="E44" s="495" t="s">
        <v>518</v>
      </c>
      <c r="F44" s="496"/>
      <c r="G44" s="395" t="s">
        <v>160</v>
      </c>
      <c r="H44" s="395"/>
      <c r="I44" s="498">
        <v>1</v>
      </c>
      <c r="J44" s="498">
        <v>1.4</v>
      </c>
      <c r="K44" s="498">
        <v>1.4</v>
      </c>
      <c r="L44" s="498">
        <v>1.8</v>
      </c>
      <c r="M44" s="498">
        <v>1.8</v>
      </c>
      <c r="N44" s="498">
        <v>2.8</v>
      </c>
      <c r="O44" s="498">
        <v>2.8</v>
      </c>
      <c r="P44" s="498">
        <v>4.2</v>
      </c>
      <c r="Q44" s="498">
        <v>5.2</v>
      </c>
      <c r="R44" s="502">
        <v>1.6</v>
      </c>
      <c r="S44" s="502"/>
      <c r="T44" s="502"/>
      <c r="U44" s="502"/>
      <c r="V44" s="502"/>
      <c r="W44" s="503"/>
      <c r="X44" s="20"/>
      <c r="Y44" s="20"/>
      <c r="Z44" s="5"/>
      <c r="AA44" s="5"/>
      <c r="AB44" s="1017" t="s">
        <v>519</v>
      </c>
      <c r="AC44" s="1017"/>
      <c r="AD44" s="1013"/>
      <c r="AE44" s="1013"/>
      <c r="AF44" s="1014"/>
      <c r="AG44" s="1013">
        <f>1/AH43</f>
        <v>0.58904450556575516</v>
      </c>
      <c r="AH44" s="1015"/>
      <c r="AI44" s="1016"/>
      <c r="AJ44" s="5"/>
      <c r="AK44" s="5"/>
      <c r="AL44" s="5"/>
      <c r="AM44" s="5"/>
      <c r="AN44" s="5"/>
      <c r="AO44" s="5"/>
      <c r="AP44" s="5"/>
      <c r="AQ44" s="5"/>
      <c r="AR44" s="5"/>
      <c r="AS44" s="22"/>
    </row>
    <row r="45" spans="2:99" hidden="1">
      <c r="B45" s="1023" t="s">
        <v>481</v>
      </c>
      <c r="C45" s="723"/>
      <c r="D45" s="1000"/>
      <c r="E45" s="495" t="s">
        <v>520</v>
      </c>
      <c r="F45" s="496"/>
      <c r="G45" s="395" t="s">
        <v>160</v>
      </c>
      <c r="H45" s="395"/>
      <c r="I45" s="498">
        <v>1.4</v>
      </c>
      <c r="J45" s="498">
        <v>2</v>
      </c>
      <c r="K45" s="498">
        <v>1.4</v>
      </c>
      <c r="L45" s="498">
        <v>2</v>
      </c>
      <c r="M45" s="498">
        <v>3.5</v>
      </c>
      <c r="N45" s="498">
        <v>3.5</v>
      </c>
      <c r="O45" s="498">
        <v>3.5</v>
      </c>
      <c r="P45" s="498">
        <v>3.5</v>
      </c>
      <c r="Q45" s="498">
        <v>3.5</v>
      </c>
      <c r="R45" s="502">
        <v>2</v>
      </c>
      <c r="S45" s="502"/>
      <c r="T45" s="502"/>
      <c r="U45" s="502"/>
      <c r="V45" s="502"/>
      <c r="W45" s="503"/>
      <c r="X45" s="20"/>
      <c r="Y45" s="20"/>
      <c r="Z45" s="5"/>
      <c r="AA45" s="5"/>
      <c r="AB45" s="1017" t="s">
        <v>521</v>
      </c>
      <c r="AC45" s="1017"/>
      <c r="AD45" s="1013"/>
      <c r="AE45" s="1013">
        <f>AG44-$AF$36</f>
        <v>0.41904450556575512</v>
      </c>
      <c r="AF45" s="1014"/>
      <c r="AG45" s="1013"/>
      <c r="AH45" s="1015"/>
      <c r="AI45" s="1016"/>
      <c r="AJ45" s="5"/>
      <c r="AK45" s="5"/>
      <c r="AL45" s="5"/>
      <c r="AM45" s="5"/>
      <c r="AN45" s="5"/>
      <c r="AO45" s="5"/>
      <c r="AP45" s="5"/>
      <c r="AQ45" s="5"/>
      <c r="AR45" s="5"/>
      <c r="AS45" s="22"/>
    </row>
    <row r="46" spans="2:99" hidden="1">
      <c r="B46" s="1023" t="s">
        <v>481</v>
      </c>
      <c r="C46" s="723"/>
      <c r="D46" s="1000"/>
      <c r="E46" s="5"/>
      <c r="F46" s="5"/>
      <c r="G46" s="5"/>
      <c r="H46" s="16"/>
      <c r="I46" s="5"/>
      <c r="J46" s="5"/>
      <c r="K46" s="5"/>
      <c r="L46" s="5"/>
      <c r="M46" s="5"/>
      <c r="N46" s="5"/>
      <c r="O46" s="21"/>
      <c r="P46" s="21"/>
      <c r="Q46" s="16"/>
      <c r="R46" s="16"/>
      <c r="S46" s="16"/>
      <c r="T46" s="16"/>
      <c r="U46" s="16"/>
      <c r="V46" s="16"/>
      <c r="W46" s="16"/>
      <c r="X46" s="16"/>
      <c r="Y46" s="20"/>
      <c r="Z46" s="5"/>
      <c r="AA46" s="5"/>
      <c r="AB46" s="5"/>
      <c r="AC46" s="5"/>
      <c r="AD46" s="5"/>
      <c r="AE46" s="5"/>
      <c r="AF46" s="5"/>
      <c r="AG46" s="5"/>
      <c r="AH46" s="5"/>
      <c r="AI46" s="5"/>
      <c r="AJ46" s="5"/>
      <c r="AK46" s="5"/>
      <c r="AL46" s="5"/>
      <c r="AM46" s="5"/>
      <c r="AN46" s="5"/>
      <c r="AO46" s="5"/>
      <c r="AP46" s="5"/>
      <c r="AQ46" s="5"/>
      <c r="AR46" s="5"/>
      <c r="AS46" s="22"/>
    </row>
    <row r="47" spans="2:99" hidden="1">
      <c r="B47" s="1023" t="s">
        <v>522</v>
      </c>
      <c r="C47" s="723"/>
      <c r="D47" s="999"/>
      <c r="E47" s="5"/>
      <c r="F47" s="5"/>
      <c r="G47" s="5"/>
      <c r="H47" s="16"/>
      <c r="I47" s="16"/>
      <c r="J47" s="16"/>
      <c r="K47" s="16"/>
      <c r="L47" s="16"/>
      <c r="M47" s="16"/>
      <c r="N47" s="16"/>
      <c r="O47" s="16"/>
      <c r="P47" s="16"/>
      <c r="Q47" s="16"/>
      <c r="R47" s="16"/>
      <c r="S47" s="16"/>
      <c r="T47" s="16"/>
      <c r="U47" s="16"/>
      <c r="V47" s="16"/>
      <c r="W47" s="16"/>
      <c r="X47" s="16"/>
      <c r="Y47" s="20"/>
      <c r="Z47" s="5"/>
      <c r="AA47" s="5"/>
      <c r="AB47" s="5"/>
      <c r="AC47" s="5"/>
      <c r="AD47" s="5"/>
      <c r="AE47" s="5"/>
      <c r="AF47" s="5"/>
      <c r="AG47" s="5"/>
      <c r="AH47" s="5"/>
      <c r="AI47" s="5"/>
      <c r="AJ47" s="5"/>
      <c r="AK47" s="5"/>
      <c r="AL47" s="5"/>
      <c r="AM47" s="5"/>
      <c r="AN47" s="5"/>
      <c r="AO47" s="5"/>
      <c r="AP47" s="5"/>
      <c r="AQ47" s="5"/>
      <c r="AR47" s="5"/>
      <c r="AS47" s="22"/>
    </row>
    <row r="48" spans="2:99" ht="21" hidden="1">
      <c r="B48" s="1023" t="s">
        <v>522</v>
      </c>
      <c r="C48" s="723"/>
      <c r="D48" s="999"/>
      <c r="E48" s="240" t="s">
        <v>522</v>
      </c>
      <c r="F48" s="240"/>
      <c r="G48" s="240"/>
      <c r="H48" s="240"/>
      <c r="I48" s="240"/>
      <c r="J48" s="240"/>
      <c r="K48" s="240"/>
      <c r="L48" s="240"/>
      <c r="M48" s="240"/>
      <c r="N48" s="240"/>
      <c r="O48" s="240"/>
      <c r="P48" s="240"/>
      <c r="Q48" s="240"/>
      <c r="R48" s="5"/>
      <c r="S48" s="5"/>
      <c r="T48" s="5"/>
      <c r="U48" s="5"/>
      <c r="V48" s="5"/>
      <c r="W48" s="5"/>
      <c r="X48" s="5"/>
      <c r="Y48"/>
      <c r="Z48" s="5"/>
      <c r="AA48" s="20"/>
      <c r="AB48" s="5"/>
      <c r="AC48" s="5"/>
      <c r="AD48" s="5"/>
      <c r="AE48" s="5"/>
      <c r="AF48" s="5"/>
      <c r="AG48" s="5"/>
      <c r="AH48" s="5"/>
      <c r="AI48" s="5"/>
      <c r="AJ48" s="5"/>
      <c r="AK48" s="5"/>
      <c r="AL48" s="5"/>
      <c r="AM48" s="5"/>
      <c r="AN48" s="5"/>
      <c r="AO48" s="5"/>
      <c r="AP48" s="5"/>
      <c r="AQ48" s="5"/>
      <c r="AR48" s="5"/>
      <c r="AS48" s="5"/>
      <c r="AT48" s="5"/>
      <c r="AU48" s="437"/>
    </row>
    <row r="49" spans="1:47" hidden="1">
      <c r="B49" s="1023" t="s">
        <v>522</v>
      </c>
      <c r="C49" s="723"/>
      <c r="D49" s="999"/>
      <c r="E49" s="386" t="s">
        <v>483</v>
      </c>
      <c r="F49" s="386"/>
      <c r="G49" s="386" t="s">
        <v>420</v>
      </c>
      <c r="H49" s="387"/>
      <c r="I49" s="387">
        <f t="shared" ref="I49:P49" ca="1" si="24">OFFSET(I49,0,-1)+1</f>
        <v>1</v>
      </c>
      <c r="J49" s="387">
        <f t="shared" ca="1" si="24"/>
        <v>2</v>
      </c>
      <c r="K49" s="387">
        <f t="shared" ca="1" si="24"/>
        <v>3</v>
      </c>
      <c r="L49" s="387">
        <f t="shared" ca="1" si="24"/>
        <v>4</v>
      </c>
      <c r="M49" s="387">
        <f t="shared" ca="1" si="24"/>
        <v>5</v>
      </c>
      <c r="N49" s="387">
        <f t="shared" ca="1" si="24"/>
        <v>6</v>
      </c>
      <c r="O49" s="387">
        <f t="shared" ca="1" si="24"/>
        <v>7</v>
      </c>
      <c r="P49" s="387">
        <f t="shared" ca="1" si="24"/>
        <v>8</v>
      </c>
      <c r="Q49" s="387"/>
      <c r="R49" s="5"/>
      <c r="S49" s="5"/>
      <c r="T49" s="5"/>
      <c r="Y49"/>
      <c r="Z49" s="5"/>
      <c r="AA49" s="20"/>
      <c r="AB49" s="5"/>
      <c r="AC49" s="5"/>
      <c r="AD49" s="5"/>
      <c r="AE49" s="5"/>
      <c r="AF49" s="5"/>
      <c r="AG49" s="5"/>
      <c r="AH49" s="5"/>
      <c r="AI49" s="5"/>
      <c r="AJ49" s="5"/>
      <c r="AK49" s="5"/>
      <c r="AL49" s="5"/>
      <c r="AM49" s="5"/>
      <c r="AN49" s="5"/>
      <c r="AO49" s="5"/>
      <c r="AP49" s="5"/>
      <c r="AQ49" s="5"/>
      <c r="AR49" s="5"/>
      <c r="AS49" s="5"/>
      <c r="AT49" s="5"/>
      <c r="AU49" s="22"/>
    </row>
    <row r="50" spans="1:47" ht="18.75" hidden="1">
      <c r="B50" s="1023" t="s">
        <v>522</v>
      </c>
      <c r="C50" s="723"/>
      <c r="D50" s="999"/>
      <c r="E50" s="403" t="s">
        <v>1125</v>
      </c>
      <c r="F50" s="404"/>
      <c r="G50" s="405"/>
      <c r="H50" s="406"/>
      <c r="I50" s="406"/>
      <c r="J50" s="406"/>
      <c r="K50" s="406"/>
      <c r="L50" s="406"/>
      <c r="M50" s="406"/>
      <c r="N50" s="406"/>
      <c r="O50" s="406"/>
      <c r="P50" s="406"/>
      <c r="Q50" s="406"/>
      <c r="R50" s="5"/>
      <c r="S50" s="5"/>
      <c r="T50" s="5"/>
      <c r="Y50"/>
      <c r="Z50" s="5"/>
      <c r="AA50" s="20"/>
      <c r="AB50" s="5"/>
      <c r="AC50" s="5"/>
      <c r="AD50" s="5"/>
      <c r="AE50" s="5"/>
      <c r="AF50" s="5"/>
      <c r="AG50" s="5"/>
      <c r="AH50" s="5"/>
      <c r="AI50" s="5"/>
      <c r="AJ50" s="5"/>
      <c r="AK50" s="5"/>
      <c r="AL50" s="5"/>
      <c r="AM50" s="5"/>
      <c r="AN50" s="5"/>
      <c r="AO50" s="5"/>
      <c r="AP50" s="5"/>
      <c r="AQ50" s="5"/>
      <c r="AR50" s="5"/>
      <c r="AS50" s="5"/>
      <c r="AT50" s="5"/>
      <c r="AU50" s="22"/>
    </row>
    <row r="51" spans="1:47" ht="38.25" hidden="1">
      <c r="B51" s="1023" t="s">
        <v>522</v>
      </c>
      <c r="C51" s="723"/>
      <c r="D51" s="999"/>
      <c r="E51" s="395" t="s">
        <v>1006</v>
      </c>
      <c r="F51" s="396"/>
      <c r="G51" s="395" t="s">
        <v>68</v>
      </c>
      <c r="H51" s="408"/>
      <c r="I51" s="522" t="s">
        <v>1883</v>
      </c>
      <c r="J51" s="522" t="s">
        <v>1872</v>
      </c>
      <c r="K51" s="522" t="s">
        <v>527</v>
      </c>
      <c r="L51" s="522" t="s">
        <v>2025</v>
      </c>
      <c r="M51" s="522" t="s">
        <v>2024</v>
      </c>
      <c r="N51" s="522" t="s">
        <v>1870</v>
      </c>
      <c r="O51" s="522" t="s">
        <v>1869</v>
      </c>
      <c r="P51" s="522" t="s">
        <v>1871</v>
      </c>
      <c r="Q51" s="408"/>
      <c r="R51" s="5"/>
      <c r="S51" s="5"/>
      <c r="T51" s="5"/>
      <c r="Y51"/>
      <c r="Z51" s="5"/>
      <c r="AA51" s="20"/>
      <c r="AB51" s="5"/>
      <c r="AC51" s="5"/>
      <c r="AD51" s="5"/>
      <c r="AE51" s="5"/>
      <c r="AF51" s="5"/>
      <c r="AG51" s="5"/>
      <c r="AH51" s="5"/>
      <c r="AI51" s="5"/>
      <c r="AJ51" s="5"/>
      <c r="AK51" s="5"/>
      <c r="AL51" s="5"/>
      <c r="AM51" s="5"/>
      <c r="AN51" s="5"/>
      <c r="AO51" s="5"/>
      <c r="AP51" s="5"/>
      <c r="AQ51" s="5"/>
      <c r="AR51" s="5"/>
      <c r="AS51" s="5"/>
      <c r="AT51" s="5"/>
      <c r="AU51" s="22"/>
    </row>
    <row r="52" spans="1:47" hidden="1">
      <c r="B52" s="1023" t="s">
        <v>522</v>
      </c>
      <c r="C52" s="723"/>
      <c r="D52" s="999"/>
      <c r="E52" s="395" t="s">
        <v>524</v>
      </c>
      <c r="F52" s="396"/>
      <c r="G52" s="395" t="s">
        <v>68</v>
      </c>
      <c r="H52" s="408"/>
      <c r="I52" s="494" t="s">
        <v>1132</v>
      </c>
      <c r="J52" s="494" t="s">
        <v>1133</v>
      </c>
      <c r="K52" s="494" t="s">
        <v>528</v>
      </c>
      <c r="L52" s="494" t="s">
        <v>1134</v>
      </c>
      <c r="M52" s="494" t="s">
        <v>1135</v>
      </c>
      <c r="N52" s="494" t="s">
        <v>530</v>
      </c>
      <c r="O52" s="494" t="s">
        <v>1136</v>
      </c>
      <c r="P52" s="494" t="s">
        <v>1137</v>
      </c>
      <c r="Q52" s="408"/>
      <c r="R52" s="5"/>
      <c r="S52" s="5"/>
      <c r="T52" s="5"/>
      <c r="Y52"/>
      <c r="Z52" s="5"/>
      <c r="AA52" s="20"/>
      <c r="AB52" s="5"/>
      <c r="AC52" s="5"/>
      <c r="AD52" s="5"/>
      <c r="AE52" s="5"/>
      <c r="AF52" s="5"/>
      <c r="AG52" s="5"/>
      <c r="AH52" s="5"/>
      <c r="AI52" s="5"/>
      <c r="AJ52" s="5"/>
      <c r="AK52" s="5"/>
      <c r="AL52" s="5"/>
      <c r="AM52" s="5"/>
      <c r="AN52" s="5"/>
      <c r="AO52" s="5"/>
      <c r="AP52" s="5"/>
      <c r="AQ52" s="5"/>
      <c r="AR52" s="5"/>
      <c r="AS52" s="5"/>
      <c r="AT52" s="5"/>
      <c r="AU52" s="22"/>
    </row>
    <row r="53" spans="1:47" hidden="1">
      <c r="B53" s="1023" t="s">
        <v>522</v>
      </c>
      <c r="C53" s="723"/>
      <c r="D53" s="999"/>
      <c r="E53" s="5"/>
      <c r="F53" s="5"/>
      <c r="G53" s="5"/>
      <c r="H53" s="16"/>
      <c r="I53" s="16"/>
      <c r="J53" s="16"/>
      <c r="K53" s="16"/>
      <c r="L53" s="16"/>
      <c r="M53" s="16"/>
      <c r="N53" s="16"/>
      <c r="O53" s="16"/>
      <c r="P53" s="16"/>
      <c r="Q53" s="16"/>
      <c r="R53" s="16"/>
      <c r="S53" s="16"/>
      <c r="T53" s="16"/>
      <c r="U53" s="16"/>
      <c r="V53" s="16"/>
      <c r="X53" s="16"/>
      <c r="Y53" s="20"/>
      <c r="Z53" s="5"/>
      <c r="AA53" s="5"/>
      <c r="AB53" s="5"/>
      <c r="AC53" s="5"/>
      <c r="AD53" s="5"/>
      <c r="AE53" s="5"/>
      <c r="AF53" s="5"/>
      <c r="AG53" s="5"/>
      <c r="AH53" s="5"/>
      <c r="AI53" s="5"/>
      <c r="AJ53" s="5"/>
      <c r="AK53" s="5"/>
      <c r="AL53" s="5"/>
      <c r="AM53" s="5"/>
      <c r="AN53" s="5"/>
      <c r="AO53" s="5"/>
      <c r="AP53" s="5"/>
      <c r="AQ53" s="5"/>
      <c r="AR53" s="5"/>
      <c r="AS53" s="22"/>
    </row>
    <row r="54" spans="1:47" hidden="1">
      <c r="B54" s="1023" t="s">
        <v>532</v>
      </c>
      <c r="C54" s="723"/>
      <c r="D54" s="999"/>
      <c r="E54" s="5"/>
      <c r="F54" s="5"/>
      <c r="G54" s="5"/>
      <c r="H54" s="16"/>
      <c r="I54" s="16"/>
      <c r="J54" s="16"/>
      <c r="K54" s="16"/>
      <c r="L54" s="16"/>
      <c r="M54" s="16"/>
      <c r="N54" s="16"/>
      <c r="O54" s="16"/>
      <c r="P54" s="16"/>
      <c r="Q54" s="16"/>
      <c r="R54" s="16"/>
      <c r="S54" s="16"/>
      <c r="T54" s="16"/>
      <c r="U54" s="16"/>
      <c r="V54" s="16"/>
      <c r="X54" s="16"/>
      <c r="Y54" s="20"/>
      <c r="Z54" s="5"/>
      <c r="AA54" s="5"/>
      <c r="AB54" s="5"/>
      <c r="AC54" s="5"/>
      <c r="AD54" s="5"/>
      <c r="AE54" s="5"/>
      <c r="AF54" s="5"/>
      <c r="AG54" s="5"/>
      <c r="AH54" s="5"/>
      <c r="AI54" s="5"/>
      <c r="AJ54" s="5"/>
      <c r="AK54" s="5"/>
      <c r="AL54" s="5"/>
      <c r="AM54" s="5"/>
      <c r="AN54" s="5"/>
      <c r="AO54" s="5"/>
      <c r="AP54" s="5"/>
      <c r="AQ54" s="5"/>
      <c r="AR54" s="5"/>
      <c r="AS54" s="22"/>
    </row>
    <row r="55" spans="1:47" ht="21" hidden="1">
      <c r="B55" s="1023" t="s">
        <v>532</v>
      </c>
      <c r="C55" s="723"/>
      <c r="D55" s="999"/>
      <c r="E55" s="240" t="s">
        <v>532</v>
      </c>
      <c r="F55" s="240"/>
      <c r="G55" s="240"/>
      <c r="H55" s="240"/>
      <c r="I55" s="240"/>
      <c r="J55" s="240"/>
      <c r="K55" s="240"/>
      <c r="L55" s="240"/>
      <c r="M55" s="240"/>
      <c r="N55" s="240"/>
      <c r="O55" s="240"/>
      <c r="P55" s="240"/>
      <c r="Q55" s="240"/>
      <c r="R55" s="240"/>
      <c r="S55" s="240"/>
      <c r="T55" s="240"/>
      <c r="U55" s="240"/>
      <c r="V55" s="5"/>
      <c r="X55" s="5"/>
      <c r="Y55" s="20"/>
      <c r="Z55" s="5"/>
      <c r="AA55" s="5"/>
      <c r="AB55" s="5"/>
      <c r="AC55" s="5"/>
      <c r="AD55" s="5"/>
      <c r="AE55" s="5"/>
      <c r="AF55" s="5"/>
      <c r="AG55" s="5"/>
      <c r="AH55" s="5"/>
      <c r="AI55" s="5"/>
      <c r="AJ55" s="5"/>
      <c r="AK55" s="5"/>
      <c r="AL55" s="5"/>
      <c r="AM55" s="5"/>
      <c r="AN55" s="5"/>
      <c r="AO55" s="5"/>
      <c r="AP55" s="5"/>
      <c r="AQ55" s="5"/>
      <c r="AR55" s="5"/>
      <c r="AS55" s="437"/>
    </row>
    <row r="56" spans="1:47" hidden="1">
      <c r="B56" s="1023" t="s">
        <v>532</v>
      </c>
      <c r="C56" s="723"/>
      <c r="D56" s="999"/>
      <c r="E56" s="386" t="s">
        <v>483</v>
      </c>
      <c r="F56" s="386"/>
      <c r="G56" s="386" t="s">
        <v>420</v>
      </c>
      <c r="H56" s="387"/>
      <c r="I56" s="387">
        <f t="shared" ref="I56:T56" ca="1" si="25">OFFSET(I56,0,-1)+1</f>
        <v>1</v>
      </c>
      <c r="J56" s="387">
        <f t="shared" ca="1" si="25"/>
        <v>2</v>
      </c>
      <c r="K56" s="387">
        <f t="shared" ca="1" si="25"/>
        <v>3</v>
      </c>
      <c r="L56" s="387">
        <f t="shared" ca="1" si="25"/>
        <v>4</v>
      </c>
      <c r="M56" s="387">
        <f t="shared" ca="1" si="25"/>
        <v>5</v>
      </c>
      <c r="N56" s="387">
        <f t="shared" ca="1" si="25"/>
        <v>6</v>
      </c>
      <c r="O56" s="387">
        <f t="shared" ca="1" si="25"/>
        <v>7</v>
      </c>
      <c r="P56" s="387">
        <f t="shared" ca="1" si="25"/>
        <v>8</v>
      </c>
      <c r="Q56" s="387">
        <f t="shared" ca="1" si="25"/>
        <v>9</v>
      </c>
      <c r="R56" s="387">
        <f t="shared" ca="1" si="25"/>
        <v>10</v>
      </c>
      <c r="S56" s="387">
        <f t="shared" ca="1" si="25"/>
        <v>11</v>
      </c>
      <c r="T56" s="387">
        <f t="shared" ca="1" si="25"/>
        <v>12</v>
      </c>
      <c r="U56" s="387"/>
      <c r="V56" s="16"/>
      <c r="W56" s="16"/>
      <c r="X56" s="16"/>
      <c r="Y56" s="20"/>
      <c r="Z56" s="5"/>
      <c r="AA56" s="5"/>
      <c r="AB56" s="5"/>
      <c r="AC56" s="5"/>
      <c r="AD56" s="5"/>
      <c r="AE56" s="5"/>
      <c r="AF56" s="5"/>
      <c r="AG56" s="5"/>
      <c r="AH56" s="5"/>
      <c r="AI56" s="5"/>
      <c r="AJ56" s="5"/>
      <c r="AK56" s="5"/>
      <c r="AL56" s="5"/>
      <c r="AM56" s="5"/>
      <c r="AN56" s="5"/>
      <c r="AO56" s="5"/>
      <c r="AP56" s="5"/>
      <c r="AQ56" s="5"/>
      <c r="AR56" s="5"/>
      <c r="AS56" s="22"/>
    </row>
    <row r="57" spans="1:47" ht="18.75" hidden="1">
      <c r="B57" s="1023" t="s">
        <v>532</v>
      </c>
      <c r="C57" s="723"/>
      <c r="D57" s="999"/>
      <c r="E57" s="403" t="s">
        <v>523</v>
      </c>
      <c r="F57" s="404"/>
      <c r="G57" s="405"/>
      <c r="H57" s="405"/>
      <c r="I57" s="405"/>
      <c r="J57" s="405"/>
      <c r="K57" s="405"/>
      <c r="L57" s="405"/>
      <c r="M57" s="405"/>
      <c r="N57" s="405"/>
      <c r="O57" s="405"/>
      <c r="P57" s="405"/>
      <c r="Q57" s="405"/>
      <c r="R57" s="405"/>
      <c r="S57" s="405"/>
      <c r="T57" s="405"/>
      <c r="U57" s="405"/>
      <c r="V57" s="20"/>
      <c r="W57" s="16"/>
      <c r="X57" s="16"/>
      <c r="Y57" s="20"/>
      <c r="Z57" s="5"/>
      <c r="AA57" s="5"/>
      <c r="AB57" s="5"/>
      <c r="AC57" s="5"/>
      <c r="AD57" s="5"/>
      <c r="AE57" s="5"/>
      <c r="AF57" s="5"/>
      <c r="AG57" s="5"/>
      <c r="AH57" s="5"/>
      <c r="AI57" s="5"/>
      <c r="AJ57" s="5"/>
      <c r="AK57" s="5"/>
      <c r="AL57" s="5"/>
      <c r="AM57" s="5"/>
      <c r="AN57" s="5"/>
      <c r="AO57" s="5"/>
      <c r="AP57" s="5"/>
      <c r="AQ57" s="5"/>
      <c r="AR57" s="5"/>
    </row>
    <row r="58" spans="1:47" hidden="1">
      <c r="B58" s="1023" t="s">
        <v>532</v>
      </c>
      <c r="C58" s="723"/>
      <c r="D58" s="999"/>
      <c r="E58" s="395" t="s">
        <v>122</v>
      </c>
      <c r="F58" s="396"/>
      <c r="G58" s="395" t="s">
        <v>68</v>
      </c>
      <c r="H58" s="408"/>
      <c r="I58" s="545" t="str">
        <f>I$268</f>
        <v>kantoor</v>
      </c>
      <c r="J58" s="545" t="str">
        <f t="shared" ref="J58:T58" si="26">J$268</f>
        <v>bijeenkomst</v>
      </c>
      <c r="K58" s="545" t="str">
        <f t="shared" si="26"/>
        <v>kinderopvang</v>
      </c>
      <c r="L58" s="545" t="str">
        <f t="shared" si="26"/>
        <v>onderwijs</v>
      </c>
      <c r="M58" s="545" t="str">
        <f t="shared" si="26"/>
        <v>zorg overig</v>
      </c>
      <c r="N58" s="545" t="str">
        <f t="shared" si="26"/>
        <v>zorg met bed</v>
      </c>
      <c r="O58" s="545" t="str">
        <f t="shared" si="26"/>
        <v>winkel</v>
      </c>
      <c r="P58" s="545" t="str">
        <f t="shared" si="26"/>
        <v>sport</v>
      </c>
      <c r="Q58" s="545" t="str">
        <f t="shared" si="26"/>
        <v>logies</v>
      </c>
      <c r="R58" s="545" t="str">
        <f t="shared" si="26"/>
        <v>cel</v>
      </c>
      <c r="S58" s="545" t="str">
        <f t="shared" si="26"/>
        <v>woning</v>
      </c>
      <c r="T58" s="545" t="str">
        <f t="shared" si="26"/>
        <v>woongebouw</v>
      </c>
      <c r="U58" s="408"/>
      <c r="V58" s="20"/>
      <c r="W58" s="16"/>
      <c r="X58" s="16"/>
      <c r="Y58" s="20"/>
      <c r="Z58" s="5"/>
      <c r="AA58" s="5"/>
      <c r="AB58" s="5"/>
      <c r="AC58" s="5"/>
      <c r="AD58" s="5"/>
      <c r="AE58" s="5"/>
      <c r="AF58" s="5"/>
      <c r="AG58" s="5"/>
      <c r="AH58" s="5"/>
      <c r="AI58" s="5"/>
      <c r="AJ58" s="5"/>
      <c r="AK58" s="5"/>
      <c r="AL58" s="5"/>
      <c r="AM58" s="5"/>
      <c r="AN58" s="5"/>
      <c r="AO58" s="5"/>
      <c r="AP58" s="5"/>
      <c r="AQ58" s="5"/>
      <c r="AR58" s="5"/>
      <c r="AS58" s="22"/>
    </row>
    <row r="59" spans="1:47" s="2" customFormat="1" hidden="1">
      <c r="A59" s="309"/>
      <c r="B59" s="1023" t="s">
        <v>532</v>
      </c>
      <c r="C59" s="723"/>
      <c r="D59" s="1002"/>
      <c r="E59" s="246" t="s">
        <v>533</v>
      </c>
      <c r="F59" s="548"/>
      <c r="G59" s="246" t="s">
        <v>166</v>
      </c>
      <c r="H59" s="549"/>
      <c r="I59" s="550">
        <v>7.9</v>
      </c>
      <c r="J59" s="550">
        <v>6.3</v>
      </c>
      <c r="K59" s="550">
        <v>19.899999999999999</v>
      </c>
      <c r="L59" s="550">
        <v>26</v>
      </c>
      <c r="M59" s="550">
        <v>8</v>
      </c>
      <c r="N59" s="550">
        <v>38.9</v>
      </c>
      <c r="O59" s="550">
        <v>3</v>
      </c>
      <c r="P59" s="550">
        <v>3.3</v>
      </c>
      <c r="Q59" s="550">
        <v>8</v>
      </c>
      <c r="R59" s="550">
        <v>15.3</v>
      </c>
      <c r="S59" s="550">
        <v>7.3</v>
      </c>
      <c r="T59" s="550">
        <v>7.3</v>
      </c>
      <c r="U59" s="549"/>
      <c r="V59" s="8"/>
      <c r="W59" s="9"/>
      <c r="X59" s="9"/>
      <c r="Y59" s="8"/>
      <c r="Z59" s="4"/>
      <c r="AA59" s="4"/>
      <c r="AB59" s="4"/>
      <c r="AC59" s="4"/>
      <c r="AD59" s="4"/>
      <c r="AE59" s="4"/>
      <c r="AF59" s="4"/>
      <c r="AG59" s="4"/>
      <c r="AH59" s="4"/>
      <c r="AI59" s="4"/>
      <c r="AJ59" s="4"/>
      <c r="AK59" s="4"/>
      <c r="AL59" s="4"/>
      <c r="AM59" s="4"/>
      <c r="AN59" s="4"/>
      <c r="AO59" s="4"/>
      <c r="AP59" s="4"/>
      <c r="AQ59" s="4"/>
      <c r="AR59" s="4"/>
      <c r="AS59" s="22"/>
    </row>
    <row r="60" spans="1:47" s="2" customFormat="1" hidden="1">
      <c r="A60" s="309"/>
      <c r="B60" s="1023" t="s">
        <v>532</v>
      </c>
      <c r="C60" s="723"/>
      <c r="D60" s="1002"/>
      <c r="E60" s="246" t="s">
        <v>534</v>
      </c>
      <c r="F60" s="548"/>
      <c r="G60" s="246" t="s">
        <v>166</v>
      </c>
      <c r="H60" s="549"/>
      <c r="I60" s="550">
        <v>4.5</v>
      </c>
      <c r="J60" s="550">
        <v>3.5</v>
      </c>
      <c r="K60" s="550">
        <v>11.1</v>
      </c>
      <c r="L60" s="550">
        <v>14.5</v>
      </c>
      <c r="M60" s="550">
        <v>4.5999999999999996</v>
      </c>
      <c r="N60" s="550">
        <v>21.1</v>
      </c>
      <c r="O60" s="550">
        <v>1.8</v>
      </c>
      <c r="P60" s="550">
        <v>2.2999999999999998</v>
      </c>
      <c r="Q60" s="550">
        <v>4.7</v>
      </c>
      <c r="R60" s="550">
        <v>8.6</v>
      </c>
      <c r="S60" s="550">
        <v>3.8</v>
      </c>
      <c r="T60" s="550">
        <v>3.8</v>
      </c>
      <c r="U60" s="549"/>
      <c r="V60" s="8"/>
      <c r="W60" s="9"/>
      <c r="X60" s="9"/>
      <c r="Y60" s="8"/>
      <c r="Z60" s="4"/>
      <c r="AA60" s="4"/>
      <c r="AB60" s="4"/>
      <c r="AC60" s="4"/>
      <c r="AD60" s="4"/>
      <c r="AE60" s="4"/>
      <c r="AF60" s="4"/>
      <c r="AG60" s="4"/>
      <c r="AH60" s="4"/>
      <c r="AI60" s="4"/>
      <c r="AJ60" s="4"/>
      <c r="AK60" s="4"/>
      <c r="AL60" s="4"/>
      <c r="AM60" s="4"/>
      <c r="AN60" s="4"/>
      <c r="AO60" s="4"/>
      <c r="AP60" s="4"/>
      <c r="AQ60" s="4"/>
      <c r="AR60" s="4"/>
      <c r="AS60" s="22"/>
    </row>
    <row r="61" spans="1:47" s="2" customFormat="1" hidden="1">
      <c r="A61" s="309"/>
      <c r="B61" s="1023" t="s">
        <v>532</v>
      </c>
      <c r="C61" s="723"/>
      <c r="D61" s="1002"/>
      <c r="E61" s="246" t="s">
        <v>535</v>
      </c>
      <c r="F61" s="548"/>
      <c r="G61" s="246" t="s">
        <v>166</v>
      </c>
      <c r="H61" s="549"/>
      <c r="I61" s="550">
        <v>2.2999999999999998</v>
      </c>
      <c r="J61" s="550">
        <v>1.7</v>
      </c>
      <c r="K61" s="550">
        <v>5.5</v>
      </c>
      <c r="L61" s="550">
        <v>7.3</v>
      </c>
      <c r="M61" s="550">
        <v>2.2000000000000002</v>
      </c>
      <c r="N61" s="550">
        <v>10.9</v>
      </c>
      <c r="O61" s="550">
        <v>0.9</v>
      </c>
      <c r="P61" s="550">
        <v>1.2</v>
      </c>
      <c r="Q61" s="550">
        <v>2.2999999999999998</v>
      </c>
      <c r="R61" s="550">
        <v>4.3</v>
      </c>
      <c r="S61" s="550">
        <v>1.9</v>
      </c>
      <c r="T61" s="550">
        <v>1.9</v>
      </c>
      <c r="U61" s="549"/>
      <c r="V61" s="8"/>
      <c r="W61" s="9"/>
      <c r="X61" s="9"/>
      <c r="Y61" s="8"/>
      <c r="Z61" s="4"/>
      <c r="AA61" s="4"/>
      <c r="AB61" s="4"/>
      <c r="AC61" s="4"/>
      <c r="AD61" s="4"/>
      <c r="AE61" s="4"/>
      <c r="AF61" s="4"/>
      <c r="AG61" s="4"/>
      <c r="AH61" s="4"/>
      <c r="AI61" s="4"/>
      <c r="AJ61" s="4"/>
      <c r="AK61" s="4"/>
      <c r="AL61" s="4"/>
      <c r="AM61" s="4"/>
      <c r="AN61" s="4"/>
      <c r="AO61" s="4"/>
      <c r="AP61" s="4"/>
      <c r="AQ61" s="4"/>
      <c r="AR61" s="4"/>
      <c r="AS61" s="22"/>
    </row>
    <row r="62" spans="1:47" s="2" customFormat="1" hidden="1">
      <c r="A62" s="309"/>
      <c r="B62" s="1023" t="s">
        <v>532</v>
      </c>
      <c r="C62" s="723"/>
      <c r="D62" s="1002"/>
      <c r="E62" s="246" t="s">
        <v>145</v>
      </c>
      <c r="F62" s="548"/>
      <c r="G62" s="246" t="s">
        <v>166</v>
      </c>
      <c r="H62" s="549"/>
      <c r="I62" s="586">
        <f>0.5*I61</f>
        <v>1.1499999999999999</v>
      </c>
      <c r="J62" s="586">
        <f t="shared" ref="J62:T62" si="27">0.5*J61</f>
        <v>0.85</v>
      </c>
      <c r="K62" s="586">
        <f t="shared" si="27"/>
        <v>2.75</v>
      </c>
      <c r="L62" s="586">
        <f t="shared" si="27"/>
        <v>3.65</v>
      </c>
      <c r="M62" s="586">
        <f t="shared" si="27"/>
        <v>1.1000000000000001</v>
      </c>
      <c r="N62" s="586">
        <f t="shared" si="27"/>
        <v>5.45</v>
      </c>
      <c r="O62" s="586">
        <f t="shared" si="27"/>
        <v>0.45</v>
      </c>
      <c r="P62" s="586">
        <f t="shared" si="27"/>
        <v>0.6</v>
      </c>
      <c r="Q62" s="586">
        <f t="shared" si="27"/>
        <v>1.1499999999999999</v>
      </c>
      <c r="R62" s="586">
        <f t="shared" si="27"/>
        <v>2.15</v>
      </c>
      <c r="S62" s="586">
        <f t="shared" si="27"/>
        <v>0.95</v>
      </c>
      <c r="T62" s="586">
        <f t="shared" si="27"/>
        <v>0.95</v>
      </c>
      <c r="U62" s="549"/>
      <c r="V62" s="8"/>
      <c r="W62" s="9"/>
      <c r="X62" s="9"/>
      <c r="Y62" s="8"/>
      <c r="Z62" s="4"/>
      <c r="AA62" s="4"/>
      <c r="AB62" s="4"/>
      <c r="AC62" s="4"/>
      <c r="AD62" s="4"/>
      <c r="AE62" s="4"/>
      <c r="AF62" s="4"/>
      <c r="AG62" s="4"/>
      <c r="AH62" s="4"/>
      <c r="AI62" s="4"/>
      <c r="AJ62" s="4"/>
      <c r="AK62" s="4"/>
      <c r="AL62" s="4"/>
      <c r="AM62" s="4"/>
      <c r="AN62" s="4"/>
      <c r="AO62" s="4"/>
      <c r="AP62" s="4"/>
      <c r="AQ62" s="4"/>
      <c r="AR62" s="4"/>
      <c r="AS62" s="22"/>
    </row>
    <row r="63" spans="1:47" ht="18.75" hidden="1">
      <c r="B63" s="1023" t="s">
        <v>532</v>
      </c>
      <c r="C63" s="723"/>
      <c r="D63" s="999"/>
      <c r="E63" s="403" t="s">
        <v>536</v>
      </c>
      <c r="F63" s="404"/>
      <c r="G63" s="405"/>
      <c r="H63" s="405"/>
      <c r="I63" s="405"/>
      <c r="J63" s="405"/>
      <c r="K63" s="405"/>
      <c r="L63" s="405"/>
      <c r="M63" s="405"/>
      <c r="N63" s="405"/>
      <c r="O63" s="405"/>
      <c r="P63" s="405"/>
      <c r="Q63" s="405"/>
      <c r="R63" s="405"/>
      <c r="S63" s="405"/>
      <c r="T63" s="405"/>
      <c r="U63" s="405"/>
      <c r="V63" s="20"/>
      <c r="W63" s="16"/>
      <c r="X63" s="16"/>
      <c r="Y63" s="20"/>
      <c r="Z63" s="5"/>
      <c r="AA63" s="5"/>
      <c r="AB63" s="5"/>
      <c r="AC63" s="5"/>
      <c r="AD63" s="5"/>
      <c r="AE63" s="5"/>
      <c r="AF63" s="5"/>
      <c r="AG63" s="5"/>
      <c r="AH63" s="5"/>
      <c r="AI63" s="5"/>
      <c r="AJ63" s="5"/>
      <c r="AK63" s="5"/>
      <c r="AL63" s="5"/>
      <c r="AM63" s="5"/>
      <c r="AN63" s="5"/>
      <c r="AO63" s="5"/>
      <c r="AP63" s="5"/>
      <c r="AQ63" s="5"/>
      <c r="AR63" s="5"/>
      <c r="AS63" s="22"/>
    </row>
    <row r="64" spans="1:47" hidden="1">
      <c r="B64" s="1023" t="s">
        <v>532</v>
      </c>
      <c r="C64" s="723"/>
      <c r="D64" s="999"/>
      <c r="E64" s="395" t="s">
        <v>122</v>
      </c>
      <c r="F64" s="396"/>
      <c r="G64" s="395" t="s">
        <v>68</v>
      </c>
      <c r="H64" s="408"/>
      <c r="I64" s="545" t="str">
        <f>I$268</f>
        <v>kantoor</v>
      </c>
      <c r="J64" s="545" t="str">
        <f t="shared" ref="J64:T64" si="28">J$268</f>
        <v>bijeenkomst</v>
      </c>
      <c r="K64" s="545" t="str">
        <f t="shared" si="28"/>
        <v>kinderopvang</v>
      </c>
      <c r="L64" s="545" t="str">
        <f t="shared" si="28"/>
        <v>onderwijs</v>
      </c>
      <c r="M64" s="545" t="str">
        <f t="shared" si="28"/>
        <v>zorg overig</v>
      </c>
      <c r="N64" s="545" t="str">
        <f t="shared" si="28"/>
        <v>zorg met bed</v>
      </c>
      <c r="O64" s="545" t="str">
        <f t="shared" si="28"/>
        <v>winkel</v>
      </c>
      <c r="P64" s="545" t="str">
        <f t="shared" si="28"/>
        <v>sport</v>
      </c>
      <c r="Q64" s="545" t="str">
        <f t="shared" si="28"/>
        <v>logies</v>
      </c>
      <c r="R64" s="545" t="str">
        <f t="shared" si="28"/>
        <v>cel</v>
      </c>
      <c r="S64" s="545" t="str">
        <f t="shared" si="28"/>
        <v>woning</v>
      </c>
      <c r="T64" s="545" t="str">
        <f t="shared" si="28"/>
        <v>woongebouw</v>
      </c>
      <c r="U64" s="408"/>
      <c r="V64" s="20"/>
      <c r="W64" s="16"/>
      <c r="X64" s="16"/>
      <c r="Y64" s="20"/>
      <c r="Z64" s="5"/>
      <c r="AA64" s="5"/>
      <c r="AB64" s="5"/>
      <c r="AC64" s="5"/>
      <c r="AD64" s="5"/>
      <c r="AE64" s="5"/>
      <c r="AF64" s="5"/>
      <c r="AG64" s="5"/>
      <c r="AH64" s="5"/>
      <c r="AI64" s="5"/>
      <c r="AJ64" s="5"/>
      <c r="AK64" s="5"/>
      <c r="AL64" s="5"/>
      <c r="AM64" s="5"/>
      <c r="AN64" s="5"/>
      <c r="AO64" s="5"/>
      <c r="AP64" s="5"/>
      <c r="AQ64" s="5"/>
      <c r="AR64" s="5"/>
      <c r="AS64" s="22"/>
    </row>
    <row r="65" spans="1:55" s="2" customFormat="1" hidden="1">
      <c r="A65" s="309"/>
      <c r="B65" s="1023" t="s">
        <v>532</v>
      </c>
      <c r="C65" s="723"/>
      <c r="D65" s="1002"/>
      <c r="E65" s="246" t="str">
        <f>E59</f>
        <v>wisselstroom</v>
      </c>
      <c r="F65" s="548"/>
      <c r="G65" s="246" t="s">
        <v>166</v>
      </c>
      <c r="H65" s="549"/>
      <c r="I65" s="550">
        <v>15.2</v>
      </c>
      <c r="J65" s="550">
        <v>11</v>
      </c>
      <c r="K65" s="550">
        <v>30.7</v>
      </c>
      <c r="L65" s="550">
        <v>40.299999999999997</v>
      </c>
      <c r="M65" s="550">
        <v>14.1</v>
      </c>
      <c r="N65" s="550">
        <v>60</v>
      </c>
      <c r="O65" s="550">
        <v>10.199999999999999</v>
      </c>
      <c r="P65" s="550">
        <v>10.3</v>
      </c>
      <c r="Q65" s="550">
        <v>15.1</v>
      </c>
      <c r="R65" s="550">
        <v>40.5</v>
      </c>
      <c r="S65" s="550">
        <v>15.3</v>
      </c>
      <c r="T65" s="550">
        <v>15.3</v>
      </c>
      <c r="U65" s="549"/>
      <c r="V65" s="8"/>
      <c r="W65" s="9"/>
      <c r="X65" s="9"/>
      <c r="Y65" s="8"/>
      <c r="Z65" s="4"/>
      <c r="AA65" s="4"/>
      <c r="AB65" s="4"/>
      <c r="AC65" s="4"/>
      <c r="AD65" s="4"/>
      <c r="AE65" s="4"/>
      <c r="AF65" s="4"/>
      <c r="AG65" s="4"/>
      <c r="AH65" s="4"/>
      <c r="AI65" s="4"/>
      <c r="AJ65" s="4"/>
      <c r="AK65" s="4"/>
      <c r="AL65" s="4"/>
      <c r="AM65" s="4"/>
      <c r="AN65" s="4"/>
      <c r="AO65" s="4"/>
      <c r="AP65" s="4"/>
      <c r="AQ65" s="4"/>
      <c r="AR65" s="4"/>
      <c r="AS65" s="22"/>
    </row>
    <row r="66" spans="1:55" s="2" customFormat="1" hidden="1">
      <c r="A66" s="309"/>
      <c r="B66" s="1023" t="s">
        <v>532</v>
      </c>
      <c r="C66" s="723"/>
      <c r="D66" s="1002"/>
      <c r="E66" s="246" t="str">
        <f>E60</f>
        <v>gelijkstroom (vóór 2007)</v>
      </c>
      <c r="F66" s="548"/>
      <c r="G66" s="246" t="s">
        <v>166</v>
      </c>
      <c r="H66" s="549"/>
      <c r="I66" s="550">
        <v>8.5</v>
      </c>
      <c r="J66" s="550">
        <v>5.9</v>
      </c>
      <c r="K66" s="550">
        <v>17.3</v>
      </c>
      <c r="L66" s="550">
        <v>22.6</v>
      </c>
      <c r="M66" s="550">
        <v>7.9</v>
      </c>
      <c r="N66" s="550">
        <v>34.299999999999997</v>
      </c>
      <c r="O66" s="550">
        <v>4</v>
      </c>
      <c r="P66" s="550">
        <v>5</v>
      </c>
      <c r="Q66" s="550">
        <v>8.6999999999999993</v>
      </c>
      <c r="R66" s="550">
        <v>20.7</v>
      </c>
      <c r="S66" s="550">
        <v>8.6</v>
      </c>
      <c r="T66" s="550">
        <v>8.6</v>
      </c>
      <c r="U66" s="549"/>
      <c r="V66" s="8"/>
      <c r="W66" s="9"/>
      <c r="X66" s="9"/>
      <c r="Y66" s="8"/>
      <c r="Z66" s="4"/>
      <c r="AA66" s="4"/>
      <c r="AB66" s="4"/>
      <c r="AC66" s="4"/>
      <c r="AD66" s="4"/>
      <c r="AE66" s="4"/>
      <c r="AF66" s="4"/>
      <c r="AG66" s="4"/>
      <c r="AH66" s="4"/>
      <c r="AI66" s="4"/>
      <c r="AJ66" s="4"/>
      <c r="AK66" s="4"/>
      <c r="AL66" s="4"/>
      <c r="AM66" s="4"/>
      <c r="AN66" s="4"/>
      <c r="AO66" s="4"/>
      <c r="AP66" s="4"/>
      <c r="AQ66" s="4"/>
      <c r="AR66" s="4"/>
      <c r="AS66" s="22"/>
    </row>
    <row r="67" spans="1:55" s="2" customFormat="1" hidden="1">
      <c r="A67" s="309"/>
      <c r="B67" s="1023" t="s">
        <v>532</v>
      </c>
      <c r="C67" s="723"/>
      <c r="D67" s="1002"/>
      <c r="E67" s="246" t="str">
        <f>E61</f>
        <v>gelijkstroom (vanaf 2007)</v>
      </c>
      <c r="F67" s="548"/>
      <c r="G67" s="246" t="s">
        <v>166</v>
      </c>
      <c r="H67" s="549"/>
      <c r="I67" s="550">
        <v>4</v>
      </c>
      <c r="J67" s="550">
        <v>3.1</v>
      </c>
      <c r="K67" s="550">
        <v>8.6999999999999993</v>
      </c>
      <c r="L67" s="550">
        <v>11.3</v>
      </c>
      <c r="M67" s="550">
        <v>3.8</v>
      </c>
      <c r="N67" s="550">
        <v>17.7</v>
      </c>
      <c r="O67" s="550">
        <v>1.7</v>
      </c>
      <c r="P67" s="550">
        <v>3</v>
      </c>
      <c r="Q67" s="550">
        <v>4.0999999999999996</v>
      </c>
      <c r="R67" s="550">
        <v>7</v>
      </c>
      <c r="S67" s="550">
        <v>4.3</v>
      </c>
      <c r="T67" s="550">
        <v>4.3</v>
      </c>
      <c r="U67" s="549"/>
      <c r="V67" s="8"/>
      <c r="W67" s="9"/>
      <c r="X67" s="9"/>
      <c r="Y67" s="8"/>
      <c r="Z67" s="4"/>
      <c r="AA67" s="4"/>
      <c r="AB67" s="4"/>
      <c r="AC67" s="4"/>
      <c r="AD67" s="4"/>
      <c r="AE67" s="4"/>
      <c r="AF67" s="4"/>
      <c r="AG67" s="4"/>
      <c r="AH67" s="4"/>
      <c r="AI67" s="4"/>
      <c r="AJ67" s="4"/>
      <c r="AK67" s="4"/>
      <c r="AL67" s="4"/>
      <c r="AM67" s="4"/>
      <c r="AN67" s="4"/>
      <c r="AO67" s="4"/>
      <c r="AP67" s="4"/>
      <c r="AQ67" s="4"/>
      <c r="AR67" s="4"/>
      <c r="AS67" s="22"/>
    </row>
    <row r="68" spans="1:55" s="2" customFormat="1" hidden="1">
      <c r="A68" s="309"/>
      <c r="B68" s="1023" t="s">
        <v>532</v>
      </c>
      <c r="C68" s="723"/>
      <c r="D68" s="1002"/>
      <c r="E68" s="246" t="str">
        <f>E62</f>
        <v>zeer energiezuinig</v>
      </c>
      <c r="F68" s="548"/>
      <c r="G68" s="246" t="s">
        <v>166</v>
      </c>
      <c r="H68" s="549"/>
      <c r="I68" s="586">
        <f t="shared" ref="I68:T68" si="29">0.5*I67</f>
        <v>2</v>
      </c>
      <c r="J68" s="586">
        <f t="shared" si="29"/>
        <v>1.55</v>
      </c>
      <c r="K68" s="586">
        <f t="shared" si="29"/>
        <v>4.3499999999999996</v>
      </c>
      <c r="L68" s="586">
        <f t="shared" si="29"/>
        <v>5.65</v>
      </c>
      <c r="M68" s="586">
        <f t="shared" si="29"/>
        <v>1.9</v>
      </c>
      <c r="N68" s="586">
        <f t="shared" si="29"/>
        <v>8.85</v>
      </c>
      <c r="O68" s="586">
        <f t="shared" si="29"/>
        <v>0.85</v>
      </c>
      <c r="P68" s="586">
        <f t="shared" si="29"/>
        <v>1.5</v>
      </c>
      <c r="Q68" s="586">
        <f t="shared" si="29"/>
        <v>2.0499999999999998</v>
      </c>
      <c r="R68" s="586">
        <f t="shared" si="29"/>
        <v>3.5</v>
      </c>
      <c r="S68" s="586">
        <f t="shared" si="29"/>
        <v>2.15</v>
      </c>
      <c r="T68" s="586">
        <f t="shared" si="29"/>
        <v>2.15</v>
      </c>
      <c r="U68" s="549"/>
      <c r="V68" s="8"/>
      <c r="W68" s="9"/>
      <c r="X68" s="9"/>
      <c r="Y68" s="8"/>
      <c r="Z68" s="4"/>
      <c r="AA68" s="4"/>
      <c r="AB68" s="4"/>
      <c r="AC68" s="4"/>
      <c r="AD68" s="4"/>
      <c r="AE68" s="4"/>
      <c r="AF68" s="4"/>
      <c r="AG68" s="4"/>
      <c r="AH68" s="4"/>
      <c r="AI68" s="4"/>
      <c r="AJ68" s="4"/>
      <c r="AK68" s="4"/>
      <c r="AL68" s="4"/>
      <c r="AM68" s="4"/>
      <c r="AN68" s="4"/>
      <c r="AO68" s="4"/>
      <c r="AP68" s="4"/>
      <c r="AQ68" s="4"/>
      <c r="AR68" s="4"/>
      <c r="AS68" s="22"/>
    </row>
    <row r="69" spans="1:55" hidden="1">
      <c r="B69" s="1023" t="s">
        <v>532</v>
      </c>
      <c r="C69" s="723"/>
      <c r="D69" s="999"/>
      <c r="E69" s="391" t="s">
        <v>537</v>
      </c>
      <c r="F69" s="391"/>
      <c r="G69" s="391"/>
      <c r="H69" s="391"/>
      <c r="I69" s="544"/>
      <c r="J69" s="544"/>
      <c r="K69" s="544"/>
      <c r="L69" s="544"/>
      <c r="M69" s="544"/>
      <c r="N69" s="544"/>
      <c r="O69" s="544"/>
      <c r="P69" s="544"/>
      <c r="Q69" s="544"/>
      <c r="R69" s="544"/>
      <c r="S69" s="544"/>
      <c r="T69" s="544"/>
      <c r="U69" s="544"/>
      <c r="V69" s="14"/>
      <c r="W69" s="14"/>
      <c r="X69" s="14"/>
      <c r="Y69" s="377"/>
      <c r="Z69" s="14"/>
      <c r="AA69" s="18"/>
      <c r="AB69" s="18"/>
      <c r="AC69" s="18"/>
      <c r="AD69" s="18"/>
      <c r="AE69" s="18"/>
      <c r="AF69" s="18"/>
      <c r="AG69" s="18"/>
      <c r="AH69" s="18"/>
      <c r="AI69" s="18"/>
      <c r="AJ69" s="18"/>
      <c r="AK69" s="18"/>
      <c r="AL69" s="18"/>
      <c r="AM69" s="18"/>
      <c r="AN69" s="18"/>
      <c r="AO69" s="18"/>
      <c r="AP69" s="18"/>
      <c r="AQ69" s="18"/>
      <c r="AR69" s="18"/>
      <c r="AS69" s="22"/>
    </row>
    <row r="70" spans="1:55" hidden="1">
      <c r="B70" s="1023" t="s">
        <v>532</v>
      </c>
      <c r="C70" s="723"/>
      <c r="D70" s="999"/>
      <c r="E70" s="5"/>
      <c r="F70" s="5"/>
      <c r="G70" s="5"/>
      <c r="H70" s="16"/>
      <c r="I70" s="16"/>
      <c r="J70" s="16"/>
      <c r="K70" s="5"/>
      <c r="L70" s="16"/>
      <c r="M70" s="16"/>
      <c r="N70" s="16"/>
      <c r="O70" s="16"/>
      <c r="P70" s="16"/>
      <c r="Q70" s="16"/>
      <c r="R70" s="16"/>
      <c r="S70" s="16"/>
      <c r="T70" s="16"/>
      <c r="U70" s="16"/>
      <c r="V70" s="16"/>
      <c r="W70" s="16"/>
      <c r="X70" s="16"/>
      <c r="Y70" s="20"/>
      <c r="Z70" s="5"/>
      <c r="AA70" s="5"/>
      <c r="AB70" s="5"/>
      <c r="AC70" s="5"/>
      <c r="AD70" s="5"/>
      <c r="AE70" s="5"/>
      <c r="AF70" s="5"/>
      <c r="AG70" s="5"/>
      <c r="AH70" s="5"/>
      <c r="AI70" s="5"/>
      <c r="AJ70" s="5"/>
      <c r="AK70" s="5"/>
      <c r="AL70" s="5"/>
      <c r="AM70" s="5"/>
      <c r="AN70" s="5"/>
      <c r="AO70" s="5"/>
      <c r="AP70" s="5"/>
      <c r="AQ70" s="5"/>
      <c r="AR70" s="5"/>
      <c r="AS70" s="22"/>
    </row>
    <row r="71" spans="1:55">
      <c r="B71" s="1023" t="s">
        <v>538</v>
      </c>
      <c r="C71" s="723"/>
      <c r="D71" s="999"/>
      <c r="E71" s="5"/>
      <c r="F71" s="5"/>
      <c r="G71" s="5"/>
      <c r="H71" s="16"/>
      <c r="I71" s="21"/>
      <c r="J71" s="21"/>
      <c r="K71" s="21"/>
      <c r="L71" s="21"/>
      <c r="M71" s="21"/>
      <c r="N71" s="21"/>
      <c r="O71" s="21"/>
      <c r="P71" s="21"/>
      <c r="Q71" s="16"/>
      <c r="R71" s="16"/>
      <c r="S71" s="16"/>
      <c r="T71" s="16"/>
      <c r="U71" s="16"/>
      <c r="V71" s="16"/>
      <c r="W71" s="16"/>
      <c r="X71" s="16"/>
      <c r="Y71" s="20"/>
      <c r="Z71" s="5"/>
      <c r="AA71" s="5"/>
      <c r="AB71" s="5"/>
      <c r="AC71" s="5"/>
      <c r="AD71" s="5"/>
      <c r="AE71" s="5"/>
      <c r="AF71" s="5"/>
      <c r="AG71" s="5"/>
      <c r="AH71" s="5"/>
      <c r="AI71" s="5"/>
      <c r="AJ71" s="5"/>
      <c r="AK71" s="5"/>
      <c r="AL71" s="5"/>
      <c r="AM71" s="1046"/>
      <c r="AN71" s="1046"/>
      <c r="AO71" s="1046"/>
      <c r="AP71" s="1046"/>
      <c r="AQ71" s="1046"/>
      <c r="AR71" s="5"/>
      <c r="AS71" s="22"/>
    </row>
    <row r="72" spans="1:55" ht="21">
      <c r="B72" s="1023" t="s">
        <v>538</v>
      </c>
      <c r="C72" s="723"/>
      <c r="D72" s="999"/>
      <c r="E72" s="240" t="s">
        <v>539</v>
      </c>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2"/>
    </row>
    <row r="73" spans="1:55">
      <c r="B73" s="1023" t="s">
        <v>538</v>
      </c>
      <c r="C73" s="723"/>
      <c r="D73" s="1000"/>
      <c r="E73" s="506" t="s">
        <v>483</v>
      </c>
      <c r="F73" s="506"/>
      <c r="G73" s="506" t="s">
        <v>420</v>
      </c>
      <c r="H73" s="507"/>
      <c r="I73" s="508">
        <f t="shared" ref="I73:BA73" ca="1" si="30">OFFSET(I73,0,-1)+1</f>
        <v>1</v>
      </c>
      <c r="J73" s="508">
        <f t="shared" ca="1" si="30"/>
        <v>2</v>
      </c>
      <c r="K73" s="508">
        <f t="shared" ca="1" si="30"/>
        <v>3</v>
      </c>
      <c r="L73" s="508">
        <f t="shared" ca="1" si="30"/>
        <v>4</v>
      </c>
      <c r="M73" s="508">
        <f t="shared" ca="1" si="30"/>
        <v>5</v>
      </c>
      <c r="N73" s="508">
        <f t="shared" ca="1" si="30"/>
        <v>6</v>
      </c>
      <c r="O73" s="508">
        <f t="shared" ca="1" si="30"/>
        <v>7</v>
      </c>
      <c r="P73" s="508">
        <f t="shared" ca="1" si="30"/>
        <v>8</v>
      </c>
      <c r="Q73" s="508">
        <f t="shared" ca="1" si="30"/>
        <v>9</v>
      </c>
      <c r="R73" s="508">
        <f t="shared" ca="1" si="30"/>
        <v>10</v>
      </c>
      <c r="S73" s="508">
        <f t="shared" ca="1" si="30"/>
        <v>11</v>
      </c>
      <c r="T73" s="508">
        <f t="shared" ca="1" si="30"/>
        <v>12</v>
      </c>
      <c r="U73" s="508">
        <f t="shared" ca="1" si="30"/>
        <v>13</v>
      </c>
      <c r="V73" s="508">
        <f t="shared" ca="1" si="30"/>
        <v>14</v>
      </c>
      <c r="W73" s="508">
        <f t="shared" ca="1" si="30"/>
        <v>15</v>
      </c>
      <c r="X73" s="508">
        <f t="shared" ca="1" si="30"/>
        <v>16</v>
      </c>
      <c r="Y73" s="508">
        <f t="shared" ca="1" si="30"/>
        <v>17</v>
      </c>
      <c r="Z73" s="508">
        <f t="shared" ca="1" si="30"/>
        <v>18</v>
      </c>
      <c r="AA73" s="508">
        <f t="shared" ca="1" si="30"/>
        <v>19</v>
      </c>
      <c r="AB73" s="508">
        <f t="shared" ca="1" si="30"/>
        <v>20</v>
      </c>
      <c r="AC73" s="508">
        <f t="shared" ca="1" si="30"/>
        <v>21</v>
      </c>
      <c r="AD73" s="508">
        <f t="shared" ca="1" si="30"/>
        <v>22</v>
      </c>
      <c r="AE73" s="508">
        <f t="shared" ca="1" si="30"/>
        <v>23</v>
      </c>
      <c r="AF73" s="508">
        <f t="shared" ca="1" si="30"/>
        <v>24</v>
      </c>
      <c r="AG73" s="508">
        <f t="shared" ca="1" si="30"/>
        <v>25</v>
      </c>
      <c r="AH73" s="508">
        <f t="shared" ca="1" si="30"/>
        <v>26</v>
      </c>
      <c r="AI73" s="508">
        <f t="shared" ca="1" si="30"/>
        <v>27</v>
      </c>
      <c r="AJ73" s="508">
        <f t="shared" ca="1" si="30"/>
        <v>28</v>
      </c>
      <c r="AK73" s="508">
        <f t="shared" ca="1" si="30"/>
        <v>29</v>
      </c>
      <c r="AL73" s="508">
        <f t="shared" ca="1" si="30"/>
        <v>30</v>
      </c>
      <c r="AM73" s="508">
        <f t="shared" ca="1" si="30"/>
        <v>31</v>
      </c>
      <c r="AN73" s="508">
        <f t="shared" ca="1" si="30"/>
        <v>32</v>
      </c>
      <c r="AO73" s="508">
        <f t="shared" ca="1" si="30"/>
        <v>33</v>
      </c>
      <c r="AP73" s="508">
        <f t="shared" ca="1" si="30"/>
        <v>34</v>
      </c>
      <c r="AQ73" s="508">
        <f t="shared" ca="1" si="30"/>
        <v>35</v>
      </c>
      <c r="AR73" s="508">
        <f t="shared" ca="1" si="30"/>
        <v>36</v>
      </c>
      <c r="AS73" s="508">
        <f t="shared" ca="1" si="30"/>
        <v>37</v>
      </c>
      <c r="AT73" s="508">
        <f t="shared" ca="1" si="30"/>
        <v>38</v>
      </c>
      <c r="AU73" s="508">
        <f t="shared" ca="1" si="30"/>
        <v>39</v>
      </c>
      <c r="AV73" s="508">
        <f t="shared" ca="1" si="30"/>
        <v>40</v>
      </c>
      <c r="AW73" s="508">
        <f t="shared" ca="1" si="30"/>
        <v>41</v>
      </c>
      <c r="AX73" s="508">
        <f t="shared" ca="1" si="30"/>
        <v>42</v>
      </c>
      <c r="AY73" s="508">
        <f t="shared" ca="1" si="30"/>
        <v>43</v>
      </c>
      <c r="AZ73" s="508">
        <f t="shared" ca="1" si="30"/>
        <v>44</v>
      </c>
      <c r="BA73" s="508">
        <f t="shared" ca="1" si="30"/>
        <v>45</v>
      </c>
      <c r="BB73" s="507"/>
      <c r="BC73" s="274"/>
    </row>
    <row r="74" spans="1:55" ht="18.75">
      <c r="B74" s="1023" t="s">
        <v>538</v>
      </c>
      <c r="C74" s="723"/>
      <c r="D74" s="999"/>
      <c r="E74" s="403" t="s">
        <v>540</v>
      </c>
      <c r="F74" s="404"/>
      <c r="G74" s="403"/>
      <c r="H74" s="509"/>
      <c r="I74" s="509"/>
      <c r="J74" s="509"/>
      <c r="K74" s="509"/>
      <c r="L74" s="509"/>
      <c r="M74" s="509"/>
      <c r="N74" s="509"/>
      <c r="O74" s="509"/>
      <c r="P74" s="509"/>
      <c r="Q74" s="509"/>
      <c r="R74" s="509"/>
      <c r="S74" s="509"/>
      <c r="T74" s="509"/>
      <c r="U74" s="509"/>
      <c r="V74" s="509"/>
      <c r="W74" s="509"/>
      <c r="X74" s="509"/>
      <c r="Y74" s="509"/>
      <c r="Z74" s="509"/>
      <c r="AA74" s="510"/>
      <c r="AB74" s="509"/>
      <c r="AC74" s="509"/>
      <c r="AD74" s="509"/>
      <c r="AE74" s="509"/>
      <c r="AF74" s="509"/>
      <c r="AG74" s="509"/>
      <c r="AH74" s="509"/>
      <c r="AI74" s="509"/>
      <c r="AJ74" s="509"/>
      <c r="AK74" s="509"/>
      <c r="AL74" s="509"/>
      <c r="AM74" s="684" t="s">
        <v>541</v>
      </c>
      <c r="AN74" s="684" t="s">
        <v>541</v>
      </c>
      <c r="AO74" s="684" t="s">
        <v>541</v>
      </c>
      <c r="AP74" s="684" t="s">
        <v>541</v>
      </c>
      <c r="AQ74" s="684" t="s">
        <v>541</v>
      </c>
      <c r="AR74" s="684" t="s">
        <v>541</v>
      </c>
      <c r="AS74" s="684" t="s">
        <v>541</v>
      </c>
      <c r="AT74" s="684" t="s">
        <v>541</v>
      </c>
      <c r="AU74" s="684" t="s">
        <v>541</v>
      </c>
      <c r="AV74" s="684" t="s">
        <v>541</v>
      </c>
      <c r="AW74" s="684" t="s">
        <v>541</v>
      </c>
      <c r="AX74" s="684" t="s">
        <v>541</v>
      </c>
      <c r="AY74" s="684" t="s">
        <v>541</v>
      </c>
      <c r="AZ74" s="684" t="s">
        <v>541</v>
      </c>
      <c r="BA74" s="684" t="s">
        <v>541</v>
      </c>
      <c r="BB74" s="511"/>
      <c r="BC74" s="22"/>
    </row>
    <row r="75" spans="1:55" ht="38.25">
      <c r="B75" s="1023" t="s">
        <v>538</v>
      </c>
      <c r="C75" s="723"/>
      <c r="D75" s="999"/>
      <c r="E75" s="395" t="s">
        <v>542</v>
      </c>
      <c r="F75" s="396"/>
      <c r="G75" s="512"/>
      <c r="H75" s="408"/>
      <c r="I75" s="494" t="s">
        <v>543</v>
      </c>
      <c r="J75" s="494" t="s">
        <v>182</v>
      </c>
      <c r="K75" s="494" t="s">
        <v>544</v>
      </c>
      <c r="L75" s="494" t="s">
        <v>545</v>
      </c>
      <c r="M75" s="494" t="s">
        <v>546</v>
      </c>
      <c r="N75" s="494" t="s">
        <v>547</v>
      </c>
      <c r="O75" s="494" t="s">
        <v>1054</v>
      </c>
      <c r="P75" s="494" t="s">
        <v>548</v>
      </c>
      <c r="Q75" s="494" t="s">
        <v>549</v>
      </c>
      <c r="R75" s="494" t="s">
        <v>550</v>
      </c>
      <c r="S75" s="494" t="s">
        <v>551</v>
      </c>
      <c r="T75" s="494" t="s">
        <v>552</v>
      </c>
      <c r="U75" s="494" t="s">
        <v>553</v>
      </c>
      <c r="V75" s="494" t="s">
        <v>1014</v>
      </c>
      <c r="W75" s="494" t="s">
        <v>554</v>
      </c>
      <c r="X75" s="494" t="s">
        <v>555</v>
      </c>
      <c r="Y75" s="494" t="s">
        <v>556</v>
      </c>
      <c r="Z75" s="494" t="s">
        <v>557</v>
      </c>
      <c r="AA75" s="494" t="s">
        <v>558</v>
      </c>
      <c r="AB75" s="494" t="s">
        <v>559</v>
      </c>
      <c r="AC75" s="494" t="s">
        <v>560</v>
      </c>
      <c r="AD75" s="494" t="s">
        <v>561</v>
      </c>
      <c r="AE75" s="494" t="s">
        <v>562</v>
      </c>
      <c r="AF75" s="494" t="s">
        <v>563</v>
      </c>
      <c r="AG75" s="494" t="s">
        <v>564</v>
      </c>
      <c r="AH75" s="494" t="s">
        <v>565</v>
      </c>
      <c r="AI75" s="494" t="s">
        <v>179</v>
      </c>
      <c r="AJ75" s="494" t="s">
        <v>566</v>
      </c>
      <c r="AK75" s="494" t="s">
        <v>567</v>
      </c>
      <c r="AL75" s="494" t="s">
        <v>568</v>
      </c>
      <c r="AM75" s="563"/>
      <c r="AN75" s="563"/>
      <c r="AO75" s="563"/>
      <c r="AP75" s="563"/>
      <c r="AQ75" s="562"/>
      <c r="AR75" s="562"/>
      <c r="AS75" s="563"/>
      <c r="AT75" s="563"/>
      <c r="AU75" s="563"/>
      <c r="AV75" s="563"/>
      <c r="AW75" s="563"/>
      <c r="AX75" s="563"/>
      <c r="AY75" s="563"/>
      <c r="AZ75" s="563"/>
      <c r="BA75" s="563"/>
      <c r="BB75" s="408"/>
      <c r="BC75" s="22"/>
    </row>
    <row r="76" spans="1:55" s="780" customFormat="1" ht="45" customHeight="1">
      <c r="A76" s="775"/>
      <c r="B76" s="1024" t="s">
        <v>538</v>
      </c>
      <c r="C76" s="776"/>
      <c r="D76" s="1003"/>
      <c r="E76" s="396" t="s">
        <v>571</v>
      </c>
      <c r="F76" s="396"/>
      <c r="G76" s="777"/>
      <c r="H76" s="547"/>
      <c r="I76" s="778"/>
      <c r="J76" s="778"/>
      <c r="K76" s="778" t="s">
        <v>48</v>
      </c>
      <c r="L76" s="778" t="s">
        <v>48</v>
      </c>
      <c r="M76" s="778" t="s">
        <v>48</v>
      </c>
      <c r="N76" s="778" t="s">
        <v>48</v>
      </c>
      <c r="O76" s="513"/>
      <c r="P76" s="778" t="s">
        <v>48</v>
      </c>
      <c r="Q76" s="513"/>
      <c r="R76" s="778" t="s">
        <v>48</v>
      </c>
      <c r="S76" s="513"/>
      <c r="T76" s="778" t="s">
        <v>48</v>
      </c>
      <c r="U76" s="778"/>
      <c r="V76" s="778"/>
      <c r="W76" s="778"/>
      <c r="X76" s="778"/>
      <c r="Y76" s="778"/>
      <c r="Z76" s="778"/>
      <c r="AA76" s="778" t="s">
        <v>48</v>
      </c>
      <c r="AB76" s="778" t="s">
        <v>48</v>
      </c>
      <c r="AC76" s="778"/>
      <c r="AD76" s="778"/>
      <c r="AE76" s="778"/>
      <c r="AF76" s="778"/>
      <c r="AG76" s="778"/>
      <c r="AH76" s="778"/>
      <c r="AI76" s="778"/>
      <c r="AJ76" s="778"/>
      <c r="AK76" s="778"/>
      <c r="AL76" s="778"/>
      <c r="AM76" s="778"/>
      <c r="AN76" s="778"/>
      <c r="AO76" s="778"/>
      <c r="AP76" s="778"/>
      <c r="AQ76" s="778"/>
      <c r="AR76" s="778"/>
      <c r="AS76" s="778"/>
      <c r="AT76" s="563"/>
      <c r="AU76" s="563"/>
      <c r="AV76" s="563"/>
      <c r="AW76" s="563"/>
      <c r="AX76" s="563"/>
      <c r="AY76" s="563"/>
      <c r="AZ76" s="563"/>
      <c r="BA76" s="563"/>
      <c r="BB76" s="547"/>
      <c r="BC76" s="779"/>
    </row>
    <row r="77" spans="1:55">
      <c r="B77" s="1023" t="s">
        <v>538</v>
      </c>
      <c r="C77" s="723"/>
      <c r="D77" s="1000" t="s">
        <v>48</v>
      </c>
      <c r="E77" s="395" t="s">
        <v>573</v>
      </c>
      <c r="F77" s="396"/>
      <c r="G77" s="395"/>
      <c r="H77" s="408"/>
      <c r="I77" s="494" t="s">
        <v>574</v>
      </c>
      <c r="J77" s="494" t="s">
        <v>574</v>
      </c>
      <c r="K77" s="494" t="str">
        <f>gebouw</f>
        <v>gebouw</v>
      </c>
      <c r="L77" s="494" t="str">
        <f>gebouw</f>
        <v>gebouw</v>
      </c>
      <c r="M77" s="494" t="str">
        <f>gebouw</f>
        <v>gebouw</v>
      </c>
      <c r="N77" s="494" t="str">
        <f>gebouw</f>
        <v>gebouw</v>
      </c>
      <c r="O77" s="494" t="str">
        <f>gebouw</f>
        <v>gebouw</v>
      </c>
      <c r="P77" s="494" t="s">
        <v>574</v>
      </c>
      <c r="Q77" s="494" t="s">
        <v>574</v>
      </c>
      <c r="R77" s="494" t="str">
        <f>gebied</f>
        <v>gebied</v>
      </c>
      <c r="S77" s="494" t="str">
        <f>gebied</f>
        <v>gebied</v>
      </c>
      <c r="T77" s="494" t="s">
        <v>574</v>
      </c>
      <c r="U77" s="494" t="s">
        <v>667</v>
      </c>
      <c r="V77" s="494" t="str">
        <f t="shared" ref="V77:AC77" si="31">gebied</f>
        <v>gebied</v>
      </c>
      <c r="W77" s="494" t="str">
        <f t="shared" si="31"/>
        <v>gebied</v>
      </c>
      <c r="X77" s="494" t="str">
        <f t="shared" si="31"/>
        <v>gebied</v>
      </c>
      <c r="Y77" s="494" t="str">
        <f t="shared" si="31"/>
        <v>gebied</v>
      </c>
      <c r="Z77" s="494" t="str">
        <f t="shared" si="31"/>
        <v>gebied</v>
      </c>
      <c r="AA77" s="494" t="str">
        <f t="shared" si="31"/>
        <v>gebied</v>
      </c>
      <c r="AB77" s="494" t="str">
        <f t="shared" si="31"/>
        <v>gebied</v>
      </c>
      <c r="AC77" s="494" t="str">
        <f t="shared" si="31"/>
        <v>gebied</v>
      </c>
      <c r="AD77" s="494" t="str">
        <f>centraal</f>
        <v>centraal</v>
      </c>
      <c r="AE77" s="494" t="str">
        <f>centraal</f>
        <v>centraal</v>
      </c>
      <c r="AF77" s="494" t="s">
        <v>667</v>
      </c>
      <c r="AG77" s="494" t="str">
        <f>gebouw</f>
        <v>gebouw</v>
      </c>
      <c r="AH77" s="494" t="str">
        <f>gebouw</f>
        <v>gebouw</v>
      </c>
      <c r="AI77" s="494" t="s">
        <v>574</v>
      </c>
      <c r="AJ77" s="494" t="s">
        <v>575</v>
      </c>
      <c r="AK77" s="494" t="s">
        <v>575</v>
      </c>
      <c r="AL77" s="494" t="s">
        <v>575</v>
      </c>
      <c r="AM77" s="560"/>
      <c r="AN77" s="560"/>
      <c r="AO77" s="560"/>
      <c r="AP77" s="560"/>
      <c r="AQ77" s="560"/>
      <c r="AR77" s="560"/>
      <c r="AS77" s="560"/>
      <c r="AT77" s="560"/>
      <c r="AU77" s="560"/>
      <c r="AV77" s="560"/>
      <c r="AW77" s="560"/>
      <c r="AX77" s="560"/>
      <c r="AY77" s="560"/>
      <c r="AZ77" s="560"/>
      <c r="BA77" s="560"/>
      <c r="BB77" s="408"/>
      <c r="BC77" s="779"/>
    </row>
    <row r="78" spans="1:55">
      <c r="B78" s="1023" t="s">
        <v>538</v>
      </c>
      <c r="C78" s="723"/>
      <c r="D78" s="1000" t="s">
        <v>48</v>
      </c>
      <c r="E78" s="395" t="s">
        <v>2017</v>
      </c>
      <c r="F78" s="396"/>
      <c r="G78" s="395" t="s">
        <v>68</v>
      </c>
      <c r="H78" s="408"/>
      <c r="I78" s="409">
        <v>0</v>
      </c>
      <c r="J78" s="409">
        <v>0</v>
      </c>
      <c r="K78" s="409">
        <v>0</v>
      </c>
      <c r="L78" s="409">
        <v>0</v>
      </c>
      <c r="M78" s="409">
        <v>0</v>
      </c>
      <c r="N78" s="409">
        <v>0</v>
      </c>
      <c r="O78" s="409">
        <v>0</v>
      </c>
      <c r="P78" s="409">
        <v>0</v>
      </c>
      <c r="Q78" s="409">
        <v>0</v>
      </c>
      <c r="R78" s="409">
        <v>0</v>
      </c>
      <c r="S78" s="409">
        <v>0</v>
      </c>
      <c r="T78" s="409">
        <v>0</v>
      </c>
      <c r="U78" s="409">
        <v>0</v>
      </c>
      <c r="V78" s="409">
        <v>0</v>
      </c>
      <c r="W78" s="409">
        <v>0</v>
      </c>
      <c r="X78" s="409">
        <v>0</v>
      </c>
      <c r="Y78" s="409">
        <v>0</v>
      </c>
      <c r="Z78" s="409">
        <v>0</v>
      </c>
      <c r="AA78" s="409">
        <v>0</v>
      </c>
      <c r="AB78" s="409">
        <v>0</v>
      </c>
      <c r="AC78" s="409">
        <v>0</v>
      </c>
      <c r="AD78" s="409">
        <v>0</v>
      </c>
      <c r="AE78" s="409">
        <v>0</v>
      </c>
      <c r="AF78" s="409">
        <v>0</v>
      </c>
      <c r="AG78" s="409">
        <v>0</v>
      </c>
      <c r="AH78" s="409">
        <v>0</v>
      </c>
      <c r="AI78" s="409">
        <v>0</v>
      </c>
      <c r="AJ78" s="409">
        <v>0</v>
      </c>
      <c r="AK78" s="409">
        <v>0</v>
      </c>
      <c r="AL78" s="409">
        <v>0</v>
      </c>
      <c r="AM78" s="569"/>
      <c r="AN78" s="569"/>
      <c r="AO78" s="569"/>
      <c r="AP78" s="569"/>
      <c r="AQ78" s="569"/>
      <c r="AR78" s="569"/>
      <c r="AS78" s="569"/>
      <c r="AT78" s="569"/>
      <c r="AU78" s="569"/>
      <c r="AV78" s="569"/>
      <c r="AW78" s="569"/>
      <c r="AX78" s="569"/>
      <c r="AY78" s="569"/>
      <c r="AZ78" s="569"/>
      <c r="BA78" s="569"/>
      <c r="BB78" s="408"/>
      <c r="BC78" s="22"/>
    </row>
    <row r="79" spans="1:55">
      <c r="B79" s="1023" t="s">
        <v>538</v>
      </c>
      <c r="C79" s="723"/>
      <c r="D79" s="1000" t="s">
        <v>48</v>
      </c>
      <c r="E79" s="395" t="s">
        <v>576</v>
      </c>
      <c r="F79" s="396"/>
      <c r="G79" s="395" t="s">
        <v>68</v>
      </c>
      <c r="H79" s="408"/>
      <c r="I79" s="409">
        <v>0</v>
      </c>
      <c r="J79" s="409">
        <v>0</v>
      </c>
      <c r="K79" s="409">
        <v>1</v>
      </c>
      <c r="L79" s="409">
        <v>1</v>
      </c>
      <c r="M79" s="409">
        <v>1</v>
      </c>
      <c r="N79" s="409">
        <v>1</v>
      </c>
      <c r="O79" s="409">
        <v>1</v>
      </c>
      <c r="P79" s="409">
        <v>1</v>
      </c>
      <c r="Q79" s="409">
        <v>1</v>
      </c>
      <c r="R79" s="409">
        <v>1</v>
      </c>
      <c r="S79" s="409">
        <v>1</v>
      </c>
      <c r="T79" s="409">
        <v>0</v>
      </c>
      <c r="U79" s="409">
        <v>1</v>
      </c>
      <c r="V79" s="409">
        <v>1</v>
      </c>
      <c r="W79" s="409">
        <v>0</v>
      </c>
      <c r="X79" s="409">
        <v>0</v>
      </c>
      <c r="Y79" s="409">
        <v>0</v>
      </c>
      <c r="Z79" s="409">
        <v>0</v>
      </c>
      <c r="AA79" s="409">
        <v>0</v>
      </c>
      <c r="AB79" s="409">
        <v>0</v>
      </c>
      <c r="AC79" s="409">
        <v>0</v>
      </c>
      <c r="AD79" s="409">
        <v>0</v>
      </c>
      <c r="AE79" s="409">
        <v>0</v>
      </c>
      <c r="AF79" s="409">
        <v>0</v>
      </c>
      <c r="AG79" s="409">
        <v>0</v>
      </c>
      <c r="AH79" s="409">
        <v>0</v>
      </c>
      <c r="AI79" s="409">
        <v>0</v>
      </c>
      <c r="AJ79" s="409">
        <v>0</v>
      </c>
      <c r="AK79" s="409">
        <v>0</v>
      </c>
      <c r="AL79" s="409">
        <v>0</v>
      </c>
      <c r="AM79" s="569"/>
      <c r="AN79" s="569"/>
      <c r="AO79" s="569"/>
      <c r="AP79" s="569"/>
      <c r="AQ79" s="569"/>
      <c r="AR79" s="569"/>
      <c r="AS79" s="569"/>
      <c r="AT79" s="569"/>
      <c r="AU79" s="569"/>
      <c r="AV79" s="569"/>
      <c r="AW79" s="569"/>
      <c r="AX79" s="569"/>
      <c r="AY79" s="569"/>
      <c r="AZ79" s="569"/>
      <c r="BA79" s="569"/>
      <c r="BB79" s="408"/>
      <c r="BC79" s="22"/>
    </row>
    <row r="80" spans="1:55">
      <c r="B80" s="1023" t="s">
        <v>538</v>
      </c>
      <c r="C80" s="723"/>
      <c r="D80" s="999"/>
      <c r="E80" s="395" t="s">
        <v>577</v>
      </c>
      <c r="F80" s="396"/>
      <c r="G80" s="395" t="s">
        <v>68</v>
      </c>
      <c r="H80" s="408"/>
      <c r="I80" s="409">
        <v>0</v>
      </c>
      <c r="J80" s="409">
        <v>0</v>
      </c>
      <c r="K80" s="409">
        <v>1</v>
      </c>
      <c r="L80" s="409">
        <v>1</v>
      </c>
      <c r="M80" s="409">
        <v>1</v>
      </c>
      <c r="N80" s="409">
        <v>1</v>
      </c>
      <c r="O80" s="409">
        <v>1</v>
      </c>
      <c r="P80" s="409">
        <v>0</v>
      </c>
      <c r="Q80" s="409">
        <v>1</v>
      </c>
      <c r="R80" s="409">
        <v>1</v>
      </c>
      <c r="S80" s="409">
        <v>1</v>
      </c>
      <c r="T80" s="409">
        <v>0</v>
      </c>
      <c r="U80" s="409">
        <v>0</v>
      </c>
      <c r="V80" s="409">
        <v>1</v>
      </c>
      <c r="W80" s="409">
        <v>0</v>
      </c>
      <c r="X80" s="409">
        <v>0</v>
      </c>
      <c r="Y80" s="409">
        <v>0</v>
      </c>
      <c r="Z80" s="409">
        <v>0</v>
      </c>
      <c r="AA80" s="409">
        <v>0</v>
      </c>
      <c r="AB80" s="409">
        <v>0</v>
      </c>
      <c r="AC80" s="409">
        <v>0</v>
      </c>
      <c r="AD80" s="409">
        <v>0</v>
      </c>
      <c r="AE80" s="409">
        <v>0</v>
      </c>
      <c r="AF80" s="409">
        <v>0</v>
      </c>
      <c r="AG80" s="409">
        <v>0</v>
      </c>
      <c r="AH80" s="409">
        <v>0</v>
      </c>
      <c r="AI80" s="409">
        <v>0</v>
      </c>
      <c r="AJ80" s="409">
        <v>0</v>
      </c>
      <c r="AK80" s="409">
        <v>0</v>
      </c>
      <c r="AL80" s="409">
        <v>0</v>
      </c>
      <c r="AM80" s="569"/>
      <c r="AN80" s="569"/>
      <c r="AO80" s="569"/>
      <c r="AP80" s="569"/>
      <c r="AQ80" s="569"/>
      <c r="AR80" s="569"/>
      <c r="AS80" s="569"/>
      <c r="AT80" s="569"/>
      <c r="AU80" s="569"/>
      <c r="AV80" s="569"/>
      <c r="AW80" s="569"/>
      <c r="AX80" s="569"/>
      <c r="AY80" s="569"/>
      <c r="AZ80" s="569"/>
      <c r="BA80" s="569"/>
      <c r="BB80" s="408"/>
      <c r="BC80" s="22"/>
    </row>
    <row r="81" spans="2:56" ht="18.75">
      <c r="B81" s="1023" t="s">
        <v>538</v>
      </c>
      <c r="C81" s="723"/>
      <c r="D81" s="999"/>
      <c r="E81" s="403" t="s">
        <v>578</v>
      </c>
      <c r="F81" s="404"/>
      <c r="G81" s="405"/>
      <c r="H81" s="509"/>
      <c r="I81" s="509"/>
      <c r="J81" s="509"/>
      <c r="K81" s="509"/>
      <c r="L81" s="509"/>
      <c r="M81" s="509"/>
      <c r="N81" s="509"/>
      <c r="O81" s="509"/>
      <c r="P81" s="509"/>
      <c r="Q81" s="509"/>
      <c r="R81" s="509"/>
      <c r="S81" s="509"/>
      <c r="T81" s="509"/>
      <c r="U81" s="509"/>
      <c r="V81" s="509"/>
      <c r="W81" s="509"/>
      <c r="X81" s="509"/>
      <c r="Y81" s="509"/>
      <c r="Z81" s="509"/>
      <c r="AA81" s="514"/>
      <c r="AB81" s="509"/>
      <c r="AC81" s="509"/>
      <c r="AD81" s="509"/>
      <c r="AE81" s="509"/>
      <c r="AF81" s="509"/>
      <c r="AG81" s="509"/>
      <c r="AH81" s="509"/>
      <c r="AI81" s="509"/>
      <c r="AJ81" s="509"/>
      <c r="AK81" s="509"/>
      <c r="AL81" s="509"/>
      <c r="AM81" s="509"/>
      <c r="AN81" s="509"/>
      <c r="AO81" s="509"/>
      <c r="AP81" s="509"/>
      <c r="AQ81" s="509"/>
      <c r="AR81" s="509"/>
      <c r="AS81" s="509"/>
      <c r="AT81" s="509"/>
      <c r="AU81" s="509"/>
      <c r="AV81" s="509"/>
      <c r="AW81" s="509"/>
      <c r="AX81" s="509"/>
      <c r="AY81" s="509"/>
      <c r="AZ81" s="509"/>
      <c r="BA81" s="509"/>
      <c r="BB81" s="515"/>
      <c r="BC81" s="22"/>
    </row>
    <row r="82" spans="2:56">
      <c r="B82" s="1023" t="s">
        <v>538</v>
      </c>
      <c r="C82" s="723"/>
      <c r="D82" s="1000" t="s">
        <v>48</v>
      </c>
      <c r="E82" s="395" t="s">
        <v>579</v>
      </c>
      <c r="F82" s="396"/>
      <c r="G82" s="395" t="s">
        <v>68</v>
      </c>
      <c r="H82" s="408"/>
      <c r="I82" s="407">
        <v>0.95</v>
      </c>
      <c r="J82" s="407">
        <v>1</v>
      </c>
      <c r="K82" s="407">
        <v>1</v>
      </c>
      <c r="L82" s="407">
        <v>1</v>
      </c>
      <c r="M82" s="407">
        <v>1</v>
      </c>
      <c r="N82" s="407">
        <v>1</v>
      </c>
      <c r="O82" s="407">
        <v>1</v>
      </c>
      <c r="P82" s="407">
        <v>1</v>
      </c>
      <c r="Q82" s="407">
        <v>1</v>
      </c>
      <c r="R82" s="407">
        <v>1</v>
      </c>
      <c r="S82" s="407">
        <v>1</v>
      </c>
      <c r="T82" s="407">
        <v>1</v>
      </c>
      <c r="U82" s="407">
        <v>0.95</v>
      </c>
      <c r="V82" s="407">
        <v>0.95</v>
      </c>
      <c r="W82" s="407">
        <v>0.95</v>
      </c>
      <c r="X82" s="407">
        <v>0.95</v>
      </c>
      <c r="Y82" s="407">
        <v>0.95</v>
      </c>
      <c r="Z82" s="407">
        <v>0.95</v>
      </c>
      <c r="AA82" s="407">
        <v>0.95</v>
      </c>
      <c r="AB82" s="407">
        <v>0.95</v>
      </c>
      <c r="AC82" s="407">
        <v>0.95</v>
      </c>
      <c r="AD82" s="407">
        <v>0.95</v>
      </c>
      <c r="AE82" s="407">
        <v>0.95</v>
      </c>
      <c r="AF82" s="407">
        <v>0.95</v>
      </c>
      <c r="AG82" s="407">
        <v>0.9</v>
      </c>
      <c r="AH82" s="407">
        <v>0.9</v>
      </c>
      <c r="AI82" s="407">
        <v>0.95</v>
      </c>
      <c r="AJ82" s="407">
        <v>0.95</v>
      </c>
      <c r="AK82" s="407">
        <v>0.95</v>
      </c>
      <c r="AL82" s="407">
        <v>0.95</v>
      </c>
      <c r="AM82" s="570"/>
      <c r="AN82" s="570"/>
      <c r="AO82" s="570"/>
      <c r="AP82" s="570"/>
      <c r="AQ82" s="570"/>
      <c r="AR82" s="570"/>
      <c r="AS82" s="570"/>
      <c r="AT82" s="570"/>
      <c r="AU82" s="570"/>
      <c r="AV82" s="570"/>
      <c r="AW82" s="570"/>
      <c r="AX82" s="570"/>
      <c r="AY82" s="570"/>
      <c r="AZ82" s="570"/>
      <c r="BA82" s="570"/>
      <c r="BB82" s="408"/>
      <c r="BC82" s="22"/>
    </row>
    <row r="83" spans="2:56" ht="18.75">
      <c r="B83" s="1023" t="s">
        <v>538</v>
      </c>
      <c r="C83" s="723"/>
      <c r="D83" s="999"/>
      <c r="E83" s="403" t="s">
        <v>580</v>
      </c>
      <c r="F83" s="404"/>
      <c r="G83" s="405"/>
      <c r="H83" s="509"/>
      <c r="I83" s="509"/>
      <c r="J83" s="509"/>
      <c r="K83" s="509"/>
      <c r="L83" s="509"/>
      <c r="M83" s="509"/>
      <c r="N83" s="509"/>
      <c r="O83" s="509"/>
      <c r="P83" s="509"/>
      <c r="Q83" s="509"/>
      <c r="R83" s="509"/>
      <c r="S83" s="509"/>
      <c r="T83" s="509"/>
      <c r="U83" s="509"/>
      <c r="V83" s="509"/>
      <c r="W83" s="509"/>
      <c r="X83" s="509"/>
      <c r="Y83" s="509"/>
      <c r="Z83" s="509"/>
      <c r="AA83" s="514"/>
      <c r="AB83" s="509"/>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09"/>
      <c r="AY83" s="509"/>
      <c r="AZ83" s="509"/>
      <c r="BA83" s="509"/>
      <c r="BB83" s="515"/>
      <c r="BC83" s="22"/>
    </row>
    <row r="84" spans="2:56">
      <c r="B84" s="1023" t="s">
        <v>538</v>
      </c>
      <c r="C84" s="723"/>
      <c r="D84" s="999"/>
      <c r="E84" s="395" t="s">
        <v>581</v>
      </c>
      <c r="F84" s="396"/>
      <c r="G84" s="395" t="s">
        <v>582</v>
      </c>
      <c r="H84" s="408"/>
      <c r="I84" s="494">
        <v>0</v>
      </c>
      <c r="J84" s="494">
        <v>0</v>
      </c>
      <c r="K84" s="494">
        <v>0</v>
      </c>
      <c r="L84" s="494">
        <v>0</v>
      </c>
      <c r="M84" s="494">
        <v>0</v>
      </c>
      <c r="N84" s="494">
        <v>0</v>
      </c>
      <c r="O84" s="494">
        <v>0</v>
      </c>
      <c r="P84" s="494">
        <v>0</v>
      </c>
      <c r="Q84" s="494">
        <v>0</v>
      </c>
      <c r="R84" s="494">
        <f>3/3.6</f>
        <v>0.83333333333333326</v>
      </c>
      <c r="S84" s="494">
        <f>3/3.6</f>
        <v>0.83333333333333326</v>
      </c>
      <c r="T84" s="494">
        <v>0</v>
      </c>
      <c r="U84" s="494">
        <f>10/3.6</f>
        <v>2.7777777777777777</v>
      </c>
      <c r="V84" s="494">
        <v>0</v>
      </c>
      <c r="W84" s="494">
        <f>8/3.6</f>
        <v>2.2222222222222223</v>
      </c>
      <c r="X84" s="494">
        <f t="shared" ref="X84:AC84" si="32">8/3.6</f>
        <v>2.2222222222222223</v>
      </c>
      <c r="Y84" s="494">
        <f t="shared" si="32"/>
        <v>2.2222222222222223</v>
      </c>
      <c r="Z84" s="494">
        <f t="shared" si="32"/>
        <v>2.2222222222222223</v>
      </c>
      <c r="AA84" s="494">
        <f t="shared" si="32"/>
        <v>2.2222222222222223</v>
      </c>
      <c r="AB84" s="494">
        <f t="shared" si="32"/>
        <v>2.2222222222222223</v>
      </c>
      <c r="AC84" s="494">
        <f t="shared" si="32"/>
        <v>2.2222222222222223</v>
      </c>
      <c r="AD84" s="494">
        <f>10/3.6</f>
        <v>2.7777777777777777</v>
      </c>
      <c r="AE84" s="494">
        <f>10/3.6</f>
        <v>2.7777777777777777</v>
      </c>
      <c r="AF84" s="494">
        <f>10/3.6</f>
        <v>2.7777777777777777</v>
      </c>
      <c r="AG84" s="494">
        <v>0</v>
      </c>
      <c r="AH84" s="494">
        <v>0</v>
      </c>
      <c r="AI84" s="494">
        <v>0</v>
      </c>
      <c r="AJ84" s="494">
        <v>0</v>
      </c>
      <c r="AK84" s="494">
        <f>10/3.6</f>
        <v>2.7777777777777777</v>
      </c>
      <c r="AL84" s="494">
        <f>10/3.6</f>
        <v>2.7777777777777777</v>
      </c>
      <c r="AM84" s="571"/>
      <c r="AN84" s="571"/>
      <c r="AO84" s="571"/>
      <c r="AP84" s="571"/>
      <c r="AQ84" s="571"/>
      <c r="AR84" s="571"/>
      <c r="AS84" s="571"/>
      <c r="AT84" s="571"/>
      <c r="AU84" s="571"/>
      <c r="AV84" s="571"/>
      <c r="AW84" s="571"/>
      <c r="AX84" s="571"/>
      <c r="AY84" s="571"/>
      <c r="AZ84" s="571"/>
      <c r="BA84" s="571"/>
      <c r="BB84" s="408"/>
      <c r="BC84" s="22"/>
    </row>
    <row r="85" spans="2:56">
      <c r="B85" s="1023" t="s">
        <v>538</v>
      </c>
      <c r="C85" s="723"/>
      <c r="D85" s="999"/>
      <c r="E85" s="395" t="s">
        <v>583</v>
      </c>
      <c r="F85" s="396"/>
      <c r="G85" s="395" t="s">
        <v>582</v>
      </c>
      <c r="H85" s="408"/>
      <c r="I85" s="494">
        <v>0</v>
      </c>
      <c r="J85" s="494">
        <v>0</v>
      </c>
      <c r="K85" s="494">
        <v>0</v>
      </c>
      <c r="L85" s="494">
        <v>0</v>
      </c>
      <c r="M85" s="494">
        <v>0</v>
      </c>
      <c r="N85" s="494">
        <v>0</v>
      </c>
      <c r="O85" s="494">
        <v>0</v>
      </c>
      <c r="P85" s="494">
        <v>0</v>
      </c>
      <c r="Q85" s="494">
        <v>0</v>
      </c>
      <c r="R85" s="494">
        <f>3/3.6</f>
        <v>0.83333333333333326</v>
      </c>
      <c r="S85" s="494">
        <f>3/3.6</f>
        <v>0.83333333333333326</v>
      </c>
      <c r="T85" s="494">
        <v>0</v>
      </c>
      <c r="U85" s="494">
        <f>6/3.6</f>
        <v>1.6666666666666665</v>
      </c>
      <c r="V85" s="494">
        <v>0</v>
      </c>
      <c r="W85" s="494">
        <f>4/3.6</f>
        <v>1.1111111111111112</v>
      </c>
      <c r="X85" s="494">
        <f t="shared" ref="X85:AC85" si="33">4/3.6</f>
        <v>1.1111111111111112</v>
      </c>
      <c r="Y85" s="494">
        <f t="shared" si="33"/>
        <v>1.1111111111111112</v>
      </c>
      <c r="Z85" s="494">
        <f t="shared" si="33"/>
        <v>1.1111111111111112</v>
      </c>
      <c r="AA85" s="494">
        <f t="shared" si="33"/>
        <v>1.1111111111111112</v>
      </c>
      <c r="AB85" s="494">
        <f t="shared" si="33"/>
        <v>1.1111111111111112</v>
      </c>
      <c r="AC85" s="494">
        <f t="shared" si="33"/>
        <v>1.1111111111111112</v>
      </c>
      <c r="AD85" s="494">
        <f>6/3.6</f>
        <v>1.6666666666666665</v>
      </c>
      <c r="AE85" s="494">
        <f>6/3.6</f>
        <v>1.6666666666666665</v>
      </c>
      <c r="AF85" s="494">
        <f>6/3.6</f>
        <v>1.6666666666666665</v>
      </c>
      <c r="AG85" s="494">
        <v>0</v>
      </c>
      <c r="AH85" s="494">
        <v>0</v>
      </c>
      <c r="AI85" s="494">
        <v>0</v>
      </c>
      <c r="AJ85" s="494">
        <v>0</v>
      </c>
      <c r="AK85" s="494">
        <f>6/3.6</f>
        <v>1.6666666666666665</v>
      </c>
      <c r="AL85" s="494">
        <f>6/3.6</f>
        <v>1.6666666666666665</v>
      </c>
      <c r="AM85" s="571"/>
      <c r="AN85" s="571"/>
      <c r="AO85" s="571"/>
      <c r="AP85" s="571"/>
      <c r="AQ85" s="571"/>
      <c r="AR85" s="571"/>
      <c r="AS85" s="571"/>
      <c r="AT85" s="571"/>
      <c r="AU85" s="571"/>
      <c r="AV85" s="571"/>
      <c r="AW85" s="571"/>
      <c r="AX85" s="571"/>
      <c r="AY85" s="571"/>
      <c r="AZ85" s="571"/>
      <c r="BA85" s="571"/>
      <c r="BB85" s="408"/>
      <c r="BC85" s="22"/>
    </row>
    <row r="86" spans="2:56">
      <c r="B86" s="1023" t="s">
        <v>538</v>
      </c>
      <c r="C86" s="723"/>
      <c r="D86" s="999"/>
      <c r="E86" s="395" t="s">
        <v>584</v>
      </c>
      <c r="F86" s="396"/>
      <c r="G86" s="395" t="s">
        <v>585</v>
      </c>
      <c r="H86" s="408"/>
      <c r="I86" s="494">
        <v>0</v>
      </c>
      <c r="J86" s="494">
        <v>0</v>
      </c>
      <c r="K86" s="494">
        <v>0</v>
      </c>
      <c r="L86" s="494">
        <v>0</v>
      </c>
      <c r="M86" s="494">
        <v>0</v>
      </c>
      <c r="N86" s="494">
        <v>0</v>
      </c>
      <c r="O86" s="494">
        <v>0</v>
      </c>
      <c r="P86" s="494">
        <v>0</v>
      </c>
      <c r="Q86" s="494">
        <v>0</v>
      </c>
      <c r="R86" s="494">
        <f>15/3.6</f>
        <v>4.166666666666667</v>
      </c>
      <c r="S86" s="494">
        <f>15/3.6</f>
        <v>4.166666666666667</v>
      </c>
      <c r="T86" s="494">
        <v>0</v>
      </c>
      <c r="U86" s="494">
        <f>60/3.6</f>
        <v>16.666666666666668</v>
      </c>
      <c r="V86" s="494">
        <v>0</v>
      </c>
      <c r="W86" s="494">
        <f>50/3.6</f>
        <v>13.888888888888889</v>
      </c>
      <c r="X86" s="494">
        <f t="shared" ref="X86:AC86" si="34">50/3.6</f>
        <v>13.888888888888889</v>
      </c>
      <c r="Y86" s="494">
        <f t="shared" si="34"/>
        <v>13.888888888888889</v>
      </c>
      <c r="Z86" s="494">
        <f t="shared" si="34"/>
        <v>13.888888888888889</v>
      </c>
      <c r="AA86" s="494">
        <f t="shared" si="34"/>
        <v>13.888888888888889</v>
      </c>
      <c r="AB86" s="494">
        <f t="shared" si="34"/>
        <v>13.888888888888889</v>
      </c>
      <c r="AC86" s="494">
        <f t="shared" si="34"/>
        <v>13.888888888888889</v>
      </c>
      <c r="AD86" s="494">
        <f>60/3.6</f>
        <v>16.666666666666668</v>
      </c>
      <c r="AE86" s="494">
        <f>60/3.6</f>
        <v>16.666666666666668</v>
      </c>
      <c r="AF86" s="494">
        <f>60/3.6</f>
        <v>16.666666666666668</v>
      </c>
      <c r="AG86" s="494">
        <v>0</v>
      </c>
      <c r="AH86" s="494">
        <v>0</v>
      </c>
      <c r="AI86" s="494">
        <v>0</v>
      </c>
      <c r="AJ86" s="494">
        <v>0</v>
      </c>
      <c r="AK86" s="494">
        <f>60/3.6</f>
        <v>16.666666666666668</v>
      </c>
      <c r="AL86" s="494">
        <f>60/3.6</f>
        <v>16.666666666666668</v>
      </c>
      <c r="AM86" s="571"/>
      <c r="AN86" s="571"/>
      <c r="AO86" s="571"/>
      <c r="AP86" s="571"/>
      <c r="AQ86" s="571"/>
      <c r="AR86" s="571"/>
      <c r="AS86" s="571"/>
      <c r="AT86" s="571"/>
      <c r="AU86" s="571"/>
      <c r="AV86" s="571"/>
      <c r="AW86" s="571"/>
      <c r="AX86" s="571"/>
      <c r="AY86" s="571"/>
      <c r="AZ86" s="571"/>
      <c r="BA86" s="571"/>
      <c r="BB86" s="408"/>
      <c r="BC86" s="22"/>
    </row>
    <row r="87" spans="2:56" ht="18.75">
      <c r="B87" s="1023" t="s">
        <v>538</v>
      </c>
      <c r="C87" s="723"/>
      <c r="D87" s="999"/>
      <c r="E87" s="403" t="s">
        <v>586</v>
      </c>
      <c r="F87" s="823"/>
      <c r="G87" s="405"/>
      <c r="H87" s="509"/>
      <c r="I87" s="509"/>
      <c r="J87" s="509"/>
      <c r="K87" s="509"/>
      <c r="L87" s="509"/>
      <c r="M87" s="509"/>
      <c r="N87" s="509"/>
      <c r="O87" s="509"/>
      <c r="P87" s="509"/>
      <c r="Q87" s="509"/>
      <c r="R87" s="509"/>
      <c r="S87" s="509"/>
      <c r="T87" s="509"/>
      <c r="U87" s="509"/>
      <c r="V87" s="509"/>
      <c r="W87" s="509"/>
      <c r="X87" s="509"/>
      <c r="Y87" s="509"/>
      <c r="Z87" s="509"/>
      <c r="AA87" s="514"/>
      <c r="AB87" s="509"/>
      <c r="AC87" s="509"/>
      <c r="AD87" s="509"/>
      <c r="AE87" s="509"/>
      <c r="AF87" s="509"/>
      <c r="AG87" s="509"/>
      <c r="AH87" s="509"/>
      <c r="AI87" s="509"/>
      <c r="AJ87" s="509"/>
      <c r="AK87" s="509"/>
      <c r="AL87" s="509"/>
      <c r="AM87" s="509"/>
      <c r="AN87" s="509"/>
      <c r="AO87" s="509"/>
      <c r="AP87" s="509"/>
      <c r="AQ87" s="509"/>
      <c r="AR87" s="509"/>
      <c r="AS87" s="509"/>
      <c r="AT87" s="509"/>
      <c r="AU87" s="509"/>
      <c r="AV87" s="509"/>
      <c r="AW87" s="509"/>
      <c r="AX87" s="509"/>
      <c r="AY87" s="509"/>
      <c r="AZ87" s="509"/>
      <c r="BA87" s="509"/>
      <c r="BB87" s="515"/>
      <c r="BC87" s="22"/>
    </row>
    <row r="88" spans="2:56" ht="38.25">
      <c r="B88" s="1023" t="s">
        <v>538</v>
      </c>
      <c r="C88" s="723"/>
      <c r="D88" s="999"/>
      <c r="E88" s="395" t="s">
        <v>587</v>
      </c>
      <c r="F88" s="396"/>
      <c r="G88" s="395" t="s">
        <v>68</v>
      </c>
      <c r="H88" s="408"/>
      <c r="I88" s="494" t="s">
        <v>588</v>
      </c>
      <c r="J88" s="494" t="s">
        <v>588</v>
      </c>
      <c r="K88" s="494" t="s">
        <v>153</v>
      </c>
      <c r="L88" s="494" t="s">
        <v>153</v>
      </c>
      <c r="M88" s="494" t="s">
        <v>153</v>
      </c>
      <c r="N88" s="494" t="s">
        <v>153</v>
      </c>
      <c r="O88" s="494" t="s">
        <v>153</v>
      </c>
      <c r="P88" s="494" t="s">
        <v>153</v>
      </c>
      <c r="Q88" s="494" t="s">
        <v>153</v>
      </c>
      <c r="R88" s="494" t="s">
        <v>153</v>
      </c>
      <c r="S88" s="494" t="s">
        <v>153</v>
      </c>
      <c r="T88" s="494" t="s">
        <v>153</v>
      </c>
      <c r="U88" s="494" t="s">
        <v>153</v>
      </c>
      <c r="V88" s="494" t="s">
        <v>153</v>
      </c>
      <c r="W88" s="494" t="s">
        <v>588</v>
      </c>
      <c r="X88" s="494" t="s">
        <v>588</v>
      </c>
      <c r="Y88" s="494" t="s">
        <v>589</v>
      </c>
      <c r="Z88" s="494" t="s">
        <v>590</v>
      </c>
      <c r="AA88" s="494" t="s">
        <v>590</v>
      </c>
      <c r="AB88" s="494" t="s">
        <v>590</v>
      </c>
      <c r="AC88" s="494" t="s">
        <v>590</v>
      </c>
      <c r="AD88" s="494" t="s">
        <v>591</v>
      </c>
      <c r="AE88" s="494" t="s">
        <v>592</v>
      </c>
      <c r="AF88" s="494" t="s">
        <v>593</v>
      </c>
      <c r="AG88" s="494" t="s">
        <v>588</v>
      </c>
      <c r="AH88" s="494" t="s">
        <v>588</v>
      </c>
      <c r="AI88" s="494" t="s">
        <v>588</v>
      </c>
      <c r="AJ88" s="494" t="s">
        <v>594</v>
      </c>
      <c r="AK88" s="494" t="s">
        <v>595</v>
      </c>
      <c r="AL88" s="494" t="s">
        <v>596</v>
      </c>
      <c r="AM88" s="560"/>
      <c r="AN88" s="560"/>
      <c r="AO88" s="560"/>
      <c r="AP88" s="560"/>
      <c r="AQ88" s="560"/>
      <c r="AR88" s="560"/>
      <c r="AS88" s="560"/>
      <c r="AT88" s="560"/>
      <c r="AU88" s="560"/>
      <c r="AV88" s="560"/>
      <c r="AW88" s="560"/>
      <c r="AX88" s="560"/>
      <c r="AY88" s="560"/>
      <c r="AZ88" s="560"/>
      <c r="BA88" s="560"/>
      <c r="BB88" s="408"/>
      <c r="BC88" s="22"/>
      <c r="BD88" s="22"/>
    </row>
    <row r="89" spans="2:56">
      <c r="B89" s="1023" t="s">
        <v>538</v>
      </c>
      <c r="C89" s="723"/>
      <c r="D89" s="999"/>
      <c r="E89" s="395" t="s">
        <v>599</v>
      </c>
      <c r="F89" s="396"/>
      <c r="G89" s="395" t="s">
        <v>68</v>
      </c>
      <c r="H89" s="408"/>
      <c r="I89" s="516" t="str">
        <f t="shared" ref="I89:BA89" si="35">IF(OR(referentie_verwarming="",I88=""),"",IF(OR(I77&lt;&gt;gebouw),GJ,HLOOKUP(I88,ENERGIEDRAGERS,ROWS($E$216:$E$220),FALSE)))</f>
        <v>m3</v>
      </c>
      <c r="J89" s="516" t="str">
        <f t="shared" si="35"/>
        <v>m3</v>
      </c>
      <c r="K89" s="516" t="str">
        <f t="shared" si="35"/>
        <v>kWh</v>
      </c>
      <c r="L89" s="516" t="str">
        <f t="shared" si="35"/>
        <v>kWh</v>
      </c>
      <c r="M89" s="516" t="str">
        <f t="shared" si="35"/>
        <v>kWh</v>
      </c>
      <c r="N89" s="516" t="str">
        <f t="shared" si="35"/>
        <v>kWh</v>
      </c>
      <c r="O89" s="516" t="str">
        <f t="shared" si="35"/>
        <v>kWh</v>
      </c>
      <c r="P89" s="516" t="str">
        <f t="shared" si="35"/>
        <v>kWh</v>
      </c>
      <c r="Q89" s="516" t="str">
        <f t="shared" si="35"/>
        <v>kWh</v>
      </c>
      <c r="R89" s="516" t="str">
        <f t="shared" si="35"/>
        <v>GJ</v>
      </c>
      <c r="S89" s="516" t="str">
        <f t="shared" si="35"/>
        <v>GJ</v>
      </c>
      <c r="T89" s="516" t="str">
        <f t="shared" si="35"/>
        <v>kWh</v>
      </c>
      <c r="U89" s="516" t="str">
        <f t="shared" si="35"/>
        <v>GJ</v>
      </c>
      <c r="V89" s="516" t="str">
        <f t="shared" si="35"/>
        <v>GJ</v>
      </c>
      <c r="W89" s="516" t="str">
        <f t="shared" si="35"/>
        <v>GJ</v>
      </c>
      <c r="X89" s="516" t="str">
        <f t="shared" si="35"/>
        <v>GJ</v>
      </c>
      <c r="Y89" s="516" t="str">
        <f t="shared" si="35"/>
        <v>GJ</v>
      </c>
      <c r="Z89" s="516" t="str">
        <f t="shared" si="35"/>
        <v>GJ</v>
      </c>
      <c r="AA89" s="516" t="str">
        <f t="shared" si="35"/>
        <v>GJ</v>
      </c>
      <c r="AB89" s="516" t="str">
        <f t="shared" si="35"/>
        <v>GJ</v>
      </c>
      <c r="AC89" s="516" t="str">
        <f t="shared" si="35"/>
        <v>GJ</v>
      </c>
      <c r="AD89" s="516" t="str">
        <f t="shared" si="35"/>
        <v>GJ</v>
      </c>
      <c r="AE89" s="516" t="str">
        <f t="shared" si="35"/>
        <v>GJ</v>
      </c>
      <c r="AF89" s="516" t="str">
        <f t="shared" si="35"/>
        <v>GJ</v>
      </c>
      <c r="AG89" s="516" t="str">
        <f t="shared" si="35"/>
        <v>m3</v>
      </c>
      <c r="AH89" s="516" t="str">
        <f t="shared" si="35"/>
        <v>m3</v>
      </c>
      <c r="AI89" s="516" t="str">
        <f t="shared" si="35"/>
        <v>m3</v>
      </c>
      <c r="AJ89" s="516" t="str">
        <f t="shared" si="35"/>
        <v>GJ</v>
      </c>
      <c r="AK89" s="516" t="str">
        <f t="shared" si="35"/>
        <v>GJ</v>
      </c>
      <c r="AL89" s="516" t="str">
        <f t="shared" si="35"/>
        <v>GJ</v>
      </c>
      <c r="AM89" s="565" t="str">
        <f t="shared" si="35"/>
        <v/>
      </c>
      <c r="AN89" s="565" t="str">
        <f t="shared" si="35"/>
        <v/>
      </c>
      <c r="AO89" s="565" t="str">
        <f t="shared" si="35"/>
        <v/>
      </c>
      <c r="AP89" s="565" t="str">
        <f t="shared" si="35"/>
        <v/>
      </c>
      <c r="AQ89" s="516" t="str">
        <f t="shared" si="35"/>
        <v/>
      </c>
      <c r="AR89" s="565" t="str">
        <f t="shared" si="35"/>
        <v/>
      </c>
      <c r="AS89" s="565" t="str">
        <f t="shared" si="35"/>
        <v/>
      </c>
      <c r="AT89" s="565" t="str">
        <f t="shared" si="35"/>
        <v/>
      </c>
      <c r="AU89" s="565" t="str">
        <f t="shared" si="35"/>
        <v/>
      </c>
      <c r="AV89" s="565" t="str">
        <f t="shared" si="35"/>
        <v/>
      </c>
      <c r="AW89" s="565" t="str">
        <f t="shared" si="35"/>
        <v/>
      </c>
      <c r="AX89" s="565" t="str">
        <f t="shared" si="35"/>
        <v/>
      </c>
      <c r="AY89" s="565" t="str">
        <f t="shared" si="35"/>
        <v/>
      </c>
      <c r="AZ89" s="565" t="str">
        <f t="shared" si="35"/>
        <v/>
      </c>
      <c r="BA89" s="565" t="str">
        <f t="shared" si="35"/>
        <v/>
      </c>
      <c r="BB89" s="408"/>
      <c r="BC89" s="22"/>
    </row>
    <row r="90" spans="2:56">
      <c r="B90" s="1023" t="s">
        <v>538</v>
      </c>
      <c r="C90" s="723"/>
      <c r="D90" s="1000" t="s">
        <v>48</v>
      </c>
      <c r="E90" s="691" t="s">
        <v>600</v>
      </c>
      <c r="F90" s="692"/>
      <c r="G90" s="395" t="s">
        <v>147</v>
      </c>
      <c r="H90" s="408"/>
      <c r="I90" s="410">
        <v>1</v>
      </c>
      <c r="J90" s="410">
        <v>1</v>
      </c>
      <c r="K90" s="410">
        <v>0.9</v>
      </c>
      <c r="L90" s="410">
        <v>0.9</v>
      </c>
      <c r="M90" s="410">
        <v>1</v>
      </c>
      <c r="N90" s="410">
        <v>1</v>
      </c>
      <c r="O90" s="410">
        <v>0.6</v>
      </c>
      <c r="P90" s="410">
        <v>0.9</v>
      </c>
      <c r="Q90" s="410">
        <v>0.9</v>
      </c>
      <c r="R90" s="410">
        <v>0.8</v>
      </c>
      <c r="S90" s="410">
        <v>0.8</v>
      </c>
      <c r="T90" s="410">
        <v>1</v>
      </c>
      <c r="U90" s="410">
        <v>1</v>
      </c>
      <c r="V90" s="410">
        <v>1</v>
      </c>
      <c r="W90" s="410">
        <v>0.8</v>
      </c>
      <c r="X90" s="410">
        <v>0.8</v>
      </c>
      <c r="Y90" s="410">
        <v>0.8</v>
      </c>
      <c r="Z90" s="410">
        <v>0.8</v>
      </c>
      <c r="AA90" s="410">
        <v>0.8</v>
      </c>
      <c r="AB90" s="410">
        <v>0.8</v>
      </c>
      <c r="AC90" s="410">
        <v>0.8</v>
      </c>
      <c r="AD90" s="410">
        <v>0.8</v>
      </c>
      <c r="AE90" s="410">
        <v>0.8</v>
      </c>
      <c r="AF90" s="410">
        <v>1</v>
      </c>
      <c r="AG90" s="410">
        <v>1</v>
      </c>
      <c r="AH90" s="410">
        <v>1</v>
      </c>
      <c r="AI90" s="410">
        <v>1</v>
      </c>
      <c r="AJ90" s="410">
        <v>1</v>
      </c>
      <c r="AK90" s="410">
        <v>0.8</v>
      </c>
      <c r="AL90" s="410">
        <v>0.8</v>
      </c>
      <c r="AM90" s="578"/>
      <c r="AN90" s="578"/>
      <c r="AO90" s="578"/>
      <c r="AP90" s="578"/>
      <c r="AQ90" s="578"/>
      <c r="AR90" s="578"/>
      <c r="AS90" s="578"/>
      <c r="AT90" s="578"/>
      <c r="AU90" s="578"/>
      <c r="AV90" s="578"/>
      <c r="AW90" s="578"/>
      <c r="AX90" s="578"/>
      <c r="AY90" s="578"/>
      <c r="AZ90" s="578"/>
      <c r="BA90" s="578"/>
      <c r="BB90" s="408"/>
      <c r="BC90" s="274"/>
    </row>
    <row r="91" spans="2:56">
      <c r="B91" s="1023" t="s">
        <v>538</v>
      </c>
      <c r="C91" s="723"/>
      <c r="D91" s="1000" t="s">
        <v>48</v>
      </c>
      <c r="E91" s="691" t="s">
        <v>601</v>
      </c>
      <c r="F91" s="830"/>
      <c r="G91" s="395" t="s">
        <v>68</v>
      </c>
      <c r="H91" s="408"/>
      <c r="I91" s="517">
        <v>0.8</v>
      </c>
      <c r="J91" s="517">
        <v>0.97499999999999998</v>
      </c>
      <c r="K91" s="517">
        <v>5.2</v>
      </c>
      <c r="L91" s="517">
        <v>4.55</v>
      </c>
      <c r="M91" s="517">
        <v>5.2</v>
      </c>
      <c r="N91" s="517">
        <v>4.55</v>
      </c>
      <c r="O91" s="517">
        <v>3.8</v>
      </c>
      <c r="P91" s="517">
        <v>3.5</v>
      </c>
      <c r="Q91" s="517">
        <v>6</v>
      </c>
      <c r="R91" s="517">
        <v>5.2</v>
      </c>
      <c r="S91" s="517">
        <v>5.2</v>
      </c>
      <c r="T91" s="517">
        <v>1</v>
      </c>
      <c r="U91" s="517">
        <f>20*(120-60-3)/40</f>
        <v>28.5</v>
      </c>
      <c r="V91" s="517">
        <v>15</v>
      </c>
      <c r="W91" s="517">
        <v>0.5</v>
      </c>
      <c r="X91" s="517">
        <v>0.44</v>
      </c>
      <c r="Y91" s="517">
        <v>0.4</v>
      </c>
      <c r="Z91" s="517">
        <v>0.26</v>
      </c>
      <c r="AA91" s="517">
        <v>0.36</v>
      </c>
      <c r="AB91" s="517">
        <v>0.48</v>
      </c>
      <c r="AC91" s="517">
        <v>0.72499999999999998</v>
      </c>
      <c r="AD91" s="517">
        <v>1</v>
      </c>
      <c r="AE91" s="517">
        <v>1</v>
      </c>
      <c r="AF91" s="517">
        <f>1/0.07</f>
        <v>14.285714285714285</v>
      </c>
      <c r="AG91" s="517">
        <v>0.75</v>
      </c>
      <c r="AH91" s="517">
        <v>0.8</v>
      </c>
      <c r="AI91" s="517">
        <v>0.9</v>
      </c>
      <c r="AJ91" s="517">
        <v>1</v>
      </c>
      <c r="AK91" s="517">
        <v>1</v>
      </c>
      <c r="AL91" s="517">
        <v>1</v>
      </c>
      <c r="AM91" s="560"/>
      <c r="AN91" s="560"/>
      <c r="AO91" s="560"/>
      <c r="AP91" s="560"/>
      <c r="AQ91" s="560"/>
      <c r="AR91" s="560"/>
      <c r="AS91" s="560"/>
      <c r="AT91" s="560"/>
      <c r="AU91" s="560" t="s">
        <v>602</v>
      </c>
      <c r="AV91" s="560" t="s">
        <v>602</v>
      </c>
      <c r="AW91" s="560" t="s">
        <v>602</v>
      </c>
      <c r="AX91" s="560"/>
      <c r="AY91" s="560" t="s">
        <v>602</v>
      </c>
      <c r="AZ91" s="560" t="s">
        <v>602</v>
      </c>
      <c r="BA91" s="560" t="s">
        <v>602</v>
      </c>
      <c r="BB91" s="408"/>
      <c r="BC91" s="274"/>
    </row>
    <row r="92" spans="2:56">
      <c r="B92" s="1023" t="s">
        <v>538</v>
      </c>
      <c r="C92" s="723"/>
      <c r="D92" s="999"/>
      <c r="E92" s="395" t="s">
        <v>603</v>
      </c>
      <c r="F92" s="396"/>
      <c r="G92" s="395" t="s">
        <v>68</v>
      </c>
      <c r="H92" s="408"/>
      <c r="I92" s="518">
        <v>0</v>
      </c>
      <c r="J92" s="518">
        <v>0</v>
      </c>
      <c r="K92" s="518">
        <v>28</v>
      </c>
      <c r="L92" s="518">
        <v>0</v>
      </c>
      <c r="M92" s="518">
        <v>28</v>
      </c>
      <c r="N92" s="518">
        <v>0</v>
      </c>
      <c r="O92" s="518">
        <v>0</v>
      </c>
      <c r="P92" s="518">
        <v>0</v>
      </c>
      <c r="Q92" s="518">
        <v>15</v>
      </c>
      <c r="R92" s="518">
        <v>28</v>
      </c>
      <c r="S92" s="518">
        <v>28</v>
      </c>
      <c r="T92" s="518">
        <v>0</v>
      </c>
      <c r="U92" s="518">
        <v>0</v>
      </c>
      <c r="V92" s="518">
        <v>0</v>
      </c>
      <c r="W92" s="518">
        <v>0</v>
      </c>
      <c r="X92" s="518">
        <v>0</v>
      </c>
      <c r="Y92" s="518">
        <v>0</v>
      </c>
      <c r="Z92" s="518">
        <v>0</v>
      </c>
      <c r="AA92" s="518">
        <v>0</v>
      </c>
      <c r="AB92" s="518">
        <v>0</v>
      </c>
      <c r="AC92" s="518">
        <v>0</v>
      </c>
      <c r="AD92" s="518">
        <v>0</v>
      </c>
      <c r="AE92" s="518">
        <v>0</v>
      </c>
      <c r="AF92" s="518">
        <v>0</v>
      </c>
      <c r="AG92" s="518">
        <v>0</v>
      </c>
      <c r="AH92" s="518">
        <v>0</v>
      </c>
      <c r="AI92" s="518">
        <v>0</v>
      </c>
      <c r="AJ92" s="518">
        <v>0</v>
      </c>
      <c r="AK92" s="518">
        <v>0</v>
      </c>
      <c r="AL92" s="518">
        <v>0</v>
      </c>
      <c r="AM92" s="569"/>
      <c r="AN92" s="569"/>
      <c r="AO92" s="569"/>
      <c r="AP92" s="569"/>
      <c r="AQ92" s="569"/>
      <c r="AR92" s="569"/>
      <c r="AS92" s="569"/>
      <c r="AT92" s="569"/>
      <c r="AU92" s="569"/>
      <c r="AV92" s="569"/>
      <c r="AW92" s="569"/>
      <c r="AX92" s="569"/>
      <c r="AY92" s="569"/>
      <c r="AZ92" s="569"/>
      <c r="BA92" s="569"/>
      <c r="BB92" s="408"/>
      <c r="BC92" s="274"/>
    </row>
    <row r="93" spans="2:56">
      <c r="B93" s="1023" t="s">
        <v>538</v>
      </c>
      <c r="C93" s="723"/>
      <c r="D93" s="1000" t="s">
        <v>48</v>
      </c>
      <c r="E93" s="395" t="s">
        <v>604</v>
      </c>
      <c r="F93" s="396"/>
      <c r="G93" s="395" t="s">
        <v>68</v>
      </c>
      <c r="H93" s="408"/>
      <c r="I93" s="517">
        <v>0</v>
      </c>
      <c r="J93" s="517">
        <v>0</v>
      </c>
      <c r="K93" s="517">
        <v>0</v>
      </c>
      <c r="L93" s="517">
        <v>0</v>
      </c>
      <c r="M93" s="517">
        <v>0</v>
      </c>
      <c r="N93" s="517">
        <v>0</v>
      </c>
      <c r="O93" s="517">
        <v>0</v>
      </c>
      <c r="P93" s="517">
        <v>0</v>
      </c>
      <c r="Q93" s="517">
        <v>0</v>
      </c>
      <c r="R93" s="517">
        <v>0</v>
      </c>
      <c r="S93" s="517">
        <v>0</v>
      </c>
      <c r="T93" s="517">
        <v>0</v>
      </c>
      <c r="U93" s="517">
        <v>0</v>
      </c>
      <c r="V93" s="517">
        <v>0</v>
      </c>
      <c r="W93" s="517">
        <v>0.32</v>
      </c>
      <c r="X93" s="517">
        <v>0.35</v>
      </c>
      <c r="Y93" s="517">
        <v>0.42</v>
      </c>
      <c r="Z93" s="517">
        <v>0.26</v>
      </c>
      <c r="AA93" s="517">
        <v>0.23</v>
      </c>
      <c r="AB93" s="517">
        <v>0.28499999999999998</v>
      </c>
      <c r="AC93" s="517">
        <v>0</v>
      </c>
      <c r="AD93" s="517">
        <v>0</v>
      </c>
      <c r="AE93" s="517">
        <v>0</v>
      </c>
      <c r="AF93" s="517">
        <v>0</v>
      </c>
      <c r="AG93" s="517">
        <v>0</v>
      </c>
      <c r="AH93" s="517">
        <v>0</v>
      </c>
      <c r="AI93" s="517">
        <v>0</v>
      </c>
      <c r="AJ93" s="517">
        <v>0</v>
      </c>
      <c r="AK93" s="517">
        <v>0</v>
      </c>
      <c r="AL93" s="517">
        <v>0</v>
      </c>
      <c r="AM93" s="560"/>
      <c r="AN93" s="560"/>
      <c r="AO93" s="560"/>
      <c r="AP93" s="560"/>
      <c r="AQ93" s="560"/>
      <c r="AR93" s="560"/>
      <c r="AS93" s="560"/>
      <c r="AT93" s="560"/>
      <c r="AU93" s="560"/>
      <c r="AV93" s="560"/>
      <c r="AW93" s="560"/>
      <c r="AX93" s="560"/>
      <c r="AY93" s="560"/>
      <c r="AZ93" s="560"/>
      <c r="BA93" s="560"/>
      <c r="BB93" s="408"/>
      <c r="BC93" s="274"/>
    </row>
    <row r="94" spans="2:56">
      <c r="B94" s="1023" t="s">
        <v>538</v>
      </c>
      <c r="C94" s="723"/>
      <c r="D94" s="1000" t="s">
        <v>48</v>
      </c>
      <c r="E94" s="395" t="s">
        <v>605</v>
      </c>
      <c r="F94" s="396"/>
      <c r="G94" s="395" t="s">
        <v>606</v>
      </c>
      <c r="H94" s="408"/>
      <c r="I94" s="407">
        <v>0</v>
      </c>
      <c r="J94" s="407">
        <v>0</v>
      </c>
      <c r="K94" s="407">
        <v>0</v>
      </c>
      <c r="L94" s="407">
        <v>0</v>
      </c>
      <c r="M94" s="407">
        <v>0</v>
      </c>
      <c r="N94" s="407">
        <v>0</v>
      </c>
      <c r="O94" s="407">
        <v>0</v>
      </c>
      <c r="P94" s="407">
        <v>0</v>
      </c>
      <c r="Q94" s="407">
        <v>0</v>
      </c>
      <c r="R94" s="407">
        <v>0</v>
      </c>
      <c r="S94" s="407">
        <v>0</v>
      </c>
      <c r="T94" s="407">
        <v>0</v>
      </c>
      <c r="U94" s="407">
        <v>0</v>
      </c>
      <c r="V94" s="407">
        <v>0</v>
      </c>
      <c r="W94" s="407">
        <v>0</v>
      </c>
      <c r="X94" s="407">
        <v>0</v>
      </c>
      <c r="Y94" s="407">
        <v>0</v>
      </c>
      <c r="Z94" s="407">
        <v>0</v>
      </c>
      <c r="AA94" s="407">
        <v>0</v>
      </c>
      <c r="AB94" s="407">
        <v>0</v>
      </c>
      <c r="AC94" s="407">
        <v>0</v>
      </c>
      <c r="AD94" s="407">
        <v>0.18</v>
      </c>
      <c r="AE94" s="407">
        <v>0.18</v>
      </c>
      <c r="AF94" s="407">
        <v>0</v>
      </c>
      <c r="AG94" s="407">
        <v>0</v>
      </c>
      <c r="AH94" s="407">
        <v>0</v>
      </c>
      <c r="AI94" s="407">
        <v>0</v>
      </c>
      <c r="AJ94" s="407">
        <v>0</v>
      </c>
      <c r="AK94" s="407">
        <v>0.18</v>
      </c>
      <c r="AL94" s="407">
        <v>0.18</v>
      </c>
      <c r="AM94" s="570"/>
      <c r="AN94" s="570"/>
      <c r="AO94" s="570"/>
      <c r="AP94" s="570"/>
      <c r="AQ94" s="570"/>
      <c r="AR94" s="570"/>
      <c r="AS94" s="570"/>
      <c r="AT94" s="570"/>
      <c r="AU94" s="570"/>
      <c r="AV94" s="570"/>
      <c r="AW94" s="570"/>
      <c r="AX94" s="570"/>
      <c r="AY94" s="570"/>
      <c r="AZ94" s="570"/>
      <c r="BA94" s="570"/>
      <c r="BB94" s="408"/>
      <c r="BC94" s="274"/>
    </row>
    <row r="95" spans="2:56" ht="18.75">
      <c r="B95" s="1023" t="s">
        <v>538</v>
      </c>
      <c r="C95" s="723"/>
      <c r="D95" s="999"/>
      <c r="E95" s="403" t="s">
        <v>607</v>
      </c>
      <c r="F95" s="404"/>
      <c r="G95" s="405"/>
      <c r="H95" s="509"/>
      <c r="I95" s="509"/>
      <c r="J95" s="509"/>
      <c r="K95" s="509"/>
      <c r="L95" s="509"/>
      <c r="M95" s="509"/>
      <c r="N95" s="509"/>
      <c r="O95" s="509"/>
      <c r="P95" s="509"/>
      <c r="Q95" s="509"/>
      <c r="R95" s="509"/>
      <c r="S95" s="509"/>
      <c r="T95" s="509"/>
      <c r="U95" s="509"/>
      <c r="V95" s="509"/>
      <c r="W95" s="509"/>
      <c r="X95" s="509"/>
      <c r="Y95" s="509"/>
      <c r="Z95" s="509"/>
      <c r="AA95" s="514"/>
      <c r="AB95" s="509"/>
      <c r="AC95" s="509"/>
      <c r="AD95" s="509"/>
      <c r="AE95" s="509"/>
      <c r="AF95" s="509"/>
      <c r="AG95" s="509"/>
      <c r="AH95" s="509"/>
      <c r="AI95" s="509"/>
      <c r="AJ95" s="509"/>
      <c r="AK95" s="509"/>
      <c r="AL95" s="509"/>
      <c r="AM95" s="509"/>
      <c r="AN95" s="509"/>
      <c r="AO95" s="509"/>
      <c r="AP95" s="509"/>
      <c r="AQ95" s="509"/>
      <c r="AR95" s="509"/>
      <c r="AS95" s="509"/>
      <c r="AT95" s="509"/>
      <c r="AU95" s="509"/>
      <c r="AV95" s="509"/>
      <c r="AW95" s="509"/>
      <c r="AX95" s="509"/>
      <c r="AY95" s="509"/>
      <c r="AZ95" s="509"/>
      <c r="BA95" s="509"/>
      <c r="BB95" s="515"/>
      <c r="BC95" s="22"/>
    </row>
    <row r="96" spans="2:56" ht="25.5">
      <c r="B96" s="1023" t="s">
        <v>538</v>
      </c>
      <c r="C96" s="723"/>
      <c r="D96" s="1000"/>
      <c r="E96" s="395" t="s">
        <v>608</v>
      </c>
      <c r="F96" s="396"/>
      <c r="G96" s="395" t="s">
        <v>68</v>
      </c>
      <c r="H96" s="408"/>
      <c r="I96" s="494" t="s">
        <v>180</v>
      </c>
      <c r="J96" s="494" t="s">
        <v>180</v>
      </c>
      <c r="K96" s="494" t="s">
        <v>609</v>
      </c>
      <c r="L96" s="494" t="s">
        <v>609</v>
      </c>
      <c r="M96" s="494" t="s">
        <v>180</v>
      </c>
      <c r="N96" s="494" t="s">
        <v>180</v>
      </c>
      <c r="O96" s="494" t="s">
        <v>1016</v>
      </c>
      <c r="P96" s="494" t="s">
        <v>609</v>
      </c>
      <c r="Q96" s="494" t="s">
        <v>609</v>
      </c>
      <c r="R96" s="494" t="s">
        <v>610</v>
      </c>
      <c r="S96" s="494" t="s">
        <v>609</v>
      </c>
      <c r="T96" s="494" t="s">
        <v>180</v>
      </c>
      <c r="U96" s="494" t="s">
        <v>180</v>
      </c>
      <c r="V96" s="494" t="s">
        <v>180</v>
      </c>
      <c r="W96" s="494" t="s">
        <v>610</v>
      </c>
      <c r="X96" s="494" t="s">
        <v>610</v>
      </c>
      <c r="Y96" s="494" t="s">
        <v>610</v>
      </c>
      <c r="Z96" s="494" t="s">
        <v>610</v>
      </c>
      <c r="AA96" s="494" t="s">
        <v>610</v>
      </c>
      <c r="AB96" s="494" t="s">
        <v>610</v>
      </c>
      <c r="AC96" s="494" t="s">
        <v>610</v>
      </c>
      <c r="AD96" s="494" t="s">
        <v>610</v>
      </c>
      <c r="AE96" s="494" t="s">
        <v>610</v>
      </c>
      <c r="AF96" s="494" t="s">
        <v>180</v>
      </c>
      <c r="AG96" s="494" t="s">
        <v>180</v>
      </c>
      <c r="AH96" s="494" t="s">
        <v>180</v>
      </c>
      <c r="AI96" s="494" t="s">
        <v>180</v>
      </c>
      <c r="AJ96" s="494" t="s">
        <v>180</v>
      </c>
      <c r="AK96" s="494" t="s">
        <v>610</v>
      </c>
      <c r="AL96" s="494" t="s">
        <v>610</v>
      </c>
      <c r="AM96" s="560"/>
      <c r="AN96" s="560"/>
      <c r="AO96" s="560"/>
      <c r="AP96" s="560"/>
      <c r="AQ96" s="560"/>
      <c r="AR96" s="560"/>
      <c r="AS96" s="560"/>
      <c r="AT96" s="560"/>
      <c r="AU96" s="560"/>
      <c r="AV96" s="560"/>
      <c r="AW96" s="560"/>
      <c r="AX96" s="560"/>
      <c r="AY96" s="560"/>
      <c r="AZ96" s="560"/>
      <c r="BA96" s="560"/>
      <c r="BB96" s="408"/>
      <c r="BC96" s="22"/>
    </row>
    <row r="97" spans="2:55">
      <c r="B97" s="1023" t="s">
        <v>538</v>
      </c>
      <c r="C97" s="723"/>
      <c r="D97" s="999"/>
      <c r="E97" s="395" t="s">
        <v>587</v>
      </c>
      <c r="F97" s="396"/>
      <c r="G97" s="395" t="s">
        <v>68</v>
      </c>
      <c r="H97" s="408"/>
      <c r="I97" s="494" t="s">
        <v>588</v>
      </c>
      <c r="J97" s="494" t="s">
        <v>611</v>
      </c>
      <c r="K97" s="494" t="s">
        <v>153</v>
      </c>
      <c r="L97" s="494" t="str">
        <f>elektriciteit</f>
        <v>elektriciteit</v>
      </c>
      <c r="M97" s="494" t="s">
        <v>588</v>
      </c>
      <c r="N97" s="494" t="s">
        <v>588</v>
      </c>
      <c r="O97" s="494" t="s">
        <v>588</v>
      </c>
      <c r="P97" s="494" t="s">
        <v>153</v>
      </c>
      <c r="Q97" s="494" t="str">
        <f>elektriciteit</f>
        <v>elektriciteit</v>
      </c>
      <c r="R97" s="494" t="s">
        <v>588</v>
      </c>
      <c r="S97" s="494" t="str">
        <f>elektriciteit</f>
        <v>elektriciteit</v>
      </c>
      <c r="T97" s="494" t="s">
        <v>611</v>
      </c>
      <c r="U97" s="494" t="s">
        <v>588</v>
      </c>
      <c r="V97" s="494" t="s">
        <v>588</v>
      </c>
      <c r="W97" s="494" t="s">
        <v>588</v>
      </c>
      <c r="X97" s="494" t="s">
        <v>588</v>
      </c>
      <c r="Y97" s="494" t="s">
        <v>588</v>
      </c>
      <c r="Z97" s="494" t="s">
        <v>588</v>
      </c>
      <c r="AA97" s="494" t="s">
        <v>588</v>
      </c>
      <c r="AB97" s="494" t="s">
        <v>588</v>
      </c>
      <c r="AC97" s="494" t="s">
        <v>588</v>
      </c>
      <c r="AD97" s="494" t="s">
        <v>588</v>
      </c>
      <c r="AE97" s="494" t="s">
        <v>588</v>
      </c>
      <c r="AF97" s="494" t="s">
        <v>588</v>
      </c>
      <c r="AG97" s="494" t="s">
        <v>611</v>
      </c>
      <c r="AH97" s="494" t="s">
        <v>611</v>
      </c>
      <c r="AI97" s="494" t="s">
        <v>611</v>
      </c>
      <c r="AJ97" s="494" t="s">
        <v>611</v>
      </c>
      <c r="AK97" s="494" t="s">
        <v>588</v>
      </c>
      <c r="AL97" s="494" t="s">
        <v>588</v>
      </c>
      <c r="AM97" s="560" t="s">
        <v>153</v>
      </c>
      <c r="AN97" s="560"/>
      <c r="AO97" s="560"/>
      <c r="AP97" s="560"/>
      <c r="AQ97" s="560" t="s">
        <v>588</v>
      </c>
      <c r="AR97" s="560"/>
      <c r="AS97" s="560"/>
      <c r="AT97" s="560"/>
      <c r="AU97" s="560"/>
      <c r="AV97" s="560"/>
      <c r="AW97" s="560"/>
      <c r="AX97" s="560"/>
      <c r="AY97" s="560"/>
      <c r="AZ97" s="560"/>
      <c r="BA97" s="560"/>
      <c r="BB97" s="408"/>
      <c r="BC97" s="22"/>
    </row>
    <row r="98" spans="2:55">
      <c r="B98" s="1023" t="s">
        <v>538</v>
      </c>
      <c r="C98" s="723"/>
      <c r="D98" s="1000"/>
      <c r="E98" s="395" t="s">
        <v>599</v>
      </c>
      <c r="F98" s="396"/>
      <c r="G98" s="395" t="s">
        <v>68</v>
      </c>
      <c r="H98" s="408"/>
      <c r="I98" s="516" t="str">
        <f t="shared" ref="I98:BA98" si="36">IF(OR(I75="",I90=1,I97=""),"",IF(OR(I77&lt;&gt;gebouw),GJ,HLOOKUP(I97,ENERGIEDRAGERS,ROWS($E$216:$E$220),FALSE)))</f>
        <v/>
      </c>
      <c r="J98" s="516" t="str">
        <f t="shared" si="36"/>
        <v/>
      </c>
      <c r="K98" s="516" t="str">
        <f t="shared" si="36"/>
        <v>kWh</v>
      </c>
      <c r="L98" s="516" t="str">
        <f t="shared" si="36"/>
        <v>kWh</v>
      </c>
      <c r="M98" s="516" t="str">
        <f t="shared" si="36"/>
        <v/>
      </c>
      <c r="N98" s="516" t="str">
        <f t="shared" si="36"/>
        <v/>
      </c>
      <c r="O98" s="516" t="str">
        <f t="shared" si="36"/>
        <v>m3</v>
      </c>
      <c r="P98" s="516" t="str">
        <f t="shared" si="36"/>
        <v>kWh</v>
      </c>
      <c r="Q98" s="516" t="str">
        <f t="shared" si="36"/>
        <v>kWh</v>
      </c>
      <c r="R98" s="516" t="str">
        <f t="shared" si="36"/>
        <v>GJ</v>
      </c>
      <c r="S98" s="516" t="str">
        <f t="shared" si="36"/>
        <v>GJ</v>
      </c>
      <c r="T98" s="516" t="str">
        <f t="shared" si="36"/>
        <v/>
      </c>
      <c r="U98" s="516" t="str">
        <f t="shared" si="36"/>
        <v/>
      </c>
      <c r="V98" s="516" t="str">
        <f t="shared" si="36"/>
        <v/>
      </c>
      <c r="W98" s="516" t="str">
        <f t="shared" si="36"/>
        <v>GJ</v>
      </c>
      <c r="X98" s="516" t="str">
        <f t="shared" si="36"/>
        <v>GJ</v>
      </c>
      <c r="Y98" s="516" t="str">
        <f t="shared" si="36"/>
        <v>GJ</v>
      </c>
      <c r="Z98" s="516" t="str">
        <f t="shared" si="36"/>
        <v>GJ</v>
      </c>
      <c r="AA98" s="516" t="str">
        <f t="shared" si="36"/>
        <v>GJ</v>
      </c>
      <c r="AB98" s="516" t="str">
        <f t="shared" si="36"/>
        <v>GJ</v>
      </c>
      <c r="AC98" s="516" t="str">
        <f t="shared" si="36"/>
        <v>GJ</v>
      </c>
      <c r="AD98" s="516" t="str">
        <f t="shared" si="36"/>
        <v>GJ</v>
      </c>
      <c r="AE98" s="516" t="str">
        <f t="shared" si="36"/>
        <v>GJ</v>
      </c>
      <c r="AF98" s="516" t="str">
        <f t="shared" si="36"/>
        <v/>
      </c>
      <c r="AG98" s="516" t="str">
        <f t="shared" si="36"/>
        <v/>
      </c>
      <c r="AH98" s="516" t="str">
        <f t="shared" si="36"/>
        <v/>
      </c>
      <c r="AI98" s="516" t="str">
        <f t="shared" si="36"/>
        <v/>
      </c>
      <c r="AJ98" s="516" t="str">
        <f t="shared" si="36"/>
        <v/>
      </c>
      <c r="AK98" s="516" t="str">
        <f t="shared" si="36"/>
        <v>GJ</v>
      </c>
      <c r="AL98" s="516" t="str">
        <f t="shared" si="36"/>
        <v>GJ</v>
      </c>
      <c r="AM98" s="516" t="str">
        <f t="shared" si="36"/>
        <v/>
      </c>
      <c r="AN98" s="516" t="str">
        <f t="shared" si="36"/>
        <v/>
      </c>
      <c r="AO98" s="516" t="str">
        <f t="shared" si="36"/>
        <v/>
      </c>
      <c r="AP98" s="516" t="str">
        <f t="shared" si="36"/>
        <v/>
      </c>
      <c r="AQ98" s="516" t="str">
        <f t="shared" si="36"/>
        <v/>
      </c>
      <c r="AR98" s="516" t="str">
        <f t="shared" si="36"/>
        <v/>
      </c>
      <c r="AS98" s="516" t="str">
        <f t="shared" si="36"/>
        <v/>
      </c>
      <c r="AT98" s="565" t="str">
        <f t="shared" si="36"/>
        <v/>
      </c>
      <c r="AU98" s="565" t="str">
        <f t="shared" si="36"/>
        <v/>
      </c>
      <c r="AV98" s="565" t="str">
        <f t="shared" si="36"/>
        <v/>
      </c>
      <c r="AW98" s="565" t="str">
        <f t="shared" si="36"/>
        <v/>
      </c>
      <c r="AX98" s="565" t="str">
        <f t="shared" si="36"/>
        <v/>
      </c>
      <c r="AY98" s="565" t="str">
        <f t="shared" si="36"/>
        <v/>
      </c>
      <c r="AZ98" s="565" t="str">
        <f t="shared" si="36"/>
        <v/>
      </c>
      <c r="BA98" s="565" t="str">
        <f t="shared" si="36"/>
        <v/>
      </c>
      <c r="BB98" s="408"/>
      <c r="BC98" s="22"/>
    </row>
    <row r="99" spans="2:55">
      <c r="B99" s="1023" t="s">
        <v>538</v>
      </c>
      <c r="C99" s="723"/>
      <c r="D99" s="1000"/>
      <c r="E99" s="395" t="s">
        <v>612</v>
      </c>
      <c r="F99" s="396"/>
      <c r="G99" s="395" t="s">
        <v>68</v>
      </c>
      <c r="H99" s="408"/>
      <c r="I99" s="517">
        <v>0.95</v>
      </c>
      <c r="J99" s="517">
        <v>0.95</v>
      </c>
      <c r="K99" s="517">
        <v>1</v>
      </c>
      <c r="L99" s="517">
        <v>1</v>
      </c>
      <c r="M99" s="517">
        <v>1</v>
      </c>
      <c r="N99" s="517">
        <v>1</v>
      </c>
      <c r="O99" s="517">
        <v>0.95</v>
      </c>
      <c r="P99" s="517">
        <v>1</v>
      </c>
      <c r="Q99" s="517">
        <v>1</v>
      </c>
      <c r="R99" s="517">
        <v>0.8</v>
      </c>
      <c r="S99" s="517">
        <v>1</v>
      </c>
      <c r="T99" s="517">
        <v>1</v>
      </c>
      <c r="U99" s="517">
        <v>0.9</v>
      </c>
      <c r="V99" s="517">
        <v>0.8</v>
      </c>
      <c r="W99" s="517">
        <v>0.8</v>
      </c>
      <c r="X99" s="517">
        <v>0.8</v>
      </c>
      <c r="Y99" s="517">
        <v>0.8</v>
      </c>
      <c r="Z99" s="517">
        <v>0.8</v>
      </c>
      <c r="AA99" s="517">
        <v>0.8</v>
      </c>
      <c r="AB99" s="517">
        <v>0.8</v>
      </c>
      <c r="AC99" s="517">
        <v>0.8</v>
      </c>
      <c r="AD99" s="517">
        <v>0.8</v>
      </c>
      <c r="AE99" s="517">
        <v>0.8</v>
      </c>
      <c r="AF99" s="517">
        <v>0.9</v>
      </c>
      <c r="AG99" s="517">
        <v>1</v>
      </c>
      <c r="AH99" s="517">
        <v>1</v>
      </c>
      <c r="AI99" s="517">
        <v>1</v>
      </c>
      <c r="AJ99" s="517">
        <v>1</v>
      </c>
      <c r="AK99" s="517">
        <v>0.9</v>
      </c>
      <c r="AL99" s="517">
        <v>0.9</v>
      </c>
      <c r="AM99" s="560"/>
      <c r="AN99" s="560"/>
      <c r="AO99" s="560"/>
      <c r="AP99" s="560"/>
      <c r="AQ99" s="560"/>
      <c r="AR99" s="560"/>
      <c r="AS99" s="560"/>
      <c r="AT99" s="560"/>
      <c r="AU99" s="560"/>
      <c r="AV99" s="560"/>
      <c r="AW99" s="560"/>
      <c r="AX99" s="560"/>
      <c r="AY99" s="560"/>
      <c r="AZ99" s="560"/>
      <c r="BA99" s="560"/>
      <c r="BB99" s="408"/>
      <c r="BC99" s="22"/>
    </row>
    <row r="100" spans="2:55" ht="18.75">
      <c r="B100" s="1023" t="s">
        <v>538</v>
      </c>
      <c r="C100" s="723"/>
      <c r="D100" s="999"/>
      <c r="E100" s="403" t="s">
        <v>613</v>
      </c>
      <c r="F100" s="404"/>
      <c r="G100" s="405"/>
      <c r="H100" s="509"/>
      <c r="I100" s="509"/>
      <c r="J100" s="509"/>
      <c r="K100" s="509"/>
      <c r="L100" s="509"/>
      <c r="M100" s="509"/>
      <c r="N100" s="509"/>
      <c r="O100" s="509"/>
      <c r="P100" s="509"/>
      <c r="Q100" s="509"/>
      <c r="R100" s="509"/>
      <c r="S100" s="509"/>
      <c r="T100" s="509"/>
      <c r="U100" s="509"/>
      <c r="V100" s="509"/>
      <c r="W100" s="509"/>
      <c r="X100" s="509"/>
      <c r="Y100" s="509"/>
      <c r="Z100" s="509"/>
      <c r="AA100" s="514"/>
      <c r="AB100" s="509"/>
      <c r="AC100" s="509"/>
      <c r="AD100" s="509"/>
      <c r="AE100" s="509"/>
      <c r="AF100" s="509"/>
      <c r="AG100" s="509"/>
      <c r="AH100" s="509"/>
      <c r="AI100" s="509"/>
      <c r="AJ100" s="509"/>
      <c r="AK100" s="509"/>
      <c r="AL100" s="509"/>
      <c r="AM100" s="509"/>
      <c r="AN100" s="509"/>
      <c r="AO100" s="509"/>
      <c r="AP100" s="509"/>
      <c r="AQ100" s="509"/>
      <c r="AR100" s="509"/>
      <c r="AS100" s="509"/>
      <c r="AT100" s="509"/>
      <c r="AU100" s="509"/>
      <c r="AV100" s="509"/>
      <c r="AW100" s="509"/>
      <c r="AX100" s="509"/>
      <c r="AY100" s="509"/>
      <c r="AZ100" s="509"/>
      <c r="BA100" s="509"/>
      <c r="BB100" s="515"/>
      <c r="BC100" s="22"/>
    </row>
    <row r="101" spans="2:55">
      <c r="B101" s="1023" t="s">
        <v>538</v>
      </c>
      <c r="C101" s="723"/>
      <c r="D101" s="999"/>
      <c r="E101" s="395" t="s">
        <v>614</v>
      </c>
      <c r="F101" s="396" t="s">
        <v>615</v>
      </c>
      <c r="G101" s="395" t="s">
        <v>616</v>
      </c>
      <c r="H101" s="408"/>
      <c r="I101" s="494">
        <v>87.6</v>
      </c>
      <c r="J101" s="494">
        <v>13</v>
      </c>
      <c r="K101" s="494">
        <v>0</v>
      </c>
      <c r="L101" s="494">
        <v>0</v>
      </c>
      <c r="M101" s="494">
        <v>0</v>
      </c>
      <c r="N101" s="494">
        <v>0</v>
      </c>
      <c r="O101" s="494">
        <v>13</v>
      </c>
      <c r="P101" s="494">
        <v>0</v>
      </c>
      <c r="Q101" s="494">
        <v>0</v>
      </c>
      <c r="R101" s="494">
        <v>0</v>
      </c>
      <c r="S101" s="494">
        <v>0</v>
      </c>
      <c r="T101" s="494">
        <v>0</v>
      </c>
      <c r="U101" s="494">
        <v>0</v>
      </c>
      <c r="V101" s="494">
        <v>0</v>
      </c>
      <c r="W101" s="494">
        <v>0</v>
      </c>
      <c r="X101" s="494">
        <v>0</v>
      </c>
      <c r="Y101" s="494">
        <v>0</v>
      </c>
      <c r="Z101" s="494">
        <v>0</v>
      </c>
      <c r="AA101" s="494">
        <v>0</v>
      </c>
      <c r="AB101" s="494">
        <v>0</v>
      </c>
      <c r="AC101" s="494">
        <v>0</v>
      </c>
      <c r="AD101" s="494">
        <v>0</v>
      </c>
      <c r="AE101" s="494">
        <v>0</v>
      </c>
      <c r="AF101" s="494">
        <v>0</v>
      </c>
      <c r="AG101" s="494">
        <v>87.6</v>
      </c>
      <c r="AH101" s="494">
        <v>87.6</v>
      </c>
      <c r="AI101" s="494">
        <v>0</v>
      </c>
      <c r="AJ101" s="494">
        <v>0</v>
      </c>
      <c r="AK101" s="494">
        <v>0</v>
      </c>
      <c r="AL101" s="494">
        <v>0</v>
      </c>
      <c r="AM101" s="571"/>
      <c r="AN101" s="571"/>
      <c r="AO101" s="571"/>
      <c r="AP101" s="571"/>
      <c r="AQ101" s="571"/>
      <c r="AR101" s="571"/>
      <c r="AS101" s="571"/>
      <c r="AT101" s="571"/>
      <c r="AU101" s="571"/>
      <c r="AV101" s="571"/>
      <c r="AW101" s="571"/>
      <c r="AX101" s="571"/>
      <c r="AY101" s="571"/>
      <c r="AZ101" s="571"/>
      <c r="BA101" s="571"/>
      <c r="BB101" s="408"/>
      <c r="BC101" s="22"/>
    </row>
    <row r="102" spans="2:55">
      <c r="B102" s="1023" t="s">
        <v>538</v>
      </c>
      <c r="C102" s="723"/>
      <c r="D102" s="999"/>
      <c r="E102" s="395" t="s">
        <v>617</v>
      </c>
      <c r="F102" s="396" t="s">
        <v>615</v>
      </c>
      <c r="G102" s="395" t="s">
        <v>618</v>
      </c>
      <c r="H102" s="408"/>
      <c r="I102" s="517">
        <v>0.13200000000000001</v>
      </c>
      <c r="J102" s="517">
        <v>0.13200000000000001</v>
      </c>
      <c r="K102" s="517">
        <v>0</v>
      </c>
      <c r="L102" s="517">
        <v>0</v>
      </c>
      <c r="M102" s="517">
        <v>0</v>
      </c>
      <c r="N102" s="517">
        <v>0</v>
      </c>
      <c r="O102" s="517">
        <v>0.13200000000000001</v>
      </c>
      <c r="P102" s="517">
        <v>0</v>
      </c>
      <c r="Q102" s="517">
        <v>0</v>
      </c>
      <c r="R102" s="517">
        <v>0</v>
      </c>
      <c r="S102" s="517">
        <v>0</v>
      </c>
      <c r="T102" s="517">
        <v>0</v>
      </c>
      <c r="U102" s="517">
        <v>0</v>
      </c>
      <c r="V102" s="517">
        <v>0</v>
      </c>
      <c r="W102" s="517">
        <v>0</v>
      </c>
      <c r="X102" s="517">
        <v>0</v>
      </c>
      <c r="Y102" s="517">
        <v>0</v>
      </c>
      <c r="Z102" s="517">
        <v>0</v>
      </c>
      <c r="AA102" s="517">
        <v>0</v>
      </c>
      <c r="AB102" s="517">
        <v>0</v>
      </c>
      <c r="AC102" s="517">
        <v>0</v>
      </c>
      <c r="AD102" s="517">
        <v>0</v>
      </c>
      <c r="AE102" s="517">
        <v>0</v>
      </c>
      <c r="AF102" s="517">
        <v>0</v>
      </c>
      <c r="AG102" s="517">
        <v>0.13200000000000001</v>
      </c>
      <c r="AH102" s="517">
        <v>0.13200000000000001</v>
      </c>
      <c r="AI102" s="517">
        <v>0</v>
      </c>
      <c r="AJ102" s="517">
        <v>0</v>
      </c>
      <c r="AK102" s="517">
        <v>0</v>
      </c>
      <c r="AL102" s="517">
        <v>0</v>
      </c>
      <c r="AM102" s="560"/>
      <c r="AN102" s="560"/>
      <c r="AO102" s="560"/>
      <c r="AP102" s="560"/>
      <c r="AQ102" s="560"/>
      <c r="AR102" s="560"/>
      <c r="AS102" s="560"/>
      <c r="AT102" s="560"/>
      <c r="AU102" s="560"/>
      <c r="AV102" s="560"/>
      <c r="AW102" s="560"/>
      <c r="AX102" s="560"/>
      <c r="AY102" s="560"/>
      <c r="AZ102" s="560"/>
      <c r="BA102" s="560"/>
      <c r="BB102" s="408"/>
      <c r="BC102" s="22"/>
    </row>
    <row r="103" spans="2:55">
      <c r="B103" s="1023" t="s">
        <v>538</v>
      </c>
      <c r="C103" s="723"/>
      <c r="D103" s="999"/>
      <c r="E103" s="395" t="s">
        <v>619</v>
      </c>
      <c r="F103" s="396" t="s">
        <v>615</v>
      </c>
      <c r="G103" s="395" t="s">
        <v>616</v>
      </c>
      <c r="H103" s="408"/>
      <c r="I103" s="517">
        <f>1.44/3.6</f>
        <v>0.39999999999999997</v>
      </c>
      <c r="J103" s="517">
        <f>1.44/3.6</f>
        <v>0.39999999999999997</v>
      </c>
      <c r="K103" s="517">
        <v>0</v>
      </c>
      <c r="L103" s="517">
        <v>0</v>
      </c>
      <c r="M103" s="517">
        <v>0</v>
      </c>
      <c r="N103" s="517">
        <v>0</v>
      </c>
      <c r="O103" s="517">
        <f>1.44/3.6</f>
        <v>0.39999999999999997</v>
      </c>
      <c r="P103" s="517">
        <v>0</v>
      </c>
      <c r="Q103" s="517">
        <v>0</v>
      </c>
      <c r="R103" s="517">
        <v>0</v>
      </c>
      <c r="S103" s="517">
        <v>0</v>
      </c>
      <c r="T103" s="517">
        <v>0</v>
      </c>
      <c r="U103" s="517">
        <v>0</v>
      </c>
      <c r="V103" s="517">
        <v>0</v>
      </c>
      <c r="W103" s="517">
        <v>0</v>
      </c>
      <c r="X103" s="517">
        <v>0</v>
      </c>
      <c r="Y103" s="517">
        <v>0</v>
      </c>
      <c r="Z103" s="517">
        <v>0.4</v>
      </c>
      <c r="AA103" s="517">
        <v>0</v>
      </c>
      <c r="AB103" s="517">
        <v>0</v>
      </c>
      <c r="AC103" s="517">
        <v>0</v>
      </c>
      <c r="AD103" s="517">
        <v>0</v>
      </c>
      <c r="AE103" s="517">
        <v>0</v>
      </c>
      <c r="AF103" s="517">
        <v>0</v>
      </c>
      <c r="AG103" s="517">
        <f>1.44/3.6</f>
        <v>0.39999999999999997</v>
      </c>
      <c r="AH103" s="517">
        <f>1.44/3.6</f>
        <v>0.39999999999999997</v>
      </c>
      <c r="AI103" s="517">
        <v>0</v>
      </c>
      <c r="AJ103" s="517">
        <v>0.4</v>
      </c>
      <c r="AK103" s="517">
        <v>0</v>
      </c>
      <c r="AL103" s="517">
        <v>0</v>
      </c>
      <c r="AM103" s="560"/>
      <c r="AN103" s="560"/>
      <c r="AO103" s="560"/>
      <c r="AP103" s="560"/>
      <c r="AQ103" s="560"/>
      <c r="AR103" s="560"/>
      <c r="AS103" s="560"/>
      <c r="AT103" s="560"/>
      <c r="AU103" s="560"/>
      <c r="AV103" s="560"/>
      <c r="AW103" s="560"/>
      <c r="AX103" s="560"/>
      <c r="AY103" s="560"/>
      <c r="AZ103" s="560"/>
      <c r="BA103" s="560"/>
      <c r="BB103" s="408"/>
      <c r="BC103" s="22"/>
    </row>
    <row r="104" spans="2:55">
      <c r="B104" s="1023" t="s">
        <v>538</v>
      </c>
      <c r="C104" s="723"/>
      <c r="D104" s="999"/>
      <c r="E104" s="395" t="s">
        <v>620</v>
      </c>
      <c r="F104" s="396" t="s">
        <v>615</v>
      </c>
      <c r="G104" s="395" t="s">
        <v>618</v>
      </c>
      <c r="H104" s="408"/>
      <c r="I104" s="518">
        <v>24</v>
      </c>
      <c r="J104" s="518">
        <v>24</v>
      </c>
      <c r="K104" s="518">
        <v>0</v>
      </c>
      <c r="L104" s="518">
        <v>0</v>
      </c>
      <c r="M104" s="518">
        <v>0</v>
      </c>
      <c r="N104" s="518">
        <v>0</v>
      </c>
      <c r="O104" s="518">
        <v>24</v>
      </c>
      <c r="P104" s="518">
        <v>0</v>
      </c>
      <c r="Q104" s="518">
        <v>0</v>
      </c>
      <c r="R104" s="518">
        <v>0</v>
      </c>
      <c r="S104" s="518">
        <v>0</v>
      </c>
      <c r="T104" s="518">
        <v>0</v>
      </c>
      <c r="U104" s="518">
        <v>0</v>
      </c>
      <c r="V104" s="518">
        <v>0</v>
      </c>
      <c r="W104" s="518">
        <v>0</v>
      </c>
      <c r="X104" s="518">
        <v>0</v>
      </c>
      <c r="Y104" s="518">
        <v>0</v>
      </c>
      <c r="Z104" s="518">
        <v>24</v>
      </c>
      <c r="AA104" s="518">
        <v>0</v>
      </c>
      <c r="AB104" s="518">
        <v>0</v>
      </c>
      <c r="AC104" s="518">
        <v>0</v>
      </c>
      <c r="AD104" s="518">
        <v>0</v>
      </c>
      <c r="AE104" s="518">
        <v>0</v>
      </c>
      <c r="AF104" s="518">
        <v>0</v>
      </c>
      <c r="AG104" s="518">
        <v>24</v>
      </c>
      <c r="AH104" s="518">
        <v>24</v>
      </c>
      <c r="AI104" s="518">
        <v>0</v>
      </c>
      <c r="AJ104" s="518">
        <v>24</v>
      </c>
      <c r="AK104" s="518">
        <v>0</v>
      </c>
      <c r="AL104" s="518">
        <v>0</v>
      </c>
      <c r="AM104" s="569"/>
      <c r="AN104" s="569"/>
      <c r="AO104" s="569"/>
      <c r="AP104" s="569"/>
      <c r="AQ104" s="569"/>
      <c r="AR104" s="569"/>
      <c r="AS104" s="569"/>
      <c r="AT104" s="569"/>
      <c r="AU104" s="569"/>
      <c r="AV104" s="569"/>
      <c r="AW104" s="569"/>
      <c r="AX104" s="569"/>
      <c r="AY104" s="569"/>
      <c r="AZ104" s="569"/>
      <c r="BA104" s="569"/>
      <c r="BB104" s="408"/>
      <c r="BC104" s="22"/>
    </row>
    <row r="105" spans="2:55">
      <c r="B105" s="1023" t="s">
        <v>538</v>
      </c>
      <c r="C105" s="723"/>
      <c r="D105" s="999"/>
      <c r="E105" s="395" t="s">
        <v>621</v>
      </c>
      <c r="F105" s="396" t="s">
        <v>622</v>
      </c>
      <c r="G105" s="395" t="s">
        <v>623</v>
      </c>
      <c r="H105" s="408"/>
      <c r="I105" s="518">
        <v>0</v>
      </c>
      <c r="J105" s="518">
        <v>0</v>
      </c>
      <c r="K105" s="518">
        <v>0</v>
      </c>
      <c r="L105" s="518">
        <v>0</v>
      </c>
      <c r="M105" s="518">
        <v>0</v>
      </c>
      <c r="N105" s="518">
        <v>0</v>
      </c>
      <c r="O105" s="518">
        <v>0</v>
      </c>
      <c r="P105" s="518">
        <v>0</v>
      </c>
      <c r="Q105" s="518">
        <v>0</v>
      </c>
      <c r="R105" s="518">
        <v>0</v>
      </c>
      <c r="S105" s="518">
        <v>0</v>
      </c>
      <c r="T105" s="518">
        <v>60</v>
      </c>
      <c r="U105" s="518">
        <v>0</v>
      </c>
      <c r="V105" s="518">
        <v>0</v>
      </c>
      <c r="W105" s="518">
        <v>0</v>
      </c>
      <c r="X105" s="518">
        <v>0</v>
      </c>
      <c r="Y105" s="518">
        <v>0</v>
      </c>
      <c r="Z105" s="518">
        <v>0</v>
      </c>
      <c r="AA105" s="518">
        <v>0</v>
      </c>
      <c r="AB105" s="518">
        <v>0</v>
      </c>
      <c r="AC105" s="518">
        <v>0</v>
      </c>
      <c r="AD105" s="518">
        <v>0</v>
      </c>
      <c r="AE105" s="518">
        <v>0</v>
      </c>
      <c r="AF105" s="518">
        <v>0</v>
      </c>
      <c r="AG105" s="518">
        <v>0</v>
      </c>
      <c r="AH105" s="518">
        <v>0</v>
      </c>
      <c r="AI105" s="518">
        <v>0</v>
      </c>
      <c r="AJ105" s="518">
        <v>0</v>
      </c>
      <c r="AK105" s="518">
        <v>0</v>
      </c>
      <c r="AL105" s="518">
        <v>0</v>
      </c>
      <c r="AM105" s="569"/>
      <c r="AN105" s="569"/>
      <c r="AO105" s="569"/>
      <c r="AP105" s="569"/>
      <c r="AQ105" s="569"/>
      <c r="AR105" s="569"/>
      <c r="AS105" s="569"/>
      <c r="AT105" s="569"/>
      <c r="AU105" s="569"/>
      <c r="AV105" s="569"/>
      <c r="AW105" s="569"/>
      <c r="AX105" s="569"/>
      <c r="AY105" s="569"/>
      <c r="AZ105" s="569"/>
      <c r="BA105" s="569"/>
      <c r="BB105" s="408"/>
      <c r="BC105" s="22"/>
    </row>
    <row r="106" spans="2:55">
      <c r="B106" s="1023" t="s">
        <v>538</v>
      </c>
      <c r="C106" s="723"/>
      <c r="D106" s="999"/>
      <c r="E106" s="395" t="s">
        <v>624</v>
      </c>
      <c r="F106" s="396" t="s">
        <v>622</v>
      </c>
      <c r="G106" s="395" t="s">
        <v>625</v>
      </c>
      <c r="H106" s="408"/>
      <c r="I106" s="494">
        <v>0</v>
      </c>
      <c r="J106" s="494">
        <v>0</v>
      </c>
      <c r="K106" s="494">
        <v>0</v>
      </c>
      <c r="L106" s="494">
        <v>0</v>
      </c>
      <c r="M106" s="494">
        <v>0</v>
      </c>
      <c r="N106" s="494">
        <v>0</v>
      </c>
      <c r="O106" s="494">
        <v>0</v>
      </c>
      <c r="P106" s="494">
        <v>0</v>
      </c>
      <c r="Q106" s="494">
        <v>0</v>
      </c>
      <c r="R106" s="494">
        <v>0</v>
      </c>
      <c r="S106" s="494">
        <v>0</v>
      </c>
      <c r="T106" s="494">
        <v>0</v>
      </c>
      <c r="U106" s="494">
        <v>0</v>
      </c>
      <c r="V106" s="494">
        <v>0</v>
      </c>
      <c r="W106" s="494">
        <v>0</v>
      </c>
      <c r="X106" s="494">
        <v>0</v>
      </c>
      <c r="Y106" s="494">
        <v>0</v>
      </c>
      <c r="Z106" s="494">
        <v>0</v>
      </c>
      <c r="AA106" s="494">
        <v>0</v>
      </c>
      <c r="AB106" s="494">
        <v>0</v>
      </c>
      <c r="AC106" s="494">
        <v>10</v>
      </c>
      <c r="AD106" s="494">
        <v>0</v>
      </c>
      <c r="AE106" s="494">
        <v>0</v>
      </c>
      <c r="AF106" s="494">
        <v>0</v>
      </c>
      <c r="AG106" s="494">
        <v>0</v>
      </c>
      <c r="AH106" s="494">
        <v>0</v>
      </c>
      <c r="AI106" s="494">
        <v>0</v>
      </c>
      <c r="AJ106" s="494">
        <v>0</v>
      </c>
      <c r="AK106" s="494">
        <v>0</v>
      </c>
      <c r="AL106" s="494">
        <v>0</v>
      </c>
      <c r="AM106" s="571"/>
      <c r="AN106" s="571"/>
      <c r="AO106" s="571"/>
      <c r="AP106" s="571"/>
      <c r="AQ106" s="571"/>
      <c r="AR106" s="571"/>
      <c r="AS106" s="571"/>
      <c r="AT106" s="571"/>
      <c r="AU106" s="571"/>
      <c r="AV106" s="571"/>
      <c r="AW106" s="571"/>
      <c r="AX106" s="571"/>
      <c r="AY106" s="571"/>
      <c r="AZ106" s="571"/>
      <c r="BA106" s="571"/>
      <c r="BB106" s="408"/>
      <c r="BC106" s="22"/>
    </row>
    <row r="107" spans="2:55">
      <c r="B107" s="1023" t="s">
        <v>538</v>
      </c>
      <c r="C107" s="723"/>
      <c r="D107" s="999"/>
      <c r="E107" s="395" t="s">
        <v>626</v>
      </c>
      <c r="F107" s="396" t="s">
        <v>622</v>
      </c>
      <c r="G107" s="395" t="s">
        <v>627</v>
      </c>
      <c r="H107" s="408"/>
      <c r="I107" s="518">
        <v>2000</v>
      </c>
      <c r="J107" s="518">
        <v>2000</v>
      </c>
      <c r="K107" s="518">
        <v>2000</v>
      </c>
      <c r="L107" s="518">
        <v>2000</v>
      </c>
      <c r="M107" s="518">
        <v>2000</v>
      </c>
      <c r="N107" s="518">
        <v>2000</v>
      </c>
      <c r="O107" s="518">
        <v>2000</v>
      </c>
      <c r="P107" s="518">
        <v>2000</v>
      </c>
      <c r="Q107" s="518">
        <v>2000</v>
      </c>
      <c r="R107" s="518">
        <v>2000</v>
      </c>
      <c r="S107" s="518">
        <v>2000</v>
      </c>
      <c r="T107" s="518">
        <v>2000</v>
      </c>
      <c r="U107" s="518">
        <v>2000</v>
      </c>
      <c r="V107" s="518">
        <v>2000</v>
      </c>
      <c r="W107" s="518">
        <v>2000</v>
      </c>
      <c r="X107" s="518">
        <v>2000</v>
      </c>
      <c r="Y107" s="518">
        <v>2000</v>
      </c>
      <c r="Z107" s="518">
        <v>2000</v>
      </c>
      <c r="AA107" s="518">
        <v>2000</v>
      </c>
      <c r="AB107" s="518">
        <v>2000</v>
      </c>
      <c r="AC107" s="518">
        <v>2000</v>
      </c>
      <c r="AD107" s="518">
        <v>2000</v>
      </c>
      <c r="AE107" s="518">
        <v>2000</v>
      </c>
      <c r="AF107" s="518">
        <v>2000</v>
      </c>
      <c r="AG107" s="518">
        <v>2000</v>
      </c>
      <c r="AH107" s="518">
        <v>2000</v>
      </c>
      <c r="AI107" s="518">
        <v>2000</v>
      </c>
      <c r="AJ107" s="518">
        <v>2000</v>
      </c>
      <c r="AK107" s="518">
        <v>2000</v>
      </c>
      <c r="AL107" s="518">
        <v>2000</v>
      </c>
      <c r="AM107" s="569"/>
      <c r="AN107" s="569"/>
      <c r="AO107" s="569"/>
      <c r="AP107" s="569"/>
      <c r="AQ107" s="569"/>
      <c r="AR107" s="569"/>
      <c r="AS107" s="569"/>
      <c r="AT107" s="569"/>
      <c r="AU107" s="569"/>
      <c r="AV107" s="569"/>
      <c r="AW107" s="569"/>
      <c r="AX107" s="569"/>
      <c r="AY107" s="569"/>
      <c r="AZ107" s="569"/>
      <c r="BA107" s="569"/>
      <c r="BB107" s="408"/>
      <c r="BC107" s="22"/>
    </row>
    <row r="108" spans="2:55" ht="18.75">
      <c r="B108" s="1023" t="s">
        <v>538</v>
      </c>
      <c r="C108" s="723"/>
      <c r="D108" s="999"/>
      <c r="E108" s="403" t="s">
        <v>628</v>
      </c>
      <c r="F108" s="404"/>
      <c r="G108" s="405"/>
      <c r="H108" s="509"/>
      <c r="I108" s="509"/>
      <c r="J108" s="509"/>
      <c r="K108" s="509"/>
      <c r="L108" s="509"/>
      <c r="M108" s="509"/>
      <c r="N108" s="509"/>
      <c r="O108" s="509"/>
      <c r="P108" s="509"/>
      <c r="Q108" s="509"/>
      <c r="R108" s="509"/>
      <c r="S108" s="509"/>
      <c r="T108" s="509"/>
      <c r="U108" s="509"/>
      <c r="V108" s="509"/>
      <c r="W108" s="509"/>
      <c r="X108" s="509"/>
      <c r="Y108" s="509"/>
      <c r="Z108" s="509"/>
      <c r="AA108" s="514"/>
      <c r="AB108" s="509"/>
      <c r="AC108" s="509"/>
      <c r="AD108" s="509"/>
      <c r="AE108" s="509"/>
      <c r="AF108" s="509"/>
      <c r="AG108" s="509"/>
      <c r="AH108" s="509"/>
      <c r="AI108" s="509"/>
      <c r="AJ108" s="509"/>
      <c r="AK108" s="509"/>
      <c r="AL108" s="509"/>
      <c r="AM108" s="509"/>
      <c r="AN108" s="509"/>
      <c r="AO108" s="509"/>
      <c r="AP108" s="509"/>
      <c r="AQ108" s="509"/>
      <c r="AR108" s="509"/>
      <c r="AS108" s="509"/>
      <c r="AT108" s="509"/>
      <c r="AU108" s="509"/>
      <c r="AV108" s="509"/>
      <c r="AW108" s="509"/>
      <c r="AX108" s="509"/>
      <c r="AY108" s="509"/>
      <c r="AZ108" s="509"/>
      <c r="BA108" s="509"/>
      <c r="BB108" s="515"/>
      <c r="BC108" s="22"/>
    </row>
    <row r="109" spans="2:55">
      <c r="B109" s="1023" t="s">
        <v>538</v>
      </c>
      <c r="C109" s="723"/>
      <c r="D109" s="999"/>
      <c r="E109" s="395" t="s">
        <v>629</v>
      </c>
      <c r="F109" s="396"/>
      <c r="G109" s="395" t="s">
        <v>606</v>
      </c>
      <c r="H109" s="408"/>
      <c r="I109" s="572">
        <v>0</v>
      </c>
      <c r="J109" s="572">
        <v>0</v>
      </c>
      <c r="K109" s="572">
        <v>1.8E-3</v>
      </c>
      <c r="L109" s="572">
        <v>0</v>
      </c>
      <c r="M109" s="572">
        <v>1.8E-3</v>
      </c>
      <c r="N109" s="572">
        <v>0</v>
      </c>
      <c r="O109" s="572">
        <v>0</v>
      </c>
      <c r="P109" s="572">
        <v>0</v>
      </c>
      <c r="Q109" s="572">
        <v>0</v>
      </c>
      <c r="R109" s="572">
        <v>1.8E-3</v>
      </c>
      <c r="S109" s="572">
        <v>1.8E-3</v>
      </c>
      <c r="T109" s="572">
        <v>0</v>
      </c>
      <c r="U109" s="572">
        <v>7.1999999999999998E-3</v>
      </c>
      <c r="V109" s="572">
        <v>0</v>
      </c>
      <c r="W109" s="572">
        <v>7.1999999999999998E-3</v>
      </c>
      <c r="X109" s="572">
        <v>7.1999999999999998E-3</v>
      </c>
      <c r="Y109" s="572">
        <v>7.1999999999999998E-3</v>
      </c>
      <c r="Z109" s="572">
        <v>7.1999999999999998E-3</v>
      </c>
      <c r="AA109" s="572">
        <v>7.1999999999999998E-3</v>
      </c>
      <c r="AB109" s="572">
        <v>7.1999999999999998E-3</v>
      </c>
      <c r="AC109" s="572">
        <v>0</v>
      </c>
      <c r="AD109" s="572">
        <v>7.1999999999999998E-3</v>
      </c>
      <c r="AE109" s="572">
        <v>7.1999999999999998E-3</v>
      </c>
      <c r="AF109" s="572">
        <v>7.1999999999999998E-3</v>
      </c>
      <c r="AG109" s="572">
        <v>0</v>
      </c>
      <c r="AH109" s="572">
        <v>0</v>
      </c>
      <c r="AI109" s="572">
        <v>1.8E-3</v>
      </c>
      <c r="AJ109" s="572">
        <v>0</v>
      </c>
      <c r="AK109" s="572">
        <v>7.1999999999999998E-3</v>
      </c>
      <c r="AL109" s="572">
        <v>7.1999999999999998E-3</v>
      </c>
      <c r="AM109" s="568"/>
      <c r="AN109" s="568"/>
      <c r="AO109" s="568"/>
      <c r="AP109" s="568"/>
      <c r="AQ109" s="568"/>
      <c r="AR109" s="568"/>
      <c r="AS109" s="568"/>
      <c r="AT109" s="568"/>
      <c r="AU109" s="568"/>
      <c r="AV109" s="568"/>
      <c r="AW109" s="568"/>
      <c r="AX109" s="568"/>
      <c r="AY109" s="568"/>
      <c r="AZ109" s="568"/>
      <c r="BA109" s="568"/>
      <c r="BB109" s="408"/>
      <c r="BC109" s="22"/>
    </row>
    <row r="110" spans="2:55">
      <c r="B110" s="1023" t="s">
        <v>538</v>
      </c>
      <c r="C110" s="723"/>
      <c r="D110" s="999"/>
      <c r="E110" s="395" t="s">
        <v>630</v>
      </c>
      <c r="F110" s="396"/>
      <c r="G110" s="395" t="s">
        <v>606</v>
      </c>
      <c r="H110" s="408"/>
      <c r="I110" s="573">
        <v>0</v>
      </c>
      <c r="J110" s="573">
        <v>0</v>
      </c>
      <c r="K110" s="573">
        <v>4.4999999999999998E-2</v>
      </c>
      <c r="L110" s="573">
        <v>0</v>
      </c>
      <c r="M110" s="573">
        <v>4.4999999999999998E-2</v>
      </c>
      <c r="N110" s="573">
        <v>0</v>
      </c>
      <c r="O110" s="573">
        <v>0</v>
      </c>
      <c r="P110" s="573">
        <v>0</v>
      </c>
      <c r="Q110" s="573">
        <v>0</v>
      </c>
      <c r="R110" s="573">
        <v>4.4999999999999998E-2</v>
      </c>
      <c r="S110" s="573">
        <v>4.4999999999999998E-2</v>
      </c>
      <c r="T110" s="573">
        <v>0</v>
      </c>
      <c r="U110" s="573">
        <v>0</v>
      </c>
      <c r="V110" s="573">
        <v>0</v>
      </c>
      <c r="W110" s="573">
        <v>0</v>
      </c>
      <c r="X110" s="573">
        <v>0</v>
      </c>
      <c r="Y110" s="573">
        <v>0</v>
      </c>
      <c r="Z110" s="573">
        <v>0</v>
      </c>
      <c r="AA110" s="573">
        <v>0</v>
      </c>
      <c r="AB110" s="573">
        <v>0</v>
      </c>
      <c r="AC110" s="573">
        <v>0</v>
      </c>
      <c r="AD110" s="573">
        <v>0</v>
      </c>
      <c r="AE110" s="573">
        <v>0</v>
      </c>
      <c r="AF110" s="573">
        <v>0</v>
      </c>
      <c r="AG110" s="573">
        <v>0</v>
      </c>
      <c r="AH110" s="573">
        <v>0</v>
      </c>
      <c r="AI110" s="573">
        <v>0</v>
      </c>
      <c r="AJ110" s="573">
        <v>0</v>
      </c>
      <c r="AK110" s="573">
        <v>0</v>
      </c>
      <c r="AL110" s="573">
        <v>0</v>
      </c>
      <c r="AM110" s="560"/>
      <c r="AN110" s="560"/>
      <c r="AO110" s="560"/>
      <c r="AP110" s="560"/>
      <c r="AQ110" s="560"/>
      <c r="AR110" s="560"/>
      <c r="AS110" s="560"/>
      <c r="AT110" s="560"/>
      <c r="AU110" s="560"/>
      <c r="AV110" s="560"/>
      <c r="AW110" s="560"/>
      <c r="AX110" s="560"/>
      <c r="AY110" s="560"/>
      <c r="AZ110" s="560"/>
      <c r="BA110" s="560"/>
      <c r="BB110" s="408"/>
      <c r="BC110" s="22"/>
    </row>
    <row r="111" spans="2:55" ht="25.5">
      <c r="B111" s="1023" t="s">
        <v>538</v>
      </c>
      <c r="C111" s="723"/>
      <c r="D111" s="999"/>
      <c r="E111" s="519" t="s">
        <v>631</v>
      </c>
      <c r="F111" s="519"/>
      <c r="G111" s="519" t="s">
        <v>68</v>
      </c>
      <c r="H111" s="520"/>
      <c r="I111" s="521" t="s">
        <v>632</v>
      </c>
      <c r="J111" s="521" t="s">
        <v>632</v>
      </c>
      <c r="K111" s="521" t="s">
        <v>633</v>
      </c>
      <c r="L111" s="521" t="s">
        <v>633</v>
      </c>
      <c r="M111" s="521" t="s">
        <v>633</v>
      </c>
      <c r="N111" s="521" t="s">
        <v>633</v>
      </c>
      <c r="O111" s="521" t="s">
        <v>1055</v>
      </c>
      <c r="P111" s="521" t="s">
        <v>633</v>
      </c>
      <c r="Q111" s="521" t="s">
        <v>633</v>
      </c>
      <c r="R111" s="521" t="s">
        <v>633</v>
      </c>
      <c r="S111" s="521" t="s">
        <v>633</v>
      </c>
      <c r="T111" s="521" t="s">
        <v>633</v>
      </c>
      <c r="U111" s="521" t="s">
        <v>2011</v>
      </c>
      <c r="V111" s="521" t="s">
        <v>1015</v>
      </c>
      <c r="W111" s="521" t="s">
        <v>634</v>
      </c>
      <c r="X111" s="521" t="s">
        <v>634</v>
      </c>
      <c r="Y111" s="521" t="s">
        <v>635</v>
      </c>
      <c r="Z111" s="521" t="s">
        <v>635</v>
      </c>
      <c r="AA111" s="521" t="s">
        <v>635</v>
      </c>
      <c r="AB111" s="521" t="s">
        <v>635</v>
      </c>
      <c r="AC111" s="521" t="s">
        <v>636</v>
      </c>
      <c r="AD111" s="521" t="s">
        <v>2012</v>
      </c>
      <c r="AE111" s="521" t="s">
        <v>2012</v>
      </c>
      <c r="AF111" s="521" t="s">
        <v>2013</v>
      </c>
      <c r="AG111" s="521" t="s">
        <v>632</v>
      </c>
      <c r="AH111" s="521" t="s">
        <v>632</v>
      </c>
      <c r="AI111" s="521" t="s">
        <v>632</v>
      </c>
      <c r="AJ111" s="521" t="s">
        <v>637</v>
      </c>
      <c r="AK111" s="521" t="s">
        <v>2012</v>
      </c>
      <c r="AL111" s="521" t="s">
        <v>2012</v>
      </c>
      <c r="AM111" s="564"/>
      <c r="AN111" s="564"/>
      <c r="AO111" s="564"/>
      <c r="AP111" s="564"/>
      <c r="AQ111" s="564"/>
      <c r="AR111" s="564"/>
      <c r="AS111" s="564"/>
      <c r="AT111" s="564"/>
      <c r="AU111" s="564"/>
      <c r="AV111" s="564"/>
      <c r="AW111" s="564"/>
      <c r="AX111" s="564"/>
      <c r="AY111" s="564"/>
      <c r="AZ111" s="564"/>
      <c r="BA111" s="564"/>
      <c r="BB111" s="533"/>
      <c r="BC111" s="22"/>
    </row>
    <row r="112" spans="2:55" hidden="1">
      <c r="B112" s="1023" t="s">
        <v>639</v>
      </c>
      <c r="C112" s="723"/>
      <c r="D112" s="999"/>
      <c r="E112" s="5"/>
      <c r="F112" s="5"/>
      <c r="G112" s="5"/>
      <c r="H112" s="16"/>
      <c r="I112" s="16"/>
      <c r="J112" s="16"/>
      <c r="K112" s="16"/>
      <c r="L112" s="16"/>
      <c r="M112" s="16"/>
      <c r="N112" s="16"/>
      <c r="O112" s="16"/>
      <c r="P112" s="16"/>
      <c r="Q112" s="16"/>
      <c r="R112" s="16"/>
      <c r="S112" s="16"/>
      <c r="T112" s="16"/>
      <c r="U112" s="16"/>
      <c r="V112" s="16"/>
      <c r="X112" s="16"/>
      <c r="Y112" s="20"/>
      <c r="Z112" s="16"/>
      <c r="AA112" s="16"/>
      <c r="AB112" s="5"/>
      <c r="AC112" s="5"/>
      <c r="AD112" s="5"/>
      <c r="AE112" s="5"/>
      <c r="AF112" s="5"/>
      <c r="AG112" s="5"/>
      <c r="AH112" s="5"/>
      <c r="AI112" s="5"/>
      <c r="AJ112" s="5"/>
      <c r="AK112" s="5"/>
      <c r="AL112" s="5"/>
      <c r="AM112" s="5"/>
      <c r="AN112" s="5"/>
      <c r="AO112" s="5"/>
      <c r="AP112" s="5"/>
      <c r="AQ112" s="5"/>
      <c r="AR112" s="5"/>
      <c r="AS112" s="22"/>
    </row>
    <row r="113" spans="1:54" ht="21" hidden="1">
      <c r="B113" s="1023" t="s">
        <v>639</v>
      </c>
      <c r="C113" s="723"/>
      <c r="D113" s="999"/>
      <c r="E113" s="240" t="s">
        <v>640</v>
      </c>
      <c r="F113" s="240"/>
      <c r="G113" s="240"/>
      <c r="H113" s="240"/>
      <c r="I113" s="240"/>
      <c r="J113" s="240"/>
      <c r="K113" s="61"/>
      <c r="L113" s="61"/>
      <c r="M113" s="61"/>
      <c r="N113" s="61"/>
      <c r="O113" s="61"/>
      <c r="P113" s="61"/>
      <c r="Q113" s="61"/>
      <c r="R113" s="61"/>
      <c r="S113" s="61"/>
      <c r="T113" s="61"/>
      <c r="U113" s="61"/>
      <c r="V113" s="61"/>
      <c r="X113" s="61"/>
      <c r="Y113" s="20"/>
      <c r="Z113" s="5"/>
      <c r="AA113" s="5"/>
      <c r="AB113" s="5"/>
      <c r="AC113" s="5"/>
      <c r="AD113" s="5"/>
      <c r="AE113" s="5"/>
      <c r="AF113" s="5"/>
      <c r="AG113" s="5"/>
      <c r="AH113" s="5"/>
      <c r="AI113" s="5"/>
      <c r="AJ113" s="5"/>
      <c r="AK113" s="5"/>
      <c r="AL113" s="5"/>
      <c r="AM113" s="5"/>
      <c r="AN113" s="5"/>
      <c r="AO113" s="5"/>
      <c r="AP113" s="5"/>
      <c r="AQ113" s="5"/>
      <c r="AR113" s="5"/>
      <c r="AS113" s="437"/>
    </row>
    <row r="114" spans="1:54" hidden="1">
      <c r="B114" s="1023" t="s">
        <v>639</v>
      </c>
      <c r="C114" s="723"/>
      <c r="D114" s="1000"/>
      <c r="E114" s="386" t="s">
        <v>483</v>
      </c>
      <c r="F114" s="386"/>
      <c r="G114" s="386" t="s">
        <v>420</v>
      </c>
      <c r="H114" s="387"/>
      <c r="I114" s="387">
        <f ca="1">OFFSET(I114,0,-1)+1</f>
        <v>1</v>
      </c>
      <c r="J114" s="387"/>
      <c r="K114" s="61"/>
      <c r="L114" s="61"/>
      <c r="M114" s="5"/>
      <c r="N114" s="5"/>
      <c r="O114" s="5"/>
      <c r="P114" s="5"/>
      <c r="Q114" s="5"/>
      <c r="R114" s="5"/>
      <c r="S114" s="5"/>
      <c r="T114" s="5"/>
      <c r="U114" s="5"/>
      <c r="V114" s="5"/>
      <c r="X114" s="5"/>
      <c r="Y114" s="20"/>
      <c r="Z114" s="5"/>
      <c r="AA114" s="5"/>
      <c r="AB114" s="5"/>
      <c r="AC114" s="5"/>
      <c r="AD114" s="5"/>
      <c r="AE114" s="5"/>
      <c r="AF114" s="5"/>
      <c r="AG114" s="5"/>
      <c r="AH114" s="5"/>
      <c r="AI114" s="5"/>
      <c r="AJ114" s="5"/>
      <c r="AK114" s="5"/>
      <c r="AL114" s="5"/>
      <c r="AM114" s="5"/>
      <c r="AN114" s="5"/>
      <c r="AO114" s="5"/>
      <c r="AP114" s="5"/>
      <c r="AQ114" s="5"/>
      <c r="AR114" s="5"/>
      <c r="AS114" s="22"/>
    </row>
    <row r="115" spans="1:54" ht="18.75" hidden="1">
      <c r="B115" s="1023" t="s">
        <v>639</v>
      </c>
      <c r="C115" s="723"/>
      <c r="D115" s="1000"/>
      <c r="E115" s="500" t="s">
        <v>483</v>
      </c>
      <c r="F115" s="404"/>
      <c r="G115" s="20"/>
      <c r="H115" s="20"/>
      <c r="I115" s="20"/>
      <c r="J115" s="20"/>
      <c r="K115" s="20"/>
      <c r="L115" s="20"/>
      <c r="M115" s="20"/>
      <c r="N115" s="20"/>
      <c r="O115" s="20"/>
      <c r="P115" s="20"/>
      <c r="Q115" s="20"/>
      <c r="R115" s="20"/>
      <c r="S115" s="20"/>
      <c r="T115" s="20"/>
      <c r="U115" s="20"/>
      <c r="V115" s="20"/>
      <c r="W115" s="20"/>
      <c r="X115" s="20"/>
      <c r="Y115" s="20"/>
      <c r="Z115" s="5"/>
      <c r="AA115" s="5"/>
      <c r="AB115" s="5"/>
      <c r="AC115" s="5"/>
      <c r="AD115" s="5"/>
      <c r="AE115" s="5"/>
      <c r="AF115" s="5"/>
      <c r="AG115" s="5"/>
      <c r="AH115" s="5"/>
      <c r="AI115" s="5"/>
      <c r="AJ115" s="5"/>
      <c r="AK115" s="5"/>
      <c r="AL115" s="5"/>
      <c r="AM115" s="5"/>
      <c r="AN115" s="5"/>
      <c r="AO115" s="5"/>
      <c r="AP115" s="5"/>
      <c r="AQ115" s="5"/>
      <c r="AR115" s="5"/>
      <c r="AS115" s="22"/>
    </row>
    <row r="116" spans="1:54" hidden="1">
      <c r="B116" s="1023" t="s">
        <v>639</v>
      </c>
      <c r="C116" s="723"/>
      <c r="D116" s="999"/>
      <c r="E116" s="395" t="s">
        <v>641</v>
      </c>
      <c r="F116" s="396"/>
      <c r="G116" s="395" t="s">
        <v>68</v>
      </c>
      <c r="H116" s="408"/>
      <c r="I116" s="522">
        <v>0.20425399999999999</v>
      </c>
      <c r="J116" s="408"/>
      <c r="K116" s="20"/>
      <c r="L116" s="16"/>
      <c r="M116" s="16"/>
      <c r="N116" s="16"/>
      <c r="O116" s="5"/>
      <c r="P116" s="5"/>
      <c r="Q116" s="5"/>
      <c r="R116" s="5"/>
      <c r="S116" s="5"/>
      <c r="T116" s="5"/>
      <c r="U116" s="5"/>
      <c r="V116" s="5"/>
      <c r="X116" s="5"/>
      <c r="Y116" s="20"/>
      <c r="Z116" s="5"/>
      <c r="AA116" s="5"/>
      <c r="AB116" s="5"/>
      <c r="AC116" s="5"/>
      <c r="AD116" s="5"/>
      <c r="AE116" s="5"/>
      <c r="AF116" s="5"/>
      <c r="AG116" s="5"/>
      <c r="AH116" s="5"/>
      <c r="AI116" s="5"/>
      <c r="AJ116" s="5"/>
      <c r="AK116" s="5"/>
      <c r="AL116" s="5"/>
      <c r="AM116" s="5"/>
      <c r="AN116" s="5"/>
      <c r="AO116" s="5"/>
      <c r="AP116" s="5"/>
      <c r="AQ116" s="5"/>
      <c r="AR116" s="5"/>
      <c r="AS116" s="22"/>
    </row>
    <row r="117" spans="1:54" hidden="1">
      <c r="B117" s="1023" t="s">
        <v>639</v>
      </c>
      <c r="C117" s="723"/>
      <c r="D117" s="999"/>
      <c r="E117" s="395" t="s">
        <v>642</v>
      </c>
      <c r="F117" s="396"/>
      <c r="G117" s="395" t="s">
        <v>627</v>
      </c>
      <c r="H117" s="408"/>
      <c r="I117" s="522">
        <v>744</v>
      </c>
      <c r="J117" s="408"/>
      <c r="K117" s="20"/>
      <c r="L117" s="16"/>
      <c r="M117" s="16"/>
      <c r="N117" s="16"/>
      <c r="O117" s="5"/>
      <c r="P117" s="5"/>
      <c r="Q117" s="5"/>
      <c r="R117" s="5"/>
      <c r="S117" s="5"/>
      <c r="T117" s="5"/>
      <c r="U117" s="5"/>
      <c r="V117" s="5"/>
      <c r="X117" s="5"/>
      <c r="Y117" s="20"/>
      <c r="Z117" s="5"/>
      <c r="AA117" s="5"/>
      <c r="AB117" s="5"/>
      <c r="AC117" s="5"/>
      <c r="AD117" s="5"/>
      <c r="AE117" s="5"/>
      <c r="AF117" s="5"/>
      <c r="AG117" s="5"/>
      <c r="AH117" s="5"/>
      <c r="AI117" s="5"/>
      <c r="AJ117" s="5"/>
      <c r="AK117" s="5"/>
      <c r="AL117" s="5"/>
      <c r="AM117" s="5"/>
      <c r="AN117" s="5"/>
      <c r="AO117" s="5"/>
      <c r="AP117" s="5"/>
      <c r="AQ117" s="5"/>
      <c r="AR117" s="5"/>
      <c r="AS117" s="22"/>
    </row>
    <row r="118" spans="1:54" hidden="1">
      <c r="B118" s="1023" t="s">
        <v>639</v>
      </c>
      <c r="C118" s="723"/>
      <c r="D118" s="999"/>
      <c r="E118" s="395" t="s">
        <v>643</v>
      </c>
      <c r="F118" s="396"/>
      <c r="G118" s="395" t="s">
        <v>644</v>
      </c>
      <c r="H118" s="408"/>
      <c r="I118" s="522">
        <v>21</v>
      </c>
      <c r="J118" s="408"/>
      <c r="K118" s="20"/>
      <c r="L118" s="16"/>
      <c r="M118" s="16"/>
      <c r="N118" s="16"/>
      <c r="O118" s="5"/>
      <c r="P118" s="5"/>
      <c r="Q118" s="5"/>
      <c r="R118" s="5"/>
      <c r="S118" s="5"/>
      <c r="T118" s="5"/>
      <c r="U118" s="5"/>
      <c r="V118" s="5"/>
      <c r="X118" s="5"/>
      <c r="Y118" s="20"/>
      <c r="Z118" s="5"/>
      <c r="AA118" s="5"/>
      <c r="AB118" s="5"/>
      <c r="AC118" s="5"/>
      <c r="AD118" s="5"/>
      <c r="AE118" s="5"/>
      <c r="AF118" s="5"/>
      <c r="AG118" s="5"/>
      <c r="AH118" s="5"/>
      <c r="AI118" s="5"/>
      <c r="AJ118" s="5"/>
      <c r="AK118" s="5"/>
      <c r="AL118" s="5"/>
      <c r="AM118" s="5"/>
      <c r="AN118" s="5"/>
      <c r="AO118" s="5"/>
      <c r="AP118" s="5"/>
      <c r="AQ118" s="5"/>
      <c r="AR118" s="5"/>
      <c r="AS118" s="22"/>
    </row>
    <row r="119" spans="1:54" hidden="1">
      <c r="B119" s="1023" t="s">
        <v>639</v>
      </c>
      <c r="C119" s="723"/>
      <c r="D119" s="999"/>
      <c r="E119" s="395" t="s">
        <v>645</v>
      </c>
      <c r="F119" s="396"/>
      <c r="G119" s="395" t="s">
        <v>644</v>
      </c>
      <c r="H119" s="408"/>
      <c r="I119" s="522">
        <v>2.61</v>
      </c>
      <c r="J119" s="408"/>
      <c r="K119" s="20"/>
      <c r="L119" s="16"/>
      <c r="M119" s="16"/>
      <c r="N119" s="16"/>
      <c r="O119" s="5"/>
      <c r="P119" s="5"/>
      <c r="Q119" s="5"/>
      <c r="R119" s="5"/>
      <c r="S119" s="5"/>
      <c r="T119" s="5"/>
      <c r="U119" s="5"/>
      <c r="V119" s="5"/>
      <c r="X119" s="5"/>
      <c r="Y119" s="20"/>
      <c r="Z119" s="5"/>
      <c r="AA119" s="5"/>
      <c r="AB119" s="5"/>
      <c r="AC119" s="5"/>
      <c r="AD119" s="5"/>
      <c r="AE119" s="5"/>
      <c r="AF119" s="5"/>
      <c r="AG119" s="5"/>
      <c r="AH119" s="5"/>
      <c r="AI119" s="5"/>
      <c r="AJ119" s="5"/>
      <c r="AK119" s="5"/>
      <c r="AL119" s="5"/>
      <c r="AM119" s="5"/>
      <c r="AN119" s="5"/>
      <c r="AO119" s="5"/>
      <c r="AP119" s="5"/>
      <c r="AQ119" s="5"/>
      <c r="AR119" s="5"/>
      <c r="AS119" s="22"/>
    </row>
    <row r="120" spans="1:54" hidden="1">
      <c r="B120" s="1023" t="s">
        <v>639</v>
      </c>
      <c r="C120" s="723"/>
      <c r="D120" s="999"/>
      <c r="E120" s="395" t="s">
        <v>646</v>
      </c>
      <c r="F120" s="396"/>
      <c r="G120" s="395" t="s">
        <v>644</v>
      </c>
      <c r="H120" s="408"/>
      <c r="I120" s="522">
        <v>-10</v>
      </c>
      <c r="J120" s="408"/>
      <c r="K120" s="20"/>
      <c r="L120" s="16"/>
      <c r="M120" s="16"/>
      <c r="N120" s="16"/>
      <c r="O120" s="5"/>
      <c r="P120" s="5"/>
      <c r="Q120" s="5"/>
      <c r="R120" s="5"/>
      <c r="S120" s="5"/>
      <c r="T120" s="5"/>
      <c r="U120" s="5"/>
      <c r="V120" s="5"/>
      <c r="X120" s="5"/>
      <c r="Y120" s="20"/>
      <c r="Z120" s="5"/>
      <c r="AA120" s="5"/>
      <c r="AB120" s="5"/>
      <c r="AC120" s="5"/>
      <c r="AD120" s="5"/>
      <c r="AE120" s="5"/>
      <c r="AF120" s="5"/>
      <c r="AG120" s="5"/>
      <c r="AH120" s="5"/>
      <c r="AI120" s="5"/>
      <c r="AJ120" s="5"/>
      <c r="AK120" s="5"/>
      <c r="AL120" s="5"/>
      <c r="AM120" s="5"/>
      <c r="AN120" s="5"/>
      <c r="AO120" s="5"/>
      <c r="AP120" s="5"/>
      <c r="AQ120" s="5"/>
      <c r="AR120" s="5"/>
      <c r="AS120" s="22"/>
    </row>
    <row r="121" spans="1:54" hidden="1">
      <c r="B121" s="1023" t="s">
        <v>639</v>
      </c>
      <c r="C121" s="723"/>
      <c r="D121" s="999"/>
      <c r="E121" s="395" t="s">
        <v>647</v>
      </c>
      <c r="F121" s="396"/>
      <c r="G121" s="395" t="s">
        <v>149</v>
      </c>
      <c r="H121" s="408"/>
      <c r="I121" s="522">
        <v>5</v>
      </c>
      <c r="J121" s="408"/>
      <c r="K121" s="20"/>
      <c r="L121" s="16"/>
      <c r="M121" s="16"/>
      <c r="N121" s="16"/>
      <c r="O121" s="5"/>
      <c r="P121" s="5"/>
      <c r="Q121" s="5"/>
      <c r="R121" s="5"/>
      <c r="S121" s="5"/>
      <c r="T121" s="5"/>
      <c r="U121" s="5"/>
      <c r="V121" s="5"/>
      <c r="X121" s="5"/>
      <c r="Y121" s="20"/>
      <c r="Z121" s="5"/>
      <c r="AA121" s="5"/>
      <c r="AB121" s="5"/>
      <c r="AC121" s="5"/>
      <c r="AD121" s="5"/>
      <c r="AE121" s="5"/>
      <c r="AF121" s="5"/>
      <c r="AG121" s="5"/>
      <c r="AH121" s="5"/>
      <c r="AI121" s="5"/>
      <c r="AJ121" s="5"/>
      <c r="AK121" s="5"/>
      <c r="AL121" s="5"/>
      <c r="AM121" s="5"/>
      <c r="AN121" s="5"/>
      <c r="AO121" s="5"/>
      <c r="AP121" s="5"/>
      <c r="AQ121" s="5"/>
      <c r="AR121" s="5"/>
      <c r="AS121" s="22"/>
    </row>
    <row r="122" spans="1:54" s="2" customFormat="1" hidden="1">
      <c r="A122" s="309"/>
      <c r="B122" s="1023" t="s">
        <v>639</v>
      </c>
      <c r="C122" s="723"/>
      <c r="D122" s="1002"/>
      <c r="E122" s="391" t="s">
        <v>648</v>
      </c>
      <c r="F122" s="392"/>
      <c r="G122" s="391"/>
      <c r="H122" s="523"/>
      <c r="I122" s="524"/>
      <c r="J122" s="525"/>
      <c r="K122" s="20"/>
      <c r="L122" s="16"/>
      <c r="M122" s="16"/>
      <c r="N122" s="16"/>
      <c r="O122" s="5"/>
      <c r="P122" s="5"/>
      <c r="Q122" s="5"/>
      <c r="R122" s="5"/>
      <c r="S122" s="5"/>
      <c r="T122" s="5"/>
      <c r="U122" s="5"/>
      <c r="V122" s="5"/>
      <c r="W122"/>
      <c r="X122" s="5"/>
      <c r="Y122" s="9"/>
      <c r="Z122" s="8"/>
      <c r="AA122" s="9"/>
      <c r="AB122" s="9"/>
      <c r="AC122" s="9"/>
      <c r="AD122" s="4"/>
      <c r="AE122" s="4"/>
      <c r="AF122" s="4"/>
      <c r="AG122" s="4"/>
      <c r="AH122" s="4"/>
      <c r="AI122" s="4"/>
      <c r="AJ122" s="4"/>
      <c r="AK122" s="4"/>
      <c r="AL122" s="4"/>
      <c r="AM122" s="4"/>
      <c r="AN122" s="4"/>
      <c r="AO122" s="4"/>
      <c r="AP122" s="4"/>
      <c r="AQ122" s="4"/>
      <c r="AR122" s="4"/>
      <c r="AS122" s="22"/>
      <c r="AT122" s="378"/>
    </row>
    <row r="123" spans="1:54" s="2" customFormat="1" hidden="1">
      <c r="A123" s="309"/>
      <c r="B123" s="1023" t="s">
        <v>639</v>
      </c>
      <c r="C123" s="723"/>
      <c r="D123" s="1002"/>
      <c r="E123" s="455" t="s">
        <v>649</v>
      </c>
      <c r="F123" s="458"/>
      <c r="G123" s="455"/>
      <c r="H123" s="461"/>
      <c r="I123" s="473"/>
      <c r="J123" s="456"/>
      <c r="K123" s="20"/>
      <c r="L123" s="16"/>
      <c r="M123" s="16"/>
      <c r="N123" s="16"/>
      <c r="O123" s="5"/>
      <c r="P123" s="5"/>
      <c r="Q123" s="5"/>
      <c r="R123" s="5"/>
      <c r="S123" s="5"/>
      <c r="T123" s="5"/>
      <c r="U123" s="5"/>
      <c r="V123" s="5"/>
      <c r="W123"/>
      <c r="X123" s="5"/>
      <c r="Y123" s="9"/>
      <c r="Z123" s="8"/>
      <c r="AA123" s="9"/>
      <c r="AB123" s="9"/>
      <c r="AC123" s="9"/>
      <c r="AD123" s="4"/>
      <c r="AE123" s="4"/>
      <c r="AF123" s="4"/>
      <c r="AG123" s="4"/>
      <c r="AH123" s="4"/>
      <c r="AI123" s="4"/>
      <c r="AJ123" s="4"/>
      <c r="AK123" s="4"/>
      <c r="AL123" s="4"/>
      <c r="AM123" s="4"/>
      <c r="AN123" s="4"/>
      <c r="AO123" s="4"/>
      <c r="AP123" s="4"/>
      <c r="AQ123" s="4"/>
      <c r="AR123" s="4"/>
      <c r="AS123" s="22"/>
      <c r="AT123" s="378"/>
    </row>
    <row r="124" spans="1:54" s="2" customFormat="1" hidden="1">
      <c r="A124" s="309"/>
      <c r="B124" s="1023" t="s">
        <v>639</v>
      </c>
      <c r="C124" s="723"/>
      <c r="D124" s="1002"/>
      <c r="E124" s="455" t="s">
        <v>650</v>
      </c>
      <c r="F124" s="458"/>
      <c r="G124" s="455"/>
      <c r="H124" s="461"/>
      <c r="I124" s="473"/>
      <c r="J124" s="456"/>
      <c r="K124" s="20"/>
      <c r="L124" s="16"/>
      <c r="M124" s="16"/>
      <c r="N124" s="16"/>
      <c r="O124" s="5"/>
      <c r="P124" s="5"/>
      <c r="Q124" s="5"/>
      <c r="R124" s="5"/>
      <c r="S124" s="5"/>
      <c r="T124" s="5"/>
      <c r="U124" s="5"/>
      <c r="V124" s="5"/>
      <c r="W124"/>
      <c r="X124" s="5"/>
      <c r="Y124" s="9"/>
      <c r="Z124" s="8"/>
      <c r="AA124" s="9"/>
      <c r="AB124" s="9"/>
      <c r="AC124" s="9"/>
      <c r="AD124" s="4"/>
      <c r="AE124" s="4"/>
      <c r="AF124" s="4"/>
      <c r="AG124" s="4"/>
      <c r="AH124" s="4"/>
      <c r="AI124" s="4"/>
      <c r="AJ124" s="4"/>
      <c r="AK124" s="4"/>
      <c r="AL124" s="4"/>
      <c r="AM124" s="4"/>
      <c r="AN124" s="4"/>
      <c r="AO124" s="4"/>
      <c r="AP124" s="4"/>
      <c r="AQ124" s="4"/>
      <c r="AR124" s="4"/>
      <c r="AS124" s="22"/>
      <c r="AT124" s="378"/>
    </row>
    <row r="125" spans="1:54" s="2" customFormat="1" hidden="1">
      <c r="A125" s="309"/>
      <c r="B125" s="1023" t="s">
        <v>639</v>
      </c>
      <c r="C125" s="723"/>
      <c r="D125" s="1002"/>
      <c r="E125" s="412" t="s">
        <v>651</v>
      </c>
      <c r="F125" s="472"/>
      <c r="G125" s="412"/>
      <c r="H125" s="462"/>
      <c r="I125" s="480"/>
      <c r="J125" s="481"/>
      <c r="K125" s="20"/>
      <c r="L125" s="16"/>
      <c r="M125" s="16"/>
      <c r="N125" s="16"/>
      <c r="O125" s="5"/>
      <c r="P125" s="5"/>
      <c r="Q125" s="5"/>
      <c r="R125" s="5"/>
      <c r="S125" s="5"/>
      <c r="T125" s="5"/>
      <c r="U125" s="5"/>
      <c r="V125" s="5"/>
      <c r="W125"/>
      <c r="X125" s="5"/>
      <c r="Y125" s="9"/>
      <c r="Z125" s="8"/>
      <c r="AA125" s="9"/>
      <c r="AB125" s="9"/>
      <c r="AC125" s="9"/>
      <c r="AD125" s="4"/>
      <c r="AE125" s="4"/>
      <c r="AF125" s="4"/>
      <c r="AG125" s="4"/>
      <c r="AH125" s="4"/>
      <c r="AI125" s="4"/>
      <c r="AJ125" s="4"/>
      <c r="AK125" s="4"/>
      <c r="AL125" s="4"/>
      <c r="AM125" s="4"/>
      <c r="AN125" s="4"/>
      <c r="AO125" s="4"/>
      <c r="AP125" s="4"/>
      <c r="AQ125" s="4"/>
      <c r="AR125" s="4"/>
      <c r="AS125" s="22"/>
      <c r="AT125" s="378"/>
    </row>
    <row r="126" spans="1:54" hidden="1">
      <c r="B126" s="1023" t="s">
        <v>639</v>
      </c>
      <c r="C126" s="723"/>
      <c r="D126" s="999"/>
      <c r="E126" s="5"/>
      <c r="F126" s="5"/>
      <c r="G126" s="5"/>
      <c r="H126" s="16"/>
      <c r="I126" s="23"/>
      <c r="J126" s="16"/>
      <c r="K126" s="16"/>
      <c r="L126" s="16"/>
      <c r="M126" s="16"/>
      <c r="N126" s="16"/>
      <c r="O126" s="16"/>
      <c r="P126" s="16"/>
      <c r="Q126" s="16"/>
      <c r="R126" s="16"/>
      <c r="S126" s="16"/>
      <c r="T126" s="16"/>
      <c r="U126" s="16"/>
      <c r="V126" s="16"/>
      <c r="W126" s="16"/>
      <c r="X126" s="16"/>
      <c r="Y126" s="20"/>
      <c r="Z126" s="16"/>
      <c r="AA126" s="16"/>
      <c r="AB126" s="16"/>
      <c r="AC126" s="5"/>
      <c r="AD126" s="5"/>
      <c r="AE126" s="5"/>
      <c r="AF126" s="5"/>
      <c r="AG126" s="5"/>
      <c r="AH126" s="5"/>
      <c r="AI126" s="5"/>
      <c r="AJ126" s="5"/>
      <c r="AK126" s="5"/>
      <c r="AL126" s="5"/>
      <c r="AM126" s="5"/>
      <c r="AN126" s="5"/>
      <c r="AO126" s="5"/>
      <c r="AP126" s="5"/>
      <c r="AQ126" s="5"/>
      <c r="AR126" s="5"/>
      <c r="AS126" s="22"/>
    </row>
    <row r="127" spans="1:54">
      <c r="B127" s="1023" t="s">
        <v>652</v>
      </c>
      <c r="C127" s="723"/>
      <c r="D127" s="999"/>
      <c r="E127" s="5"/>
      <c r="F127" s="5"/>
      <c r="G127" s="5"/>
      <c r="H127" s="16"/>
      <c r="I127" s="16"/>
      <c r="J127" s="16"/>
      <c r="K127" s="16"/>
      <c r="L127" s="16"/>
      <c r="M127" s="16"/>
      <c r="N127" s="16"/>
      <c r="O127" s="16"/>
      <c r="P127" s="62"/>
      <c r="Q127" s="16"/>
      <c r="R127" s="16"/>
      <c r="S127" s="16"/>
      <c r="T127" s="16"/>
      <c r="U127" s="16"/>
      <c r="V127" s="16"/>
      <c r="W127" s="16"/>
      <c r="X127" s="16"/>
      <c r="Y127" s="20"/>
      <c r="Z127" s="16"/>
      <c r="AA127" s="16"/>
      <c r="AB127" s="16"/>
      <c r="AC127" s="5"/>
      <c r="AD127" s="5"/>
      <c r="AE127" s="5"/>
      <c r="AF127" s="5"/>
      <c r="AG127" s="5"/>
      <c r="AH127" s="5"/>
      <c r="AI127" s="5"/>
      <c r="AJ127" s="5"/>
      <c r="AK127" s="62"/>
      <c r="AL127" s="62"/>
      <c r="AM127" s="62"/>
      <c r="AN127" s="5"/>
      <c r="AO127" s="5"/>
      <c r="AP127" s="5"/>
      <c r="AQ127" s="5"/>
      <c r="AR127" s="5"/>
      <c r="AS127" s="22"/>
    </row>
    <row r="128" spans="1:54" ht="21">
      <c r="B128" s="1023" t="s">
        <v>652</v>
      </c>
      <c r="C128" s="723"/>
      <c r="D128" s="999"/>
      <c r="E128" s="240" t="s">
        <v>653</v>
      </c>
      <c r="F128" s="240"/>
      <c r="G128" s="240"/>
      <c r="H128" s="240"/>
      <c r="I128" s="526"/>
      <c r="J128" s="526"/>
      <c r="K128" s="526"/>
      <c r="L128" s="526"/>
      <c r="M128" s="526"/>
      <c r="N128" s="526"/>
      <c r="O128" s="526"/>
      <c r="P128" s="526"/>
      <c r="Q128" s="526"/>
      <c r="R128" s="526"/>
      <c r="S128" s="526"/>
      <c r="T128" s="526"/>
      <c r="U128" s="526"/>
      <c r="V128" s="526"/>
      <c r="W128" s="526"/>
      <c r="X128" s="526"/>
      <c r="Y128" s="526"/>
      <c r="Z128" s="526"/>
      <c r="AA128" s="526"/>
      <c r="AB128" s="526"/>
      <c r="AC128" s="526"/>
      <c r="AD128" s="526"/>
      <c r="AE128" s="526"/>
      <c r="AF128" s="526"/>
      <c r="AG128" s="526"/>
      <c r="AH128" s="526"/>
      <c r="AI128" s="526"/>
      <c r="AJ128" s="526"/>
      <c r="AK128" s="526"/>
      <c r="AL128" s="526"/>
      <c r="AM128" s="526"/>
      <c r="AN128" s="526"/>
      <c r="AO128" s="526"/>
      <c r="AP128" s="526"/>
      <c r="AQ128" s="526"/>
      <c r="AR128" s="526"/>
      <c r="AS128" s="526"/>
      <c r="AT128" s="526"/>
      <c r="AU128" s="526"/>
      <c r="AV128" s="526"/>
      <c r="AW128" s="526"/>
      <c r="AX128" s="526"/>
      <c r="AY128" s="526"/>
      <c r="AZ128" s="22"/>
      <c r="BA128" s="5"/>
      <c r="BB128" s="5"/>
    </row>
    <row r="129" spans="1:54">
      <c r="B129" s="1023" t="s">
        <v>652</v>
      </c>
      <c r="C129" s="723"/>
      <c r="D129" s="1000"/>
      <c r="E129" s="386" t="s">
        <v>483</v>
      </c>
      <c r="F129" s="386"/>
      <c r="G129" s="386" t="s">
        <v>420</v>
      </c>
      <c r="H129" s="387"/>
      <c r="I129" s="387">
        <f t="shared" ref="I129:AX129" ca="1" si="37">OFFSET(I129,0,-1)+1</f>
        <v>1</v>
      </c>
      <c r="J129" s="387">
        <f t="shared" ca="1" si="37"/>
        <v>2</v>
      </c>
      <c r="K129" s="387">
        <f t="shared" ca="1" si="37"/>
        <v>3</v>
      </c>
      <c r="L129" s="387">
        <f t="shared" ca="1" si="37"/>
        <v>4</v>
      </c>
      <c r="M129" s="387">
        <f t="shared" ca="1" si="37"/>
        <v>5</v>
      </c>
      <c r="N129" s="387">
        <f t="shared" ca="1" si="37"/>
        <v>6</v>
      </c>
      <c r="O129" s="387">
        <f t="shared" ca="1" si="37"/>
        <v>7</v>
      </c>
      <c r="P129" s="387">
        <f t="shared" ca="1" si="37"/>
        <v>8</v>
      </c>
      <c r="Q129" s="387">
        <f t="shared" ca="1" si="37"/>
        <v>9</v>
      </c>
      <c r="R129" s="387">
        <f t="shared" ca="1" si="37"/>
        <v>10</v>
      </c>
      <c r="S129" s="387">
        <f t="shared" ca="1" si="37"/>
        <v>11</v>
      </c>
      <c r="T129" s="387">
        <f t="shared" ca="1" si="37"/>
        <v>12</v>
      </c>
      <c r="U129" s="387">
        <f t="shared" ca="1" si="37"/>
        <v>13</v>
      </c>
      <c r="V129" s="387">
        <f t="shared" ca="1" si="37"/>
        <v>14</v>
      </c>
      <c r="W129" s="387">
        <f t="shared" ca="1" si="37"/>
        <v>15</v>
      </c>
      <c r="X129" s="387">
        <f t="shared" ca="1" si="37"/>
        <v>16</v>
      </c>
      <c r="Y129" s="387">
        <f t="shared" ca="1" si="37"/>
        <v>17</v>
      </c>
      <c r="Z129" s="387">
        <f t="shared" ca="1" si="37"/>
        <v>18</v>
      </c>
      <c r="AA129" s="387">
        <f t="shared" ca="1" si="37"/>
        <v>19</v>
      </c>
      <c r="AB129" s="387">
        <f t="shared" ca="1" si="37"/>
        <v>20</v>
      </c>
      <c r="AC129" s="387">
        <f t="shared" ca="1" si="37"/>
        <v>21</v>
      </c>
      <c r="AD129" s="387">
        <f t="shared" ca="1" si="37"/>
        <v>22</v>
      </c>
      <c r="AE129" s="387">
        <f t="shared" ca="1" si="37"/>
        <v>23</v>
      </c>
      <c r="AF129" s="387">
        <f t="shared" ca="1" si="37"/>
        <v>24</v>
      </c>
      <c r="AG129" s="387">
        <f t="shared" ca="1" si="37"/>
        <v>25</v>
      </c>
      <c r="AH129" s="387">
        <f t="shared" ca="1" si="37"/>
        <v>26</v>
      </c>
      <c r="AI129" s="387">
        <f t="shared" ca="1" si="37"/>
        <v>27</v>
      </c>
      <c r="AJ129" s="387">
        <f t="shared" ca="1" si="37"/>
        <v>28</v>
      </c>
      <c r="AK129" s="387">
        <f t="shared" ca="1" si="37"/>
        <v>29</v>
      </c>
      <c r="AL129" s="387">
        <f t="shared" ca="1" si="37"/>
        <v>30</v>
      </c>
      <c r="AM129" s="387">
        <f t="shared" ca="1" si="37"/>
        <v>31</v>
      </c>
      <c r="AN129" s="387">
        <f t="shared" ca="1" si="37"/>
        <v>32</v>
      </c>
      <c r="AO129" s="387">
        <f t="shared" ca="1" si="37"/>
        <v>33</v>
      </c>
      <c r="AP129" s="387">
        <f t="shared" ca="1" si="37"/>
        <v>34</v>
      </c>
      <c r="AQ129" s="387">
        <f t="shared" ca="1" si="37"/>
        <v>35</v>
      </c>
      <c r="AR129" s="387">
        <f t="shared" ca="1" si="37"/>
        <v>36</v>
      </c>
      <c r="AS129" s="387">
        <f t="shared" ca="1" si="37"/>
        <v>37</v>
      </c>
      <c r="AT129" s="387">
        <f t="shared" ca="1" si="37"/>
        <v>38</v>
      </c>
      <c r="AU129" s="387">
        <f t="shared" ca="1" si="37"/>
        <v>39</v>
      </c>
      <c r="AV129" s="387">
        <f t="shared" ca="1" si="37"/>
        <v>40</v>
      </c>
      <c r="AW129" s="387">
        <f t="shared" ca="1" si="37"/>
        <v>41</v>
      </c>
      <c r="AX129" s="387">
        <f t="shared" ca="1" si="37"/>
        <v>42</v>
      </c>
      <c r="AY129" s="387"/>
      <c r="AZ129" s="22"/>
      <c r="BA129" s="5"/>
      <c r="BB129" s="5"/>
    </row>
    <row r="130" spans="1:54" s="2" customFormat="1" ht="18.75">
      <c r="A130" s="309"/>
      <c r="B130" s="1023" t="s">
        <v>652</v>
      </c>
      <c r="C130" s="723"/>
      <c r="D130" s="1002"/>
      <c r="E130" s="403" t="s">
        <v>540</v>
      </c>
      <c r="F130" s="404"/>
      <c r="G130" s="403"/>
      <c r="H130" s="511"/>
      <c r="I130" s="527"/>
      <c r="J130" s="527"/>
      <c r="K130" s="527"/>
      <c r="L130" s="527"/>
      <c r="M130" s="527"/>
      <c r="N130" s="527"/>
      <c r="O130" s="527"/>
      <c r="P130" s="527"/>
      <c r="Q130" s="527"/>
      <c r="R130" s="527"/>
      <c r="S130" s="527"/>
      <c r="T130" s="527"/>
      <c r="U130" s="527"/>
      <c r="V130" s="527"/>
      <c r="W130" s="527"/>
      <c r="X130" s="527"/>
      <c r="Y130" s="527"/>
      <c r="Z130" s="527"/>
      <c r="AA130" s="528"/>
      <c r="AB130" s="527"/>
      <c r="AC130" s="527"/>
      <c r="AD130" s="527"/>
      <c r="AE130" s="527"/>
      <c r="AF130" s="527"/>
      <c r="AG130" s="527"/>
      <c r="AH130" s="527"/>
      <c r="AI130" s="527"/>
      <c r="AJ130" s="527"/>
      <c r="AK130" s="527"/>
      <c r="AL130" s="527"/>
      <c r="AM130" s="684" t="s">
        <v>541</v>
      </c>
      <c r="AN130" s="684" t="s">
        <v>541</v>
      </c>
      <c r="AO130" s="684" t="s">
        <v>541</v>
      </c>
      <c r="AP130" s="684" t="s">
        <v>541</v>
      </c>
      <c r="AQ130" s="684" t="s">
        <v>541</v>
      </c>
      <c r="AR130" s="684" t="s">
        <v>541</v>
      </c>
      <c r="AS130" s="684" t="s">
        <v>541</v>
      </c>
      <c r="AT130" s="684" t="s">
        <v>541</v>
      </c>
      <c r="AU130" s="684" t="s">
        <v>541</v>
      </c>
      <c r="AV130" s="684" t="s">
        <v>541</v>
      </c>
      <c r="AW130" s="684" t="s">
        <v>541</v>
      </c>
      <c r="AX130" s="684" t="s">
        <v>541</v>
      </c>
      <c r="AY130" s="511"/>
      <c r="AZ130" s="22"/>
      <c r="BA130" s="4"/>
      <c r="BB130" s="4"/>
    </row>
    <row r="131" spans="1:54" ht="51">
      <c r="B131" s="1023" t="s">
        <v>652</v>
      </c>
      <c r="C131" s="723"/>
      <c r="D131" s="999"/>
      <c r="E131" s="395" t="s">
        <v>542</v>
      </c>
      <c r="F131" s="396"/>
      <c r="G131" s="395" t="s">
        <v>68</v>
      </c>
      <c r="H131" s="408"/>
      <c r="I131" s="494" t="s">
        <v>181</v>
      </c>
      <c r="J131" s="494" t="s">
        <v>654</v>
      </c>
      <c r="K131" s="494" t="s">
        <v>544</v>
      </c>
      <c r="L131" s="494" t="s">
        <v>545</v>
      </c>
      <c r="M131" s="494" t="s">
        <v>546</v>
      </c>
      <c r="N131" s="494" t="s">
        <v>547</v>
      </c>
      <c r="O131" s="494" t="s">
        <v>1054</v>
      </c>
      <c r="P131" s="494" t="s">
        <v>548</v>
      </c>
      <c r="Q131" s="494" t="s">
        <v>655</v>
      </c>
      <c r="R131" s="494" t="s">
        <v>551</v>
      </c>
      <c r="S131" s="494" t="s">
        <v>1014</v>
      </c>
      <c r="T131" s="494" t="s">
        <v>656</v>
      </c>
      <c r="U131" s="494" t="s">
        <v>553</v>
      </c>
      <c r="V131" s="494" t="s">
        <v>554</v>
      </c>
      <c r="W131" s="494" t="s">
        <v>555</v>
      </c>
      <c r="X131" s="494" t="s">
        <v>556</v>
      </c>
      <c r="Y131" s="494" t="s">
        <v>557</v>
      </c>
      <c r="Z131" s="494" t="s">
        <v>558</v>
      </c>
      <c r="AA131" s="494" t="s">
        <v>559</v>
      </c>
      <c r="AB131" s="494" t="s">
        <v>560</v>
      </c>
      <c r="AC131" s="494" t="s">
        <v>561</v>
      </c>
      <c r="AD131" s="494" t="s">
        <v>562</v>
      </c>
      <c r="AE131" s="494" t="s">
        <v>563</v>
      </c>
      <c r="AF131" s="494" t="s">
        <v>657</v>
      </c>
      <c r="AG131" s="494" t="s">
        <v>658</v>
      </c>
      <c r="AH131" s="494" t="s">
        <v>659</v>
      </c>
      <c r="AI131" s="494" t="s">
        <v>660</v>
      </c>
      <c r="AJ131" s="494" t="s">
        <v>566</v>
      </c>
      <c r="AK131" s="494" t="s">
        <v>567</v>
      </c>
      <c r="AL131" s="494" t="s">
        <v>568</v>
      </c>
      <c r="AM131" s="494" t="s">
        <v>661</v>
      </c>
      <c r="AN131" s="494" t="s">
        <v>662</v>
      </c>
      <c r="AO131" s="494" t="s">
        <v>663</v>
      </c>
      <c r="AP131" s="566" t="s">
        <v>569</v>
      </c>
      <c r="AQ131" s="566" t="s">
        <v>570</v>
      </c>
      <c r="AR131" s="567" t="s">
        <v>664</v>
      </c>
      <c r="AS131" s="567" t="s">
        <v>665</v>
      </c>
      <c r="AT131" s="567"/>
      <c r="AU131" s="567"/>
      <c r="AV131" s="567"/>
      <c r="AW131" s="567"/>
      <c r="AX131" s="567"/>
      <c r="AY131" s="529"/>
      <c r="AZ131" s="22"/>
      <c r="BA131" s="5"/>
      <c r="BB131" s="5"/>
    </row>
    <row r="132" spans="1:54" ht="38.25">
      <c r="B132" s="1023" t="s">
        <v>652</v>
      </c>
      <c r="C132" s="723"/>
      <c r="D132" s="999"/>
      <c r="E132" s="395" t="s">
        <v>571</v>
      </c>
      <c r="F132" s="396"/>
      <c r="G132" s="512"/>
      <c r="H132" s="408"/>
      <c r="I132" s="513"/>
      <c r="J132" s="513"/>
      <c r="K132" s="513" t="s">
        <v>48</v>
      </c>
      <c r="L132" s="513" t="s">
        <v>48</v>
      </c>
      <c r="M132" s="513" t="s">
        <v>48</v>
      </c>
      <c r="N132" s="513" t="s">
        <v>48</v>
      </c>
      <c r="O132" s="513"/>
      <c r="P132" s="513" t="s">
        <v>48</v>
      </c>
      <c r="Q132" s="513"/>
      <c r="R132" s="513"/>
      <c r="S132" s="513"/>
      <c r="T132" s="513"/>
      <c r="U132" s="513"/>
      <c r="V132" s="513"/>
      <c r="W132" s="513"/>
      <c r="X132" s="513"/>
      <c r="Y132" s="513"/>
      <c r="Z132" s="513" t="s">
        <v>48</v>
      </c>
      <c r="AA132" s="513" t="s">
        <v>48</v>
      </c>
      <c r="AB132" s="513"/>
      <c r="AC132" s="513"/>
      <c r="AD132" s="513"/>
      <c r="AE132" s="513"/>
      <c r="AF132" s="513"/>
      <c r="AG132" s="513"/>
      <c r="AH132" s="513"/>
      <c r="AI132" s="513"/>
      <c r="AJ132" s="513"/>
      <c r="AK132" s="513"/>
      <c r="AL132" s="513"/>
      <c r="AM132" s="513"/>
      <c r="AN132" s="513"/>
      <c r="AO132" s="513"/>
      <c r="AP132" s="563" t="s">
        <v>572</v>
      </c>
      <c r="AQ132" s="563" t="s">
        <v>572</v>
      </c>
      <c r="AR132" s="563" t="s">
        <v>666</v>
      </c>
      <c r="AS132" s="563"/>
      <c r="AT132" s="563"/>
      <c r="AU132" s="563"/>
      <c r="AV132" s="563"/>
      <c r="AW132" s="563"/>
      <c r="AX132" s="563"/>
      <c r="AY132" s="408"/>
      <c r="AZ132" s="22"/>
    </row>
    <row r="133" spans="1:54">
      <c r="B133" s="1023" t="s">
        <v>652</v>
      </c>
      <c r="C133" s="723"/>
      <c r="D133" s="1000" t="s">
        <v>48</v>
      </c>
      <c r="E133" s="395" t="s">
        <v>573</v>
      </c>
      <c r="F133" s="396"/>
      <c r="G133" s="395"/>
      <c r="H133" s="408"/>
      <c r="I133" s="494" t="str">
        <f t="shared" ref="I133:T133" si="38">gebouw</f>
        <v>gebouw</v>
      </c>
      <c r="J133" s="494" t="str">
        <f>gebouw</f>
        <v>gebouw</v>
      </c>
      <c r="K133" s="494" t="str">
        <f t="shared" si="38"/>
        <v>gebouw</v>
      </c>
      <c r="L133" s="494" t="str">
        <f t="shared" si="38"/>
        <v>gebouw</v>
      </c>
      <c r="M133" s="494" t="str">
        <f t="shared" si="38"/>
        <v>gebouw</v>
      </c>
      <c r="N133" s="494" t="str">
        <f t="shared" si="38"/>
        <v>gebouw</v>
      </c>
      <c r="O133" s="494" t="str">
        <f t="shared" si="38"/>
        <v>gebouw</v>
      </c>
      <c r="P133" s="494" t="str">
        <f t="shared" si="38"/>
        <v>gebouw</v>
      </c>
      <c r="Q133" s="494" t="str">
        <f t="shared" si="38"/>
        <v>gebouw</v>
      </c>
      <c r="R133" s="494" t="s">
        <v>667</v>
      </c>
      <c r="S133" s="494" t="str">
        <f t="shared" si="38"/>
        <v>gebouw</v>
      </c>
      <c r="T133" s="494" t="str">
        <f t="shared" si="38"/>
        <v>gebouw</v>
      </c>
      <c r="U133" s="494" t="s">
        <v>667</v>
      </c>
      <c r="V133" s="494" t="str">
        <f t="shared" ref="V133:AB133" si="39">gebied</f>
        <v>gebied</v>
      </c>
      <c r="W133" s="494" t="str">
        <f t="shared" si="39"/>
        <v>gebied</v>
      </c>
      <c r="X133" s="494" t="str">
        <f t="shared" si="39"/>
        <v>gebied</v>
      </c>
      <c r="Y133" s="494" t="str">
        <f t="shared" si="39"/>
        <v>gebied</v>
      </c>
      <c r="Z133" s="494" t="str">
        <f t="shared" si="39"/>
        <v>gebied</v>
      </c>
      <c r="AA133" s="494" t="str">
        <f t="shared" si="39"/>
        <v>gebied</v>
      </c>
      <c r="AB133" s="494" t="str">
        <f t="shared" si="39"/>
        <v>gebied</v>
      </c>
      <c r="AC133" s="494" t="str">
        <f>centraal</f>
        <v>centraal</v>
      </c>
      <c r="AD133" s="494" t="str">
        <f>centraal</f>
        <v>centraal</v>
      </c>
      <c r="AE133" s="494" t="s">
        <v>667</v>
      </c>
      <c r="AF133" s="494" t="str">
        <f>gebouw</f>
        <v>gebouw</v>
      </c>
      <c r="AG133" s="494" t="str">
        <f>gebouw</f>
        <v>gebouw</v>
      </c>
      <c r="AH133" s="494" t="s">
        <v>667</v>
      </c>
      <c r="AI133" s="494" t="s">
        <v>574</v>
      </c>
      <c r="AJ133" s="494" t="s">
        <v>575</v>
      </c>
      <c r="AK133" s="494" t="s">
        <v>575</v>
      </c>
      <c r="AL133" s="494" t="s">
        <v>575</v>
      </c>
      <c r="AM133" s="494" t="s">
        <v>667</v>
      </c>
      <c r="AN133" s="494" t="s">
        <v>667</v>
      </c>
      <c r="AO133" s="494" t="s">
        <v>574</v>
      </c>
      <c r="AP133" s="560" t="s">
        <v>575</v>
      </c>
      <c r="AQ133" s="560" t="s">
        <v>575</v>
      </c>
      <c r="AR133" s="560" t="s">
        <v>574</v>
      </c>
      <c r="AS133" s="560" t="s">
        <v>574</v>
      </c>
      <c r="AT133" s="560"/>
      <c r="AU133" s="560"/>
      <c r="AV133" s="560"/>
      <c r="AW133" s="560"/>
      <c r="AX133" s="560"/>
      <c r="AY133" s="529"/>
      <c r="AZ133" s="22"/>
    </row>
    <row r="134" spans="1:54">
      <c r="B134" s="1023" t="s">
        <v>652</v>
      </c>
      <c r="C134" s="723"/>
      <c r="D134" s="1000" t="s">
        <v>48</v>
      </c>
      <c r="E134" s="395" t="s">
        <v>2017</v>
      </c>
      <c r="F134" s="396"/>
      <c r="G134" s="395" t="s">
        <v>68</v>
      </c>
      <c r="H134" s="408"/>
      <c r="I134" s="409">
        <v>0</v>
      </c>
      <c r="J134" s="409">
        <v>0</v>
      </c>
      <c r="K134" s="409">
        <v>0</v>
      </c>
      <c r="L134" s="409">
        <v>0</v>
      </c>
      <c r="M134" s="409">
        <v>0</v>
      </c>
      <c r="N134" s="409">
        <v>0</v>
      </c>
      <c r="O134" s="409">
        <v>0</v>
      </c>
      <c r="P134" s="409">
        <v>0</v>
      </c>
      <c r="Q134" s="409">
        <v>0</v>
      </c>
      <c r="R134" s="409">
        <v>0</v>
      </c>
      <c r="S134" s="409">
        <v>0</v>
      </c>
      <c r="T134" s="409">
        <v>0</v>
      </c>
      <c r="U134" s="409">
        <v>0</v>
      </c>
      <c r="V134" s="409">
        <v>0</v>
      </c>
      <c r="W134" s="409">
        <v>0</v>
      </c>
      <c r="X134" s="409">
        <v>0</v>
      </c>
      <c r="Y134" s="409">
        <v>0</v>
      </c>
      <c r="Z134" s="409">
        <v>0</v>
      </c>
      <c r="AA134" s="409">
        <v>0</v>
      </c>
      <c r="AB134" s="409">
        <v>0</v>
      </c>
      <c r="AC134" s="409">
        <v>0</v>
      </c>
      <c r="AD134" s="409">
        <v>0</v>
      </c>
      <c r="AE134" s="409">
        <v>0</v>
      </c>
      <c r="AF134" s="409">
        <v>0</v>
      </c>
      <c r="AG134" s="409">
        <v>0</v>
      </c>
      <c r="AH134" s="409">
        <v>0</v>
      </c>
      <c r="AI134" s="409">
        <v>0</v>
      </c>
      <c r="AJ134" s="409">
        <v>0</v>
      </c>
      <c r="AK134" s="409">
        <v>0</v>
      </c>
      <c r="AL134" s="409">
        <v>0</v>
      </c>
      <c r="AM134" s="409">
        <v>0</v>
      </c>
      <c r="AN134" s="409">
        <v>0</v>
      </c>
      <c r="AO134" s="409">
        <v>0</v>
      </c>
      <c r="AP134" s="569">
        <v>1</v>
      </c>
      <c r="AQ134" s="569">
        <v>1</v>
      </c>
      <c r="AR134" s="569">
        <v>0</v>
      </c>
      <c r="AS134" s="569">
        <v>0</v>
      </c>
      <c r="AT134" s="569"/>
      <c r="AU134" s="569"/>
      <c r="AV134" s="569"/>
      <c r="AW134" s="569"/>
      <c r="AX134" s="569"/>
      <c r="AY134" s="408"/>
      <c r="AZ134" s="22"/>
    </row>
    <row r="135" spans="1:54">
      <c r="B135" s="1023" t="s">
        <v>652</v>
      </c>
      <c r="C135" s="723"/>
      <c r="D135" s="999"/>
      <c r="E135" s="395" t="s">
        <v>576</v>
      </c>
      <c r="F135" s="396"/>
      <c r="G135" s="395" t="s">
        <v>68</v>
      </c>
      <c r="H135" s="408"/>
      <c r="I135" s="409">
        <v>0</v>
      </c>
      <c r="J135" s="409">
        <v>0</v>
      </c>
      <c r="K135" s="409">
        <v>1</v>
      </c>
      <c r="L135" s="409">
        <v>1</v>
      </c>
      <c r="M135" s="409">
        <v>1</v>
      </c>
      <c r="N135" s="409">
        <v>1</v>
      </c>
      <c r="O135" s="409">
        <v>1</v>
      </c>
      <c r="P135" s="409">
        <v>1</v>
      </c>
      <c r="Q135" s="409">
        <v>1</v>
      </c>
      <c r="R135" s="409">
        <v>1</v>
      </c>
      <c r="S135" s="409">
        <v>1</v>
      </c>
      <c r="T135" s="409">
        <v>0</v>
      </c>
      <c r="U135" s="409">
        <v>0</v>
      </c>
      <c r="V135" s="409">
        <v>0</v>
      </c>
      <c r="W135" s="409">
        <v>0</v>
      </c>
      <c r="X135" s="409">
        <v>0</v>
      </c>
      <c r="Y135" s="409">
        <v>0</v>
      </c>
      <c r="Z135" s="409">
        <v>0</v>
      </c>
      <c r="AA135" s="409">
        <v>0</v>
      </c>
      <c r="AB135" s="409">
        <v>0</v>
      </c>
      <c r="AC135" s="409">
        <v>0</v>
      </c>
      <c r="AD135" s="409">
        <v>0</v>
      </c>
      <c r="AE135" s="409">
        <v>0</v>
      </c>
      <c r="AF135" s="409">
        <v>0</v>
      </c>
      <c r="AG135" s="409">
        <v>0</v>
      </c>
      <c r="AH135" s="409">
        <v>0</v>
      </c>
      <c r="AI135" s="409">
        <v>0</v>
      </c>
      <c r="AJ135" s="409">
        <v>0</v>
      </c>
      <c r="AK135" s="409">
        <v>0</v>
      </c>
      <c r="AL135" s="409">
        <v>0</v>
      </c>
      <c r="AM135" s="409">
        <v>0</v>
      </c>
      <c r="AN135" s="409">
        <v>0</v>
      </c>
      <c r="AO135" s="409">
        <v>0</v>
      </c>
      <c r="AP135" s="569">
        <v>0</v>
      </c>
      <c r="AQ135" s="569">
        <v>0</v>
      </c>
      <c r="AR135" s="569">
        <v>0</v>
      </c>
      <c r="AS135" s="569">
        <v>0</v>
      </c>
      <c r="AT135" s="569"/>
      <c r="AU135" s="569"/>
      <c r="AV135" s="569"/>
      <c r="AW135" s="569"/>
      <c r="AX135" s="569"/>
      <c r="AY135" s="529"/>
      <c r="AZ135" s="22"/>
    </row>
    <row r="136" spans="1:54">
      <c r="B136" s="1023" t="s">
        <v>652</v>
      </c>
      <c r="C136" s="723"/>
      <c r="D136" s="999"/>
      <c r="E136" s="395" t="s">
        <v>577</v>
      </c>
      <c r="F136" s="396"/>
      <c r="G136" s="395" t="s">
        <v>68</v>
      </c>
      <c r="H136" s="408"/>
      <c r="I136" s="409">
        <v>0</v>
      </c>
      <c r="J136" s="409">
        <v>0</v>
      </c>
      <c r="K136" s="409">
        <v>1</v>
      </c>
      <c r="L136" s="409">
        <v>1</v>
      </c>
      <c r="M136" s="409">
        <v>1</v>
      </c>
      <c r="N136" s="409">
        <v>0</v>
      </c>
      <c r="O136" s="409">
        <v>1</v>
      </c>
      <c r="P136" s="409">
        <v>0</v>
      </c>
      <c r="Q136" s="409">
        <v>1</v>
      </c>
      <c r="R136" s="409">
        <v>1</v>
      </c>
      <c r="S136" s="409">
        <v>1</v>
      </c>
      <c r="T136" s="409">
        <v>0</v>
      </c>
      <c r="U136" s="409">
        <v>0</v>
      </c>
      <c r="V136" s="409">
        <v>0</v>
      </c>
      <c r="W136" s="409">
        <v>0</v>
      </c>
      <c r="X136" s="409">
        <v>0</v>
      </c>
      <c r="Y136" s="409">
        <v>0</v>
      </c>
      <c r="Z136" s="409">
        <v>0</v>
      </c>
      <c r="AA136" s="409">
        <v>0</v>
      </c>
      <c r="AB136" s="409">
        <v>0</v>
      </c>
      <c r="AC136" s="409">
        <v>0</v>
      </c>
      <c r="AD136" s="409">
        <v>0</v>
      </c>
      <c r="AE136" s="409">
        <v>0</v>
      </c>
      <c r="AF136" s="409">
        <v>0</v>
      </c>
      <c r="AG136" s="409">
        <v>0</v>
      </c>
      <c r="AH136" s="409">
        <v>0</v>
      </c>
      <c r="AI136" s="409">
        <v>0</v>
      </c>
      <c r="AJ136" s="409">
        <v>0</v>
      </c>
      <c r="AK136" s="409">
        <v>0</v>
      </c>
      <c r="AL136" s="409">
        <v>0</v>
      </c>
      <c r="AM136" s="409">
        <v>0</v>
      </c>
      <c r="AN136" s="409">
        <v>0</v>
      </c>
      <c r="AO136" s="409">
        <v>0</v>
      </c>
      <c r="AP136" s="569">
        <v>0</v>
      </c>
      <c r="AQ136" s="569">
        <v>0</v>
      </c>
      <c r="AR136" s="569">
        <v>0</v>
      </c>
      <c r="AS136" s="569">
        <v>0</v>
      </c>
      <c r="AT136" s="569"/>
      <c r="AU136" s="569"/>
      <c r="AV136" s="569"/>
      <c r="AW136" s="569"/>
      <c r="AX136" s="569"/>
      <c r="AY136" s="529"/>
      <c r="AZ136" s="22"/>
    </row>
    <row r="137" spans="1:54" ht="18.75">
      <c r="B137" s="1023" t="s">
        <v>652</v>
      </c>
      <c r="C137" s="723"/>
      <c r="D137" s="999"/>
      <c r="E137" s="403" t="s">
        <v>668</v>
      </c>
      <c r="F137" s="404"/>
      <c r="G137" s="405"/>
      <c r="H137" s="509"/>
      <c r="I137" s="509"/>
      <c r="J137" s="509"/>
      <c r="K137" s="509"/>
      <c r="L137" s="509"/>
      <c r="M137" s="509"/>
      <c r="N137" s="509"/>
      <c r="O137" s="509"/>
      <c r="P137" s="509"/>
      <c r="Q137" s="509"/>
      <c r="R137" s="509"/>
      <c r="S137" s="509"/>
      <c r="T137" s="509"/>
      <c r="U137" s="509"/>
      <c r="V137" s="509"/>
      <c r="W137" s="509"/>
      <c r="X137" s="509"/>
      <c r="Y137" s="509"/>
      <c r="Z137" s="509"/>
      <c r="AA137" s="510"/>
      <c r="AB137" s="509"/>
      <c r="AC137" s="509"/>
      <c r="AD137" s="509"/>
      <c r="AE137" s="509"/>
      <c r="AF137" s="509"/>
      <c r="AG137" s="509"/>
      <c r="AH137" s="509"/>
      <c r="AI137" s="509"/>
      <c r="AJ137" s="509"/>
      <c r="AK137" s="509"/>
      <c r="AL137" s="509"/>
      <c r="AM137" s="509"/>
      <c r="AN137" s="509"/>
      <c r="AO137" s="509"/>
      <c r="AP137" s="509"/>
      <c r="AQ137" s="509"/>
      <c r="AR137" s="509"/>
      <c r="AS137" s="509"/>
      <c r="AT137" s="509"/>
      <c r="AU137" s="509"/>
      <c r="AV137" s="509"/>
      <c r="AW137" s="509"/>
      <c r="AX137" s="509"/>
      <c r="AY137" s="515"/>
      <c r="AZ137" s="22"/>
    </row>
    <row r="138" spans="1:54">
      <c r="B138" s="1023" t="s">
        <v>652</v>
      </c>
      <c r="C138" s="723"/>
      <c r="D138" s="999"/>
      <c r="E138" s="395" t="s">
        <v>669</v>
      </c>
      <c r="F138" s="396"/>
      <c r="G138" s="395" t="s">
        <v>68</v>
      </c>
      <c r="H138" s="408"/>
      <c r="I138" s="407">
        <v>0.85</v>
      </c>
      <c r="J138" s="407">
        <v>1</v>
      </c>
      <c r="K138" s="407">
        <v>0.85</v>
      </c>
      <c r="L138" s="407">
        <v>0.85</v>
      </c>
      <c r="M138" s="407">
        <v>0.85</v>
      </c>
      <c r="N138" s="407">
        <v>0.85</v>
      </c>
      <c r="O138" s="407">
        <v>0.85</v>
      </c>
      <c r="P138" s="407">
        <v>0.85</v>
      </c>
      <c r="Q138" s="407">
        <v>0.85</v>
      </c>
      <c r="R138" s="407">
        <v>0.85</v>
      </c>
      <c r="S138" s="407">
        <v>0.85</v>
      </c>
      <c r="T138" s="407">
        <v>1</v>
      </c>
      <c r="U138" s="407">
        <v>0.85</v>
      </c>
      <c r="V138" s="407">
        <v>0.85</v>
      </c>
      <c r="W138" s="407">
        <v>0.85</v>
      </c>
      <c r="X138" s="407">
        <v>0.85</v>
      </c>
      <c r="Y138" s="407">
        <v>0.85</v>
      </c>
      <c r="Z138" s="407">
        <v>0.85</v>
      </c>
      <c r="AA138" s="407">
        <v>0.85</v>
      </c>
      <c r="AB138" s="407">
        <v>0.85</v>
      </c>
      <c r="AC138" s="407">
        <v>0.85</v>
      </c>
      <c r="AD138" s="407">
        <v>0.85</v>
      </c>
      <c r="AE138" s="407">
        <v>0.85</v>
      </c>
      <c r="AF138" s="407">
        <v>0.85</v>
      </c>
      <c r="AG138" s="407">
        <v>0.85</v>
      </c>
      <c r="AH138" s="407">
        <v>0.85</v>
      </c>
      <c r="AI138" s="407">
        <v>0.85</v>
      </c>
      <c r="AJ138" s="407">
        <v>0.85</v>
      </c>
      <c r="AK138" s="407">
        <v>0.85</v>
      </c>
      <c r="AL138" s="407">
        <v>0.85</v>
      </c>
      <c r="AM138" s="407">
        <v>0.5</v>
      </c>
      <c r="AN138" s="407">
        <v>0.7</v>
      </c>
      <c r="AO138" s="407">
        <v>1</v>
      </c>
      <c r="AP138" s="570">
        <v>1</v>
      </c>
      <c r="AQ138" s="570">
        <v>1</v>
      </c>
      <c r="AR138" s="570">
        <v>1</v>
      </c>
      <c r="AS138" s="570">
        <v>1</v>
      </c>
      <c r="AT138" s="570"/>
      <c r="AU138" s="570"/>
      <c r="AV138" s="570"/>
      <c r="AW138" s="570"/>
      <c r="AX138" s="570"/>
      <c r="AY138" s="530"/>
      <c r="AZ138" s="22"/>
    </row>
    <row r="139" spans="1:54" ht="18.75">
      <c r="B139" s="1023" t="s">
        <v>652</v>
      </c>
      <c r="C139" s="723"/>
      <c r="D139" s="999"/>
      <c r="E139" s="403" t="s">
        <v>670</v>
      </c>
      <c r="F139" s="404"/>
      <c r="G139" s="405"/>
      <c r="H139" s="509"/>
      <c r="I139" s="509"/>
      <c r="J139" s="509"/>
      <c r="K139" s="509"/>
      <c r="L139" s="509"/>
      <c r="M139" s="509"/>
      <c r="N139" s="509"/>
      <c r="O139" s="509"/>
      <c r="P139" s="509"/>
      <c r="Q139" s="509"/>
      <c r="R139" s="509"/>
      <c r="S139" s="509"/>
      <c r="T139" s="509"/>
      <c r="U139" s="509"/>
      <c r="V139" s="509"/>
      <c r="W139" s="509"/>
      <c r="X139" s="509"/>
      <c r="Y139" s="509"/>
      <c r="Z139" s="509"/>
      <c r="AA139" s="510"/>
      <c r="AB139" s="509"/>
      <c r="AC139" s="509"/>
      <c r="AD139" s="509"/>
      <c r="AE139" s="509"/>
      <c r="AF139" s="509"/>
      <c r="AG139" s="509"/>
      <c r="AH139" s="509"/>
      <c r="AI139" s="509"/>
      <c r="AJ139" s="509"/>
      <c r="AK139" s="509"/>
      <c r="AL139" s="509"/>
      <c r="AM139" s="509"/>
      <c r="AN139" s="509"/>
      <c r="AO139" s="509"/>
      <c r="AP139" s="509"/>
      <c r="AQ139" s="509"/>
      <c r="AR139" s="509"/>
      <c r="AS139" s="509"/>
      <c r="AT139" s="509"/>
      <c r="AU139" s="509"/>
      <c r="AV139" s="509"/>
      <c r="AW139" s="509"/>
      <c r="AX139" s="509"/>
      <c r="AY139" s="515"/>
      <c r="AZ139" s="22"/>
    </row>
    <row r="140" spans="1:54">
      <c r="B140" s="1023" t="s">
        <v>652</v>
      </c>
      <c r="C140" s="723"/>
      <c r="D140" s="999"/>
      <c r="E140" s="395" t="s">
        <v>671</v>
      </c>
      <c r="F140" s="396"/>
      <c r="G140" s="395" t="s">
        <v>582</v>
      </c>
      <c r="H140" s="408"/>
      <c r="I140" s="494">
        <v>0</v>
      </c>
      <c r="J140" s="494">
        <v>0</v>
      </c>
      <c r="K140" s="494">
        <v>0</v>
      </c>
      <c r="L140" s="494">
        <v>0</v>
      </c>
      <c r="M140" s="494">
        <v>0</v>
      </c>
      <c r="N140" s="494">
        <v>0</v>
      </c>
      <c r="O140" s="494">
        <v>0</v>
      </c>
      <c r="P140" s="494">
        <v>0</v>
      </c>
      <c r="Q140" s="494">
        <v>0</v>
      </c>
      <c r="R140" s="494">
        <v>0</v>
      </c>
      <c r="S140" s="494">
        <v>0</v>
      </c>
      <c r="T140" s="494">
        <v>0</v>
      </c>
      <c r="U140" s="494">
        <v>0</v>
      </c>
      <c r="V140" s="494">
        <v>0</v>
      </c>
      <c r="W140" s="494">
        <v>0</v>
      </c>
      <c r="X140" s="494">
        <v>0</v>
      </c>
      <c r="Y140" s="494">
        <v>0</v>
      </c>
      <c r="Z140" s="494">
        <v>0</v>
      </c>
      <c r="AA140" s="494">
        <v>0</v>
      </c>
      <c r="AB140" s="494">
        <v>0</v>
      </c>
      <c r="AC140" s="494">
        <v>0</v>
      </c>
      <c r="AD140" s="494">
        <v>0</v>
      </c>
      <c r="AE140" s="494">
        <v>0</v>
      </c>
      <c r="AF140" s="494">
        <v>0</v>
      </c>
      <c r="AG140" s="494">
        <v>0</v>
      </c>
      <c r="AH140" s="494">
        <f>3/3.6</f>
        <v>0.83333333333333326</v>
      </c>
      <c r="AI140" s="494">
        <v>0</v>
      </c>
      <c r="AJ140" s="494">
        <v>0</v>
      </c>
      <c r="AK140" s="494">
        <v>0</v>
      </c>
      <c r="AL140" s="494">
        <v>0</v>
      </c>
      <c r="AM140" s="494">
        <v>0</v>
      </c>
      <c r="AN140" s="494">
        <v>0</v>
      </c>
      <c r="AO140" s="494">
        <v>0</v>
      </c>
      <c r="AP140" s="571">
        <v>0</v>
      </c>
      <c r="AQ140" s="571">
        <v>0</v>
      </c>
      <c r="AR140" s="571">
        <v>0</v>
      </c>
      <c r="AS140" s="571">
        <v>0</v>
      </c>
      <c r="AT140" s="571"/>
      <c r="AU140" s="571"/>
      <c r="AV140" s="571"/>
      <c r="AW140" s="571"/>
      <c r="AX140" s="571"/>
      <c r="AY140" s="529"/>
      <c r="AZ140" s="22"/>
    </row>
    <row r="141" spans="1:54">
      <c r="B141" s="1023" t="s">
        <v>652</v>
      </c>
      <c r="C141" s="723"/>
      <c r="D141" s="999"/>
      <c r="E141" s="395" t="s">
        <v>672</v>
      </c>
      <c r="F141" s="396"/>
      <c r="G141" s="395" t="s">
        <v>582</v>
      </c>
      <c r="H141" s="408"/>
      <c r="I141" s="494">
        <v>0</v>
      </c>
      <c r="J141" s="494">
        <v>0</v>
      </c>
      <c r="K141" s="494">
        <v>0</v>
      </c>
      <c r="L141" s="494">
        <v>0</v>
      </c>
      <c r="M141" s="494">
        <v>0</v>
      </c>
      <c r="N141" s="494">
        <v>0</v>
      </c>
      <c r="O141" s="494">
        <v>0</v>
      </c>
      <c r="P141" s="494">
        <v>0</v>
      </c>
      <c r="Q141" s="494">
        <v>0</v>
      </c>
      <c r="R141" s="494">
        <v>0</v>
      </c>
      <c r="S141" s="494">
        <v>0</v>
      </c>
      <c r="T141" s="494">
        <v>0</v>
      </c>
      <c r="U141" s="494">
        <v>0</v>
      </c>
      <c r="V141" s="494">
        <v>0</v>
      </c>
      <c r="W141" s="494">
        <v>0</v>
      </c>
      <c r="X141" s="494">
        <v>0</v>
      </c>
      <c r="Y141" s="494">
        <v>0</v>
      </c>
      <c r="Z141" s="494">
        <v>0</v>
      </c>
      <c r="AA141" s="494">
        <v>0</v>
      </c>
      <c r="AB141" s="494">
        <v>0</v>
      </c>
      <c r="AC141" s="494">
        <v>0</v>
      </c>
      <c r="AD141" s="494">
        <v>0</v>
      </c>
      <c r="AE141" s="494">
        <v>0</v>
      </c>
      <c r="AF141" s="494">
        <v>0</v>
      </c>
      <c r="AG141" s="494">
        <v>0</v>
      </c>
      <c r="AH141" s="494">
        <f>1/3.6</f>
        <v>0.27777777777777779</v>
      </c>
      <c r="AI141" s="494">
        <v>0</v>
      </c>
      <c r="AJ141" s="494">
        <v>0</v>
      </c>
      <c r="AK141" s="494">
        <v>0</v>
      </c>
      <c r="AL141" s="494">
        <v>0</v>
      </c>
      <c r="AM141" s="494">
        <v>0</v>
      </c>
      <c r="AN141" s="494">
        <v>0</v>
      </c>
      <c r="AO141" s="494">
        <v>0</v>
      </c>
      <c r="AP141" s="571">
        <v>0</v>
      </c>
      <c r="AQ141" s="571">
        <v>0</v>
      </c>
      <c r="AR141" s="571">
        <v>0</v>
      </c>
      <c r="AS141" s="571">
        <v>0</v>
      </c>
      <c r="AT141" s="571"/>
      <c r="AU141" s="571"/>
      <c r="AV141" s="571"/>
      <c r="AW141" s="571"/>
      <c r="AX141" s="571"/>
      <c r="AY141" s="529"/>
      <c r="AZ141" s="22"/>
    </row>
    <row r="142" spans="1:54">
      <c r="B142" s="1023" t="s">
        <v>652</v>
      </c>
      <c r="C142" s="723"/>
      <c r="D142" s="999"/>
      <c r="E142" s="395" t="s">
        <v>673</v>
      </c>
      <c r="F142" s="396"/>
      <c r="G142" s="395" t="s">
        <v>585</v>
      </c>
      <c r="H142" s="408"/>
      <c r="I142" s="494">
        <v>0</v>
      </c>
      <c r="J142" s="494">
        <v>0</v>
      </c>
      <c r="K142" s="494">
        <v>0</v>
      </c>
      <c r="L142" s="494">
        <v>0</v>
      </c>
      <c r="M142" s="494">
        <v>0</v>
      </c>
      <c r="N142" s="494">
        <v>0</v>
      </c>
      <c r="O142" s="494">
        <v>0</v>
      </c>
      <c r="P142" s="494">
        <v>0</v>
      </c>
      <c r="Q142" s="494">
        <v>0</v>
      </c>
      <c r="R142" s="494">
        <v>0</v>
      </c>
      <c r="S142" s="494">
        <v>0</v>
      </c>
      <c r="T142" s="494">
        <v>0</v>
      </c>
      <c r="U142" s="494">
        <v>0</v>
      </c>
      <c r="V142" s="494">
        <v>0</v>
      </c>
      <c r="W142" s="494">
        <v>0</v>
      </c>
      <c r="X142" s="494">
        <v>0</v>
      </c>
      <c r="Y142" s="494">
        <v>0</v>
      </c>
      <c r="Z142" s="494">
        <v>0</v>
      </c>
      <c r="AA142" s="494">
        <v>0</v>
      </c>
      <c r="AB142" s="494">
        <v>0</v>
      </c>
      <c r="AC142" s="494">
        <v>0</v>
      </c>
      <c r="AD142" s="494">
        <v>0</v>
      </c>
      <c r="AE142" s="494">
        <v>0</v>
      </c>
      <c r="AF142" s="494">
        <v>0</v>
      </c>
      <c r="AG142" s="494">
        <v>0</v>
      </c>
      <c r="AH142" s="494">
        <f>35/3.6</f>
        <v>9.7222222222222214</v>
      </c>
      <c r="AI142" s="494">
        <v>0</v>
      </c>
      <c r="AJ142" s="494">
        <v>0</v>
      </c>
      <c r="AK142" s="494">
        <v>0</v>
      </c>
      <c r="AL142" s="494">
        <v>0</v>
      </c>
      <c r="AM142" s="494">
        <v>0</v>
      </c>
      <c r="AN142" s="494">
        <v>0</v>
      </c>
      <c r="AO142" s="494">
        <v>0</v>
      </c>
      <c r="AP142" s="571">
        <v>0</v>
      </c>
      <c r="AQ142" s="571">
        <v>0</v>
      </c>
      <c r="AR142" s="571">
        <v>0</v>
      </c>
      <c r="AS142" s="571">
        <v>0</v>
      </c>
      <c r="AT142" s="571"/>
      <c r="AU142" s="571"/>
      <c r="AV142" s="571"/>
      <c r="AW142" s="571"/>
      <c r="AX142" s="571"/>
      <c r="AY142" s="529"/>
      <c r="AZ142" s="22"/>
    </row>
    <row r="143" spans="1:54" ht="18.75">
      <c r="B143" s="1023" t="s">
        <v>652</v>
      </c>
      <c r="C143" s="723"/>
      <c r="D143" s="999"/>
      <c r="E143" s="403" t="s">
        <v>586</v>
      </c>
      <c r="F143" s="404"/>
      <c r="G143" s="405"/>
      <c r="H143" s="509"/>
      <c r="I143" s="509"/>
      <c r="J143" s="509"/>
      <c r="K143" s="509"/>
      <c r="L143" s="509"/>
      <c r="M143" s="509"/>
      <c r="N143" s="509"/>
      <c r="O143" s="509"/>
      <c r="P143" s="509"/>
      <c r="Q143" s="509"/>
      <c r="R143" s="509"/>
      <c r="S143" s="509"/>
      <c r="T143" s="509"/>
      <c r="U143" s="509"/>
      <c r="V143" s="509"/>
      <c r="W143" s="509"/>
      <c r="X143" s="509"/>
      <c r="Y143" s="509"/>
      <c r="Z143" s="509"/>
      <c r="AA143" s="510"/>
      <c r="AB143" s="509"/>
      <c r="AC143" s="509"/>
      <c r="AD143" s="509"/>
      <c r="AE143" s="509"/>
      <c r="AF143" s="509"/>
      <c r="AG143" s="509"/>
      <c r="AH143" s="509"/>
      <c r="AI143" s="509"/>
      <c r="AJ143" s="509"/>
      <c r="AK143" s="509"/>
      <c r="AL143" s="509"/>
      <c r="AM143" s="509"/>
      <c r="AN143" s="509"/>
      <c r="AO143" s="509"/>
      <c r="AP143" s="509"/>
      <c r="AQ143" s="509"/>
      <c r="AR143" s="509"/>
      <c r="AS143" s="509"/>
      <c r="AT143" s="509"/>
      <c r="AU143" s="509"/>
      <c r="AV143" s="509"/>
      <c r="AW143" s="509"/>
      <c r="AX143" s="509"/>
      <c r="AY143" s="515"/>
      <c r="AZ143" s="22"/>
    </row>
    <row r="144" spans="1:54" ht="38.25">
      <c r="B144" s="1023" t="s">
        <v>652</v>
      </c>
      <c r="C144" s="723"/>
      <c r="D144" s="999"/>
      <c r="E144" s="395" t="s">
        <v>587</v>
      </c>
      <c r="F144" s="396"/>
      <c r="G144" s="395" t="s">
        <v>68</v>
      </c>
      <c r="H144" s="408"/>
      <c r="I144" s="494" t="s">
        <v>588</v>
      </c>
      <c r="J144" s="494" t="s">
        <v>588</v>
      </c>
      <c r="K144" s="494" t="s">
        <v>153</v>
      </c>
      <c r="L144" s="494" t="s">
        <v>153</v>
      </c>
      <c r="M144" s="494" t="s">
        <v>153</v>
      </c>
      <c r="N144" s="494" t="s">
        <v>153</v>
      </c>
      <c r="O144" s="494" t="s">
        <v>153</v>
      </c>
      <c r="P144" s="494" t="s">
        <v>153</v>
      </c>
      <c r="Q144" s="494" t="s">
        <v>153</v>
      </c>
      <c r="R144" s="494" t="s">
        <v>153</v>
      </c>
      <c r="S144" s="494" t="s">
        <v>153</v>
      </c>
      <c r="T144" s="494" t="s">
        <v>153</v>
      </c>
      <c r="U144" s="494" t="s">
        <v>153</v>
      </c>
      <c r="V144" s="494" t="s">
        <v>588</v>
      </c>
      <c r="W144" s="494" t="s">
        <v>588</v>
      </c>
      <c r="X144" s="494" t="s">
        <v>589</v>
      </c>
      <c r="Y144" s="494" t="s">
        <v>590</v>
      </c>
      <c r="Z144" s="494" t="s">
        <v>590</v>
      </c>
      <c r="AA144" s="494" t="s">
        <v>590</v>
      </c>
      <c r="AB144" s="494" t="s">
        <v>590</v>
      </c>
      <c r="AC144" s="494" t="s">
        <v>591</v>
      </c>
      <c r="AD144" s="494" t="s">
        <v>592</v>
      </c>
      <c r="AE144" s="494" t="s">
        <v>593</v>
      </c>
      <c r="AF144" s="494" t="s">
        <v>588</v>
      </c>
      <c r="AG144" s="494" t="s">
        <v>588</v>
      </c>
      <c r="AH144" s="494" t="s">
        <v>588</v>
      </c>
      <c r="AI144" s="494" t="s">
        <v>153</v>
      </c>
      <c r="AJ144" s="494" t="s">
        <v>594</v>
      </c>
      <c r="AK144" s="494" t="s">
        <v>595</v>
      </c>
      <c r="AL144" s="494" t="s">
        <v>596</v>
      </c>
      <c r="AM144" s="494" t="s">
        <v>588</v>
      </c>
      <c r="AN144" s="494" t="s">
        <v>588</v>
      </c>
      <c r="AO144" s="494" t="s">
        <v>674</v>
      </c>
      <c r="AP144" s="560" t="s">
        <v>597</v>
      </c>
      <c r="AQ144" s="560" t="s">
        <v>674</v>
      </c>
      <c r="AR144" s="560" t="s">
        <v>674</v>
      </c>
      <c r="AS144" s="560" t="s">
        <v>588</v>
      </c>
      <c r="AT144" s="560"/>
      <c r="AU144" s="560"/>
      <c r="AV144" s="560"/>
      <c r="AW144" s="560"/>
      <c r="AX144" s="560"/>
      <c r="AY144" s="529"/>
      <c r="AZ144" s="22"/>
    </row>
    <row r="145" spans="2:52">
      <c r="B145" s="1023" t="s">
        <v>652</v>
      </c>
      <c r="C145" s="723"/>
      <c r="D145" s="999"/>
      <c r="E145" s="395" t="s">
        <v>599</v>
      </c>
      <c r="F145" s="396"/>
      <c r="G145" s="395" t="s">
        <v>68</v>
      </c>
      <c r="H145" s="408"/>
      <c r="I145" s="516" t="str">
        <f t="shared" ref="I145:AX145" si="40">IF(OR(referentie_warmtapwater="",I144=""),"",IF(OR(I133&lt;&gt;gebouw),GJ,HLOOKUP(I144,ENERGIEDRAGERS,ROWS($E$216:$E$220),FALSE)))</f>
        <v>m3</v>
      </c>
      <c r="J145" s="516" t="str">
        <f t="shared" si="40"/>
        <v>m3</v>
      </c>
      <c r="K145" s="516" t="str">
        <f t="shared" si="40"/>
        <v>kWh</v>
      </c>
      <c r="L145" s="516" t="str">
        <f t="shared" si="40"/>
        <v>kWh</v>
      </c>
      <c r="M145" s="516" t="str">
        <f t="shared" si="40"/>
        <v>kWh</v>
      </c>
      <c r="N145" s="516" t="str">
        <f t="shared" si="40"/>
        <v>kWh</v>
      </c>
      <c r="O145" s="516" t="str">
        <f t="shared" si="40"/>
        <v>kWh</v>
      </c>
      <c r="P145" s="516" t="str">
        <f t="shared" si="40"/>
        <v>kWh</v>
      </c>
      <c r="Q145" s="516" t="str">
        <f t="shared" si="40"/>
        <v>kWh</v>
      </c>
      <c r="R145" s="516" t="str">
        <f t="shared" si="40"/>
        <v>GJ</v>
      </c>
      <c r="S145" s="516" t="str">
        <f t="shared" si="40"/>
        <v>kWh</v>
      </c>
      <c r="T145" s="516" t="str">
        <f t="shared" si="40"/>
        <v>kWh</v>
      </c>
      <c r="U145" s="516" t="str">
        <f t="shared" si="40"/>
        <v>GJ</v>
      </c>
      <c r="V145" s="516" t="str">
        <f t="shared" si="40"/>
        <v>GJ</v>
      </c>
      <c r="W145" s="516" t="str">
        <f t="shared" si="40"/>
        <v>GJ</v>
      </c>
      <c r="X145" s="516" t="str">
        <f t="shared" si="40"/>
        <v>GJ</v>
      </c>
      <c r="Y145" s="516" t="str">
        <f t="shared" si="40"/>
        <v>GJ</v>
      </c>
      <c r="Z145" s="516" t="str">
        <f t="shared" si="40"/>
        <v>GJ</v>
      </c>
      <c r="AA145" s="516" t="str">
        <f t="shared" si="40"/>
        <v>GJ</v>
      </c>
      <c r="AB145" s="516" t="str">
        <f t="shared" si="40"/>
        <v>GJ</v>
      </c>
      <c r="AC145" s="516" t="str">
        <f t="shared" si="40"/>
        <v>GJ</v>
      </c>
      <c r="AD145" s="516" t="str">
        <f t="shared" si="40"/>
        <v>GJ</v>
      </c>
      <c r="AE145" s="516" t="str">
        <f t="shared" si="40"/>
        <v>GJ</v>
      </c>
      <c r="AF145" s="516" t="str">
        <f t="shared" si="40"/>
        <v>m3</v>
      </c>
      <c r="AG145" s="516" t="str">
        <f t="shared" si="40"/>
        <v>m3</v>
      </c>
      <c r="AH145" s="516" t="str">
        <f t="shared" si="40"/>
        <v>GJ</v>
      </c>
      <c r="AI145" s="516" t="str">
        <f t="shared" si="40"/>
        <v>kWh</v>
      </c>
      <c r="AJ145" s="516" t="str">
        <f t="shared" si="40"/>
        <v>GJ</v>
      </c>
      <c r="AK145" s="516" t="str">
        <f t="shared" si="40"/>
        <v>GJ</v>
      </c>
      <c r="AL145" s="516" t="str">
        <f t="shared" si="40"/>
        <v>GJ</v>
      </c>
      <c r="AM145" s="516" t="str">
        <f t="shared" si="40"/>
        <v>GJ</v>
      </c>
      <c r="AN145" s="516" t="str">
        <f t="shared" si="40"/>
        <v>GJ</v>
      </c>
      <c r="AO145" s="516" t="str">
        <f t="shared" si="40"/>
        <v>GJ</v>
      </c>
      <c r="AP145" s="516" t="str">
        <f t="shared" si="40"/>
        <v>GJ</v>
      </c>
      <c r="AQ145" s="516" t="str">
        <f t="shared" si="40"/>
        <v>GJ</v>
      </c>
      <c r="AR145" s="516" t="str">
        <f t="shared" si="40"/>
        <v>GJ</v>
      </c>
      <c r="AS145" s="516" t="str">
        <f t="shared" si="40"/>
        <v>m3</v>
      </c>
      <c r="AT145" s="516" t="str">
        <f t="shared" si="40"/>
        <v/>
      </c>
      <c r="AU145" s="516" t="str">
        <f t="shared" si="40"/>
        <v/>
      </c>
      <c r="AV145" s="516" t="str">
        <f t="shared" si="40"/>
        <v/>
      </c>
      <c r="AW145" s="516" t="str">
        <f t="shared" si="40"/>
        <v/>
      </c>
      <c r="AX145" s="516" t="str">
        <f t="shared" si="40"/>
        <v/>
      </c>
      <c r="AY145" s="529"/>
      <c r="AZ145" s="22"/>
    </row>
    <row r="146" spans="2:52">
      <c r="B146" s="1023" t="s">
        <v>652</v>
      </c>
      <c r="C146" s="723"/>
      <c r="D146" s="1000" t="s">
        <v>48</v>
      </c>
      <c r="E146" s="691" t="s">
        <v>600</v>
      </c>
      <c r="F146" s="830"/>
      <c r="G146" s="395" t="s">
        <v>147</v>
      </c>
      <c r="H146" s="408"/>
      <c r="I146" s="410">
        <v>1</v>
      </c>
      <c r="J146" s="410">
        <v>1</v>
      </c>
      <c r="K146" s="410">
        <v>0.9</v>
      </c>
      <c r="L146" s="410">
        <v>0.9</v>
      </c>
      <c r="M146" s="410">
        <v>0.9</v>
      </c>
      <c r="N146" s="410">
        <v>0.9</v>
      </c>
      <c r="O146" s="410">
        <v>0</v>
      </c>
      <c r="P146" s="410">
        <v>0.9</v>
      </c>
      <c r="Q146" s="410">
        <v>0.9</v>
      </c>
      <c r="R146" s="410">
        <v>0.8</v>
      </c>
      <c r="S146" s="410">
        <v>0.9</v>
      </c>
      <c r="T146" s="410">
        <v>1</v>
      </c>
      <c r="U146" s="410">
        <v>1</v>
      </c>
      <c r="V146" s="410">
        <v>0.8</v>
      </c>
      <c r="W146" s="410">
        <v>0.8</v>
      </c>
      <c r="X146" s="410">
        <v>0.8</v>
      </c>
      <c r="Y146" s="410">
        <v>0.8</v>
      </c>
      <c r="Z146" s="410">
        <v>0.8</v>
      </c>
      <c r="AA146" s="410">
        <v>0.8</v>
      </c>
      <c r="AB146" s="410">
        <v>0.8</v>
      </c>
      <c r="AC146" s="410">
        <v>0.8</v>
      </c>
      <c r="AD146" s="410">
        <v>0.8</v>
      </c>
      <c r="AE146" s="410">
        <v>1</v>
      </c>
      <c r="AF146" s="410">
        <v>1</v>
      </c>
      <c r="AG146" s="410">
        <v>1</v>
      </c>
      <c r="AH146" s="410">
        <v>1</v>
      </c>
      <c r="AI146" s="410">
        <v>1</v>
      </c>
      <c r="AJ146" s="410">
        <v>1</v>
      </c>
      <c r="AK146" s="410">
        <v>0.8</v>
      </c>
      <c r="AL146" s="410">
        <v>0.8</v>
      </c>
      <c r="AM146" s="410">
        <v>1</v>
      </c>
      <c r="AN146" s="410">
        <v>1</v>
      </c>
      <c r="AO146" s="961">
        <f>(AO155-1)/AO155</f>
        <v>0.7142857142857143</v>
      </c>
      <c r="AP146" s="886">
        <v>1</v>
      </c>
      <c r="AQ146" s="886">
        <v>1</v>
      </c>
      <c r="AR146" s="886">
        <f>(AR155-1)/AR155</f>
        <v>0.75</v>
      </c>
      <c r="AS146" s="886">
        <v>0.5</v>
      </c>
      <c r="AT146" s="886" t="s">
        <v>602</v>
      </c>
      <c r="AU146" s="886" t="s">
        <v>602</v>
      </c>
      <c r="AV146" s="886" t="s">
        <v>602</v>
      </c>
      <c r="AW146" s="886" t="s">
        <v>602</v>
      </c>
      <c r="AX146" s="886" t="s">
        <v>602</v>
      </c>
      <c r="AY146" s="888"/>
      <c r="AZ146" s="274"/>
    </row>
    <row r="147" spans="2:52">
      <c r="B147" s="1023" t="s">
        <v>652</v>
      </c>
      <c r="C147" s="723"/>
      <c r="D147" s="1000" t="s">
        <v>48</v>
      </c>
      <c r="E147" s="691" t="s">
        <v>601</v>
      </c>
      <c r="F147" s="830"/>
      <c r="G147" s="395" t="s">
        <v>68</v>
      </c>
      <c r="H147" s="408"/>
      <c r="I147" s="517">
        <v>0.8</v>
      </c>
      <c r="J147" s="517">
        <v>0.5</v>
      </c>
      <c r="K147" s="517">
        <v>2.4</v>
      </c>
      <c r="L147" s="517">
        <v>2.4</v>
      </c>
      <c r="M147" s="517">
        <v>2.4</v>
      </c>
      <c r="N147" s="517">
        <v>2.4</v>
      </c>
      <c r="O147" s="517">
        <v>2.4</v>
      </c>
      <c r="P147" s="517">
        <v>2.4</v>
      </c>
      <c r="Q147" s="517">
        <v>4</v>
      </c>
      <c r="R147" s="517">
        <v>2.4</v>
      </c>
      <c r="S147" s="517">
        <v>15</v>
      </c>
      <c r="T147" s="517">
        <v>0.75</v>
      </c>
      <c r="U147" s="517">
        <f>20*(120-60-3)/40</f>
        <v>28.5</v>
      </c>
      <c r="V147" s="517">
        <v>0.5</v>
      </c>
      <c r="W147" s="517">
        <v>0.44</v>
      </c>
      <c r="X147" s="517">
        <v>0.4</v>
      </c>
      <c r="Y147" s="517">
        <v>0.26</v>
      </c>
      <c r="Z147" s="517">
        <v>0.36</v>
      </c>
      <c r="AA147" s="517">
        <v>0.48</v>
      </c>
      <c r="AB147" s="517">
        <v>0.9</v>
      </c>
      <c r="AC147" s="517">
        <v>1</v>
      </c>
      <c r="AD147" s="517">
        <v>1</v>
      </c>
      <c r="AE147" s="517">
        <f>1/0.07</f>
        <v>14.285714285714285</v>
      </c>
      <c r="AF147" s="517">
        <v>0.55000000000000004</v>
      </c>
      <c r="AG147" s="517">
        <v>0.66</v>
      </c>
      <c r="AH147" s="517">
        <v>0.78</v>
      </c>
      <c r="AI147" s="517">
        <v>2.2000000000000002</v>
      </c>
      <c r="AJ147" s="517">
        <v>1</v>
      </c>
      <c r="AK147" s="517">
        <v>1</v>
      </c>
      <c r="AL147" s="517">
        <v>1</v>
      </c>
      <c r="AM147" s="517">
        <v>0.8</v>
      </c>
      <c r="AN147" s="517">
        <v>0.9</v>
      </c>
      <c r="AO147" s="517">
        <v>1</v>
      </c>
      <c r="AP147" s="887">
        <v>1</v>
      </c>
      <c r="AQ147" s="887">
        <v>1</v>
      </c>
      <c r="AR147" s="887">
        <v>1</v>
      </c>
      <c r="AS147" s="887">
        <v>0.6</v>
      </c>
      <c r="AT147" s="887" t="s">
        <v>602</v>
      </c>
      <c r="AU147" s="887" t="s">
        <v>602</v>
      </c>
      <c r="AV147" s="887" t="s">
        <v>602</v>
      </c>
      <c r="AW147" s="887" t="s">
        <v>602</v>
      </c>
      <c r="AX147" s="887" t="s">
        <v>602</v>
      </c>
      <c r="AY147" s="888"/>
      <c r="AZ147" s="22"/>
    </row>
    <row r="148" spans="2:52">
      <c r="B148" s="1023" t="s">
        <v>652</v>
      </c>
      <c r="C148" s="723"/>
      <c r="D148" s="999"/>
      <c r="E148" s="395" t="s">
        <v>603</v>
      </c>
      <c r="F148" s="396"/>
      <c r="G148" s="395" t="s">
        <v>68</v>
      </c>
      <c r="H148" s="408"/>
      <c r="I148" s="518">
        <v>0</v>
      </c>
      <c r="J148" s="518">
        <v>0</v>
      </c>
      <c r="K148" s="518">
        <v>28</v>
      </c>
      <c r="L148" s="518">
        <v>0</v>
      </c>
      <c r="M148" s="518">
        <v>28</v>
      </c>
      <c r="N148" s="518">
        <v>0</v>
      </c>
      <c r="O148" s="518">
        <v>0</v>
      </c>
      <c r="P148" s="518">
        <v>0</v>
      </c>
      <c r="Q148" s="518">
        <v>15</v>
      </c>
      <c r="R148" s="518">
        <v>15</v>
      </c>
      <c r="S148" s="518">
        <v>28</v>
      </c>
      <c r="T148" s="518">
        <v>0</v>
      </c>
      <c r="U148" s="518">
        <v>0</v>
      </c>
      <c r="V148" s="518">
        <v>0</v>
      </c>
      <c r="W148" s="518">
        <v>0</v>
      </c>
      <c r="X148" s="518">
        <v>0</v>
      </c>
      <c r="Y148" s="518">
        <v>0</v>
      </c>
      <c r="Z148" s="518">
        <v>0</v>
      </c>
      <c r="AA148" s="518">
        <v>0</v>
      </c>
      <c r="AB148" s="518">
        <v>0</v>
      </c>
      <c r="AC148" s="518">
        <v>0</v>
      </c>
      <c r="AD148" s="518">
        <v>0</v>
      </c>
      <c r="AE148" s="518">
        <v>0</v>
      </c>
      <c r="AF148" s="518">
        <v>0</v>
      </c>
      <c r="AG148" s="518">
        <v>0</v>
      </c>
      <c r="AH148" s="518">
        <v>0</v>
      </c>
      <c r="AI148" s="518">
        <v>0</v>
      </c>
      <c r="AJ148" s="518">
        <v>0</v>
      </c>
      <c r="AK148" s="518">
        <v>0</v>
      </c>
      <c r="AL148" s="518">
        <v>0</v>
      </c>
      <c r="AM148" s="518">
        <v>0</v>
      </c>
      <c r="AN148" s="518">
        <v>0</v>
      </c>
      <c r="AO148" s="518">
        <v>0</v>
      </c>
      <c r="AP148" s="569">
        <v>0</v>
      </c>
      <c r="AQ148" s="569">
        <v>0</v>
      </c>
      <c r="AR148" s="569">
        <v>0</v>
      </c>
      <c r="AS148" s="569">
        <v>0</v>
      </c>
      <c r="AT148" s="569"/>
      <c r="AU148" s="569"/>
      <c r="AV148" s="569"/>
      <c r="AW148" s="569"/>
      <c r="AX148" s="569"/>
      <c r="AY148" s="529"/>
      <c r="AZ148" s="22"/>
    </row>
    <row r="149" spans="2:52">
      <c r="B149" s="1023" t="s">
        <v>652</v>
      </c>
      <c r="C149" s="723"/>
      <c r="D149" s="1000" t="s">
        <v>48</v>
      </c>
      <c r="E149" s="395" t="s">
        <v>604</v>
      </c>
      <c r="F149" s="396"/>
      <c r="G149" s="395" t="s">
        <v>68</v>
      </c>
      <c r="H149" s="408"/>
      <c r="I149" s="517">
        <v>0</v>
      </c>
      <c r="J149" s="517">
        <v>0</v>
      </c>
      <c r="K149" s="517">
        <v>0</v>
      </c>
      <c r="L149" s="517">
        <v>0</v>
      </c>
      <c r="M149" s="517">
        <v>0</v>
      </c>
      <c r="N149" s="517">
        <v>0</v>
      </c>
      <c r="O149" s="517">
        <v>0</v>
      </c>
      <c r="P149" s="517">
        <v>0</v>
      </c>
      <c r="Q149" s="517">
        <v>0</v>
      </c>
      <c r="R149" s="517">
        <v>0</v>
      </c>
      <c r="S149" s="517">
        <v>0</v>
      </c>
      <c r="T149" s="517">
        <v>0</v>
      </c>
      <c r="U149" s="517">
        <v>0</v>
      </c>
      <c r="V149" s="517">
        <v>0.32</v>
      </c>
      <c r="W149" s="517">
        <v>0.35</v>
      </c>
      <c r="X149" s="517">
        <v>0.42</v>
      </c>
      <c r="Y149" s="517">
        <v>0.26</v>
      </c>
      <c r="Z149" s="517">
        <v>0.23</v>
      </c>
      <c r="AA149" s="517">
        <v>0.28499999999999998</v>
      </c>
      <c r="AB149" s="517">
        <v>0</v>
      </c>
      <c r="AC149" s="517">
        <v>0</v>
      </c>
      <c r="AD149" s="517">
        <v>0</v>
      </c>
      <c r="AE149" s="517">
        <v>0</v>
      </c>
      <c r="AF149" s="517">
        <v>0</v>
      </c>
      <c r="AG149" s="517">
        <v>0</v>
      </c>
      <c r="AH149" s="517">
        <v>0</v>
      </c>
      <c r="AI149" s="517">
        <v>0</v>
      </c>
      <c r="AJ149" s="517">
        <v>0</v>
      </c>
      <c r="AK149" s="517">
        <v>0</v>
      </c>
      <c r="AL149" s="517">
        <v>0</v>
      </c>
      <c r="AM149" s="517">
        <v>0</v>
      </c>
      <c r="AN149" s="517">
        <v>0</v>
      </c>
      <c r="AO149" s="517">
        <v>0</v>
      </c>
      <c r="AP149" s="560">
        <v>0</v>
      </c>
      <c r="AQ149" s="560">
        <v>0</v>
      </c>
      <c r="AR149" s="560">
        <v>0</v>
      </c>
      <c r="AS149" s="560">
        <v>0</v>
      </c>
      <c r="AT149" s="560"/>
      <c r="AU149" s="560"/>
      <c r="AV149" s="560"/>
      <c r="AW149" s="560"/>
      <c r="AX149" s="560"/>
      <c r="AY149" s="529"/>
      <c r="AZ149" s="22"/>
    </row>
    <row r="150" spans="2:52">
      <c r="B150" s="1023" t="s">
        <v>652</v>
      </c>
      <c r="C150" s="723"/>
      <c r="D150" s="1000" t="s">
        <v>48</v>
      </c>
      <c r="E150" s="395" t="s">
        <v>605</v>
      </c>
      <c r="F150" s="396"/>
      <c r="G150" s="395" t="s">
        <v>606</v>
      </c>
      <c r="H150" s="408"/>
      <c r="I150" s="407">
        <v>0</v>
      </c>
      <c r="J150" s="407">
        <v>0</v>
      </c>
      <c r="K150" s="407">
        <v>0</v>
      </c>
      <c r="L150" s="407">
        <v>0</v>
      </c>
      <c r="M150" s="407">
        <v>0</v>
      </c>
      <c r="N150" s="407">
        <v>0</v>
      </c>
      <c r="O150" s="407">
        <v>0</v>
      </c>
      <c r="P150" s="407">
        <v>0</v>
      </c>
      <c r="Q150" s="407">
        <v>0</v>
      </c>
      <c r="R150" s="407">
        <v>0</v>
      </c>
      <c r="S150" s="407">
        <v>0</v>
      </c>
      <c r="T150" s="407">
        <v>0</v>
      </c>
      <c r="U150" s="407">
        <v>0</v>
      </c>
      <c r="V150" s="407">
        <v>0</v>
      </c>
      <c r="W150" s="407">
        <v>0</v>
      </c>
      <c r="X150" s="407">
        <v>0</v>
      </c>
      <c r="Y150" s="407">
        <v>0</v>
      </c>
      <c r="Z150" s="407">
        <v>0</v>
      </c>
      <c r="AA150" s="407">
        <v>0</v>
      </c>
      <c r="AB150" s="407">
        <v>0</v>
      </c>
      <c r="AC150" s="407">
        <v>0.18</v>
      </c>
      <c r="AD150" s="407">
        <v>0.18</v>
      </c>
      <c r="AE150" s="407">
        <v>0</v>
      </c>
      <c r="AF150" s="407">
        <v>0</v>
      </c>
      <c r="AG150" s="407">
        <v>0</v>
      </c>
      <c r="AH150" s="407">
        <v>0</v>
      </c>
      <c r="AI150" s="407">
        <v>0</v>
      </c>
      <c r="AJ150" s="407">
        <v>0</v>
      </c>
      <c r="AK150" s="407">
        <v>0.18</v>
      </c>
      <c r="AL150" s="407">
        <v>0.18</v>
      </c>
      <c r="AM150" s="407">
        <v>0</v>
      </c>
      <c r="AN150" s="407">
        <v>0</v>
      </c>
      <c r="AO150" s="407">
        <v>0</v>
      </c>
      <c r="AP150" s="570">
        <v>0</v>
      </c>
      <c r="AQ150" s="570">
        <v>0</v>
      </c>
      <c r="AR150" s="570">
        <v>0</v>
      </c>
      <c r="AS150" s="570">
        <v>0</v>
      </c>
      <c r="AT150" s="570"/>
      <c r="AU150" s="570"/>
      <c r="AV150" s="570"/>
      <c r="AW150" s="570"/>
      <c r="AX150" s="570"/>
      <c r="AY150" s="529"/>
      <c r="AZ150" s="22"/>
    </row>
    <row r="151" spans="2:52" ht="18.75">
      <c r="B151" s="1023" t="s">
        <v>652</v>
      </c>
      <c r="C151" s="723"/>
      <c r="D151" s="999"/>
      <c r="E151" s="403" t="s">
        <v>607</v>
      </c>
      <c r="F151" s="404"/>
      <c r="G151" s="405"/>
      <c r="H151" s="509"/>
      <c r="I151" s="509"/>
      <c r="J151" s="509"/>
      <c r="K151" s="509"/>
      <c r="L151" s="509"/>
      <c r="M151" s="509"/>
      <c r="N151" s="509"/>
      <c r="O151" s="509"/>
      <c r="P151" s="509"/>
      <c r="Q151" s="509"/>
      <c r="R151" s="509"/>
      <c r="S151" s="509"/>
      <c r="T151" s="509"/>
      <c r="U151" s="509"/>
      <c r="V151" s="509"/>
      <c r="W151" s="509"/>
      <c r="X151" s="509"/>
      <c r="Y151" s="509"/>
      <c r="Z151" s="509"/>
      <c r="AA151" s="510"/>
      <c r="AB151" s="509"/>
      <c r="AC151" s="509"/>
      <c r="AD151" s="509"/>
      <c r="AE151" s="509"/>
      <c r="AF151" s="509"/>
      <c r="AG151" s="509"/>
      <c r="AH151" s="509"/>
      <c r="AI151" s="509"/>
      <c r="AJ151" s="509"/>
      <c r="AK151" s="509"/>
      <c r="AL151" s="509"/>
      <c r="AM151" s="509"/>
      <c r="AN151" s="509"/>
      <c r="AO151" s="509"/>
      <c r="AP151" s="509"/>
      <c r="AQ151" s="509"/>
      <c r="AR151" s="509"/>
      <c r="AS151" s="509"/>
      <c r="AT151" s="509"/>
      <c r="AU151" s="509"/>
      <c r="AV151" s="509"/>
      <c r="AW151" s="509"/>
      <c r="AX151" s="509"/>
      <c r="AY151" s="515"/>
    </row>
    <row r="152" spans="2:52" ht="25.5">
      <c r="B152" s="1023" t="s">
        <v>652</v>
      </c>
      <c r="C152" s="723"/>
      <c r="D152" s="999"/>
      <c r="E152" s="395" t="s">
        <v>608</v>
      </c>
      <c r="F152" s="396"/>
      <c r="G152" s="395" t="s">
        <v>68</v>
      </c>
      <c r="H152" s="408"/>
      <c r="I152" s="494" t="s">
        <v>180</v>
      </c>
      <c r="J152" s="494" t="s">
        <v>180</v>
      </c>
      <c r="K152" s="494" t="s">
        <v>609</v>
      </c>
      <c r="L152" s="494" t="s">
        <v>609</v>
      </c>
      <c r="M152" s="494" t="s">
        <v>180</v>
      </c>
      <c r="N152" s="494" t="s">
        <v>182</v>
      </c>
      <c r="O152" s="494" t="s">
        <v>182</v>
      </c>
      <c r="P152" s="494" t="s">
        <v>609</v>
      </c>
      <c r="Q152" s="494" t="s">
        <v>609</v>
      </c>
      <c r="R152" s="494" t="s">
        <v>609</v>
      </c>
      <c r="S152" s="494" t="s">
        <v>609</v>
      </c>
      <c r="T152" s="494" t="s">
        <v>180</v>
      </c>
      <c r="U152" s="494" t="s">
        <v>180</v>
      </c>
      <c r="V152" s="494" t="s">
        <v>610</v>
      </c>
      <c r="W152" s="494" t="s">
        <v>610</v>
      </c>
      <c r="X152" s="494" t="s">
        <v>610</v>
      </c>
      <c r="Y152" s="494" t="s">
        <v>610</v>
      </c>
      <c r="Z152" s="494" t="s">
        <v>610</v>
      </c>
      <c r="AA152" s="494" t="s">
        <v>610</v>
      </c>
      <c r="AB152" s="494" t="s">
        <v>610</v>
      </c>
      <c r="AC152" s="494" t="s">
        <v>610</v>
      </c>
      <c r="AD152" s="494" t="s">
        <v>610</v>
      </c>
      <c r="AE152" s="494" t="s">
        <v>180</v>
      </c>
      <c r="AF152" s="494" t="s">
        <v>180</v>
      </c>
      <c r="AG152" s="494" t="s">
        <v>180</v>
      </c>
      <c r="AH152" s="494" t="s">
        <v>180</v>
      </c>
      <c r="AI152" s="494" t="s">
        <v>180</v>
      </c>
      <c r="AJ152" s="494" t="s">
        <v>180</v>
      </c>
      <c r="AK152" s="494" t="s">
        <v>610</v>
      </c>
      <c r="AL152" s="494" t="s">
        <v>610</v>
      </c>
      <c r="AM152" s="494" t="s">
        <v>180</v>
      </c>
      <c r="AN152" s="494" t="s">
        <v>180</v>
      </c>
      <c r="AO152" s="494" t="s">
        <v>675</v>
      </c>
      <c r="AP152" s="560" t="s">
        <v>180</v>
      </c>
      <c r="AQ152" s="560" t="s">
        <v>180</v>
      </c>
      <c r="AR152" s="560" t="s">
        <v>675</v>
      </c>
      <c r="AS152" s="560" t="s">
        <v>676</v>
      </c>
      <c r="AT152" s="560"/>
      <c r="AU152" s="560"/>
      <c r="AV152" s="560"/>
      <c r="AW152" s="560"/>
      <c r="AX152" s="560"/>
      <c r="AY152" s="529"/>
      <c r="AZ152" s="22"/>
    </row>
    <row r="153" spans="2:52">
      <c r="B153" s="1023" t="s">
        <v>652</v>
      </c>
      <c r="C153" s="723"/>
      <c r="D153" s="999"/>
      <c r="E153" s="395" t="s">
        <v>587</v>
      </c>
      <c r="F153" s="396"/>
      <c r="G153" s="395" t="s">
        <v>68</v>
      </c>
      <c r="H153" s="408"/>
      <c r="I153" s="494" t="s">
        <v>588</v>
      </c>
      <c r="J153" s="494" t="s">
        <v>611</v>
      </c>
      <c r="K153" s="494" t="s">
        <v>153</v>
      </c>
      <c r="L153" s="494" t="s">
        <v>153</v>
      </c>
      <c r="M153" s="494" t="s">
        <v>588</v>
      </c>
      <c r="N153" s="494" t="s">
        <v>588</v>
      </c>
      <c r="O153" s="494" t="s">
        <v>588</v>
      </c>
      <c r="P153" s="494" t="s">
        <v>153</v>
      </c>
      <c r="Q153" s="494" t="s">
        <v>153</v>
      </c>
      <c r="R153" s="494" t="s">
        <v>153</v>
      </c>
      <c r="S153" s="494" t="s">
        <v>153</v>
      </c>
      <c r="T153" s="494" t="s">
        <v>588</v>
      </c>
      <c r="U153" s="494" t="s">
        <v>588</v>
      </c>
      <c r="V153" s="494" t="s">
        <v>588</v>
      </c>
      <c r="W153" s="494" t="s">
        <v>588</v>
      </c>
      <c r="X153" s="494" t="s">
        <v>588</v>
      </c>
      <c r="Y153" s="494" t="s">
        <v>588</v>
      </c>
      <c r="Z153" s="494" t="s">
        <v>588</v>
      </c>
      <c r="AA153" s="494" t="s">
        <v>588</v>
      </c>
      <c r="AB153" s="494" t="s">
        <v>588</v>
      </c>
      <c r="AC153" s="494" t="s">
        <v>588</v>
      </c>
      <c r="AD153" s="494" t="s">
        <v>588</v>
      </c>
      <c r="AE153" s="494" t="s">
        <v>588</v>
      </c>
      <c r="AF153" s="494" t="s">
        <v>588</v>
      </c>
      <c r="AG153" s="494" t="s">
        <v>588</v>
      </c>
      <c r="AH153" s="494" t="s">
        <v>588</v>
      </c>
      <c r="AI153" s="494" t="s">
        <v>588</v>
      </c>
      <c r="AJ153" s="494" t="s">
        <v>611</v>
      </c>
      <c r="AK153" s="494" t="s">
        <v>588</v>
      </c>
      <c r="AL153" s="494" t="s">
        <v>588</v>
      </c>
      <c r="AM153" s="494" t="s">
        <v>588</v>
      </c>
      <c r="AN153" s="494" t="s">
        <v>588</v>
      </c>
      <c r="AO153" s="494" t="s">
        <v>153</v>
      </c>
      <c r="AP153" s="560"/>
      <c r="AQ153" s="560"/>
      <c r="AR153" s="560" t="s">
        <v>153</v>
      </c>
      <c r="AS153" s="560" t="s">
        <v>153</v>
      </c>
      <c r="AT153" s="560"/>
      <c r="AU153" s="560"/>
      <c r="AV153" s="560"/>
      <c r="AW153" s="560"/>
      <c r="AX153" s="560"/>
      <c r="AY153" s="529"/>
      <c r="AZ153" s="22"/>
    </row>
    <row r="154" spans="2:52">
      <c r="B154" s="1023" t="s">
        <v>652</v>
      </c>
      <c r="C154" s="723"/>
      <c r="D154" s="999"/>
      <c r="E154" s="395" t="s">
        <v>599</v>
      </c>
      <c r="F154" s="396"/>
      <c r="G154" s="395" t="s">
        <v>68</v>
      </c>
      <c r="H154" s="408"/>
      <c r="I154" s="516" t="str">
        <f t="shared" ref="I154:AN154" si="41">IF(OR(I131="",I146=1,I153=""),"",IF(OR(I133&lt;&gt;gebouw),GJ,HLOOKUP(I153,ENERGIEDRAGERS,ROWS($E$216:$E$220),FALSE)))</f>
        <v/>
      </c>
      <c r="J154" s="516" t="str">
        <f t="shared" si="41"/>
        <v/>
      </c>
      <c r="K154" s="516" t="str">
        <f t="shared" si="41"/>
        <v>kWh</v>
      </c>
      <c r="L154" s="516" t="str">
        <f t="shared" si="41"/>
        <v>kWh</v>
      </c>
      <c r="M154" s="516" t="str">
        <f t="shared" si="41"/>
        <v>m3</v>
      </c>
      <c r="N154" s="516" t="str">
        <f t="shared" si="41"/>
        <v>m3</v>
      </c>
      <c r="O154" s="516" t="str">
        <f t="shared" si="41"/>
        <v>m3</v>
      </c>
      <c r="P154" s="516" t="str">
        <f t="shared" si="41"/>
        <v>kWh</v>
      </c>
      <c r="Q154" s="516" t="str">
        <f t="shared" si="41"/>
        <v>kWh</v>
      </c>
      <c r="R154" s="516" t="str">
        <f t="shared" si="41"/>
        <v>GJ</v>
      </c>
      <c r="S154" s="516" t="str">
        <f t="shared" si="41"/>
        <v>kWh</v>
      </c>
      <c r="T154" s="516" t="str">
        <f t="shared" si="41"/>
        <v/>
      </c>
      <c r="U154" s="516" t="str">
        <f t="shared" si="41"/>
        <v/>
      </c>
      <c r="V154" s="516" t="str">
        <f t="shared" si="41"/>
        <v>GJ</v>
      </c>
      <c r="W154" s="516" t="str">
        <f t="shared" si="41"/>
        <v>GJ</v>
      </c>
      <c r="X154" s="516" t="str">
        <f t="shared" si="41"/>
        <v>GJ</v>
      </c>
      <c r="Y154" s="516" t="str">
        <f t="shared" si="41"/>
        <v>GJ</v>
      </c>
      <c r="Z154" s="516" t="str">
        <f t="shared" si="41"/>
        <v>GJ</v>
      </c>
      <c r="AA154" s="516" t="str">
        <f t="shared" si="41"/>
        <v>GJ</v>
      </c>
      <c r="AB154" s="516" t="str">
        <f t="shared" si="41"/>
        <v>GJ</v>
      </c>
      <c r="AC154" s="516" t="str">
        <f t="shared" si="41"/>
        <v>GJ</v>
      </c>
      <c r="AD154" s="516" t="str">
        <f t="shared" si="41"/>
        <v>GJ</v>
      </c>
      <c r="AE154" s="516" t="str">
        <f t="shared" si="41"/>
        <v/>
      </c>
      <c r="AF154" s="516" t="str">
        <f t="shared" si="41"/>
        <v/>
      </c>
      <c r="AG154" s="516" t="str">
        <f t="shared" si="41"/>
        <v/>
      </c>
      <c r="AH154" s="516" t="str">
        <f t="shared" si="41"/>
        <v/>
      </c>
      <c r="AI154" s="516" t="str">
        <f t="shared" si="41"/>
        <v/>
      </c>
      <c r="AJ154" s="516" t="str">
        <f t="shared" si="41"/>
        <v/>
      </c>
      <c r="AK154" s="516" t="str">
        <f t="shared" si="41"/>
        <v>GJ</v>
      </c>
      <c r="AL154" s="516" t="str">
        <f t="shared" si="41"/>
        <v>GJ</v>
      </c>
      <c r="AM154" s="516" t="str">
        <f t="shared" si="41"/>
        <v/>
      </c>
      <c r="AN154" s="516" t="str">
        <f t="shared" si="41"/>
        <v/>
      </c>
      <c r="AO154" s="516" t="s">
        <v>153</v>
      </c>
      <c r="AP154" s="516" t="str">
        <f>IF(OR(AP131="",AP146=1,AP153=""),"",IF(OR(AP133&lt;&gt;gebouw),GJ,HLOOKUP(AP153,ENERGIEDRAGERS,ROWS($E$216:$E$220),FALSE)))</f>
        <v/>
      </c>
      <c r="AQ154" s="516" t="str">
        <f>IF(OR(AQ131="",AQ146=1,AQ153=""),"",IF(OR(AQ133&lt;&gt;gebouw),GJ,HLOOKUP(AQ153,ENERGIEDRAGERS,ROWS($E$216:$E$220),FALSE)))</f>
        <v/>
      </c>
      <c r="AR154" s="516" t="s">
        <v>153</v>
      </c>
      <c r="AS154" s="516" t="str">
        <f t="shared" ref="AS154:AX154" si="42">IF(OR(AS131="",AS146=1,AS153=""),"",IF(OR(AS133&lt;&gt;gebouw),GJ,HLOOKUP(AS153,ENERGIEDRAGERS,ROWS($E$216:$E$220),FALSE)))</f>
        <v>kWh</v>
      </c>
      <c r="AT154" s="516" t="str">
        <f t="shared" si="42"/>
        <v/>
      </c>
      <c r="AU154" s="516" t="str">
        <f t="shared" si="42"/>
        <v/>
      </c>
      <c r="AV154" s="516" t="str">
        <f t="shared" si="42"/>
        <v/>
      </c>
      <c r="AW154" s="516" t="str">
        <f t="shared" si="42"/>
        <v/>
      </c>
      <c r="AX154" s="516" t="str">
        <f t="shared" si="42"/>
        <v/>
      </c>
      <c r="AY154" s="529"/>
      <c r="AZ154" s="22"/>
    </row>
    <row r="155" spans="2:52">
      <c r="B155" s="1023" t="s">
        <v>652</v>
      </c>
      <c r="C155" s="723"/>
      <c r="D155" s="999"/>
      <c r="E155" s="395" t="s">
        <v>612</v>
      </c>
      <c r="F155" s="396"/>
      <c r="G155" s="395" t="s">
        <v>68</v>
      </c>
      <c r="H155" s="408"/>
      <c r="I155" s="517">
        <v>0.7</v>
      </c>
      <c r="J155" s="517">
        <v>1</v>
      </c>
      <c r="K155" s="517">
        <v>1</v>
      </c>
      <c r="L155" s="517">
        <v>1</v>
      </c>
      <c r="M155" s="517">
        <v>0.7</v>
      </c>
      <c r="N155" s="517">
        <v>0.7</v>
      </c>
      <c r="O155" s="517">
        <v>0.8</v>
      </c>
      <c r="P155" s="517">
        <v>1</v>
      </c>
      <c r="Q155" s="517">
        <v>1</v>
      </c>
      <c r="R155" s="517">
        <v>1</v>
      </c>
      <c r="S155" s="517">
        <v>1</v>
      </c>
      <c r="T155" s="517">
        <v>0.7</v>
      </c>
      <c r="U155" s="517">
        <v>0.8</v>
      </c>
      <c r="V155" s="517">
        <v>0.8</v>
      </c>
      <c r="W155" s="517">
        <v>0.8</v>
      </c>
      <c r="X155" s="517">
        <v>0.8</v>
      </c>
      <c r="Y155" s="517">
        <v>0.8</v>
      </c>
      <c r="Z155" s="517">
        <v>0.8</v>
      </c>
      <c r="AA155" s="517">
        <v>0.8</v>
      </c>
      <c r="AB155" s="517">
        <v>0.8</v>
      </c>
      <c r="AC155" s="517">
        <v>0.8</v>
      </c>
      <c r="AD155" s="517">
        <v>0.8</v>
      </c>
      <c r="AE155" s="517">
        <v>0.8</v>
      </c>
      <c r="AF155" s="517">
        <v>0.55000000000000004</v>
      </c>
      <c r="AG155" s="517">
        <v>0.66</v>
      </c>
      <c r="AH155" s="517">
        <v>0.94</v>
      </c>
      <c r="AI155" s="517">
        <v>0.7</v>
      </c>
      <c r="AJ155" s="517">
        <v>1</v>
      </c>
      <c r="AK155" s="517">
        <v>0.8</v>
      </c>
      <c r="AL155" s="517">
        <v>0.8</v>
      </c>
      <c r="AM155" s="517">
        <v>0.7</v>
      </c>
      <c r="AN155" s="517">
        <v>0.7</v>
      </c>
      <c r="AO155" s="517">
        <v>3.5</v>
      </c>
      <c r="AP155" s="560"/>
      <c r="AQ155" s="560"/>
      <c r="AR155" s="560">
        <v>4</v>
      </c>
      <c r="AS155" s="560">
        <v>1</v>
      </c>
      <c r="AT155" s="560"/>
      <c r="AU155" s="560"/>
      <c r="AV155" s="560"/>
      <c r="AW155" s="560"/>
      <c r="AX155" s="560"/>
      <c r="AY155" s="529"/>
      <c r="AZ155" s="22"/>
    </row>
    <row r="156" spans="2:52" ht="18.75">
      <c r="B156" s="1023" t="s">
        <v>652</v>
      </c>
      <c r="C156" s="723"/>
      <c r="D156" s="999"/>
      <c r="E156" s="403" t="s">
        <v>628</v>
      </c>
      <c r="F156" s="404"/>
      <c r="G156" s="405"/>
      <c r="H156" s="509"/>
      <c r="I156" s="509"/>
      <c r="J156" s="509"/>
      <c r="K156" s="509"/>
      <c r="L156" s="509"/>
      <c r="M156" s="509"/>
      <c r="N156" s="509"/>
      <c r="O156" s="509"/>
      <c r="P156" s="509"/>
      <c r="Q156" s="509"/>
      <c r="R156" s="509"/>
      <c r="S156" s="509"/>
      <c r="T156" s="509"/>
      <c r="U156" s="509"/>
      <c r="V156" s="509"/>
      <c r="W156" s="509"/>
      <c r="X156" s="509"/>
      <c r="Y156" s="509"/>
      <c r="Z156" s="509"/>
      <c r="AA156" s="510"/>
      <c r="AB156" s="509"/>
      <c r="AC156" s="509"/>
      <c r="AD156" s="509"/>
      <c r="AE156" s="509"/>
      <c r="AF156" s="509"/>
      <c r="AG156" s="509"/>
      <c r="AH156" s="509"/>
      <c r="AI156" s="509"/>
      <c r="AJ156" s="509"/>
      <c r="AK156" s="509"/>
      <c r="AL156" s="509"/>
      <c r="AM156" s="509"/>
      <c r="AN156" s="509"/>
      <c r="AO156" s="509"/>
      <c r="AP156" s="509"/>
      <c r="AQ156" s="509"/>
      <c r="AR156" s="509"/>
      <c r="AS156" s="509"/>
      <c r="AT156" s="509"/>
      <c r="AU156" s="509"/>
      <c r="AV156" s="509"/>
      <c r="AW156" s="509"/>
      <c r="AX156" s="509"/>
      <c r="AY156" s="515"/>
      <c r="AZ156" s="22"/>
    </row>
    <row r="157" spans="2:52">
      <c r="B157" s="1023" t="s">
        <v>652</v>
      </c>
      <c r="C157" s="723"/>
      <c r="D157" s="999"/>
      <c r="E157" s="395" t="s">
        <v>629</v>
      </c>
      <c r="F157" s="396"/>
      <c r="G157" s="395" t="s">
        <v>606</v>
      </c>
      <c r="H157" s="408"/>
      <c r="I157" s="572">
        <v>0</v>
      </c>
      <c r="J157" s="572">
        <v>0</v>
      </c>
      <c r="K157" s="572">
        <v>7.1999999999999998E-3</v>
      </c>
      <c r="L157" s="572">
        <v>0</v>
      </c>
      <c r="M157" s="572">
        <v>7.1999999999999998E-3</v>
      </c>
      <c r="N157" s="572">
        <v>0</v>
      </c>
      <c r="O157" s="572">
        <v>0</v>
      </c>
      <c r="P157" s="572">
        <v>0</v>
      </c>
      <c r="Q157" s="572">
        <v>4.0000000000000001E-3</v>
      </c>
      <c r="R157" s="572">
        <v>7.1999999999999998E-3</v>
      </c>
      <c r="S157" s="572">
        <v>7.1999999999999998E-3</v>
      </c>
      <c r="T157" s="572">
        <v>0</v>
      </c>
      <c r="U157" s="572">
        <v>7.1999999999999998E-3</v>
      </c>
      <c r="V157" s="572">
        <v>7.1999999999999998E-3</v>
      </c>
      <c r="W157" s="572">
        <v>7.1999999999999998E-3</v>
      </c>
      <c r="X157" s="572">
        <v>7.1999999999999998E-3</v>
      </c>
      <c r="Y157" s="572">
        <v>7.1999999999999998E-3</v>
      </c>
      <c r="Z157" s="572">
        <v>7.1999999999999998E-3</v>
      </c>
      <c r="AA157" s="572">
        <v>7.1999999999999998E-3</v>
      </c>
      <c r="AB157" s="572">
        <v>7.1999999999999998E-3</v>
      </c>
      <c r="AC157" s="572">
        <v>7.1999999999999998E-3</v>
      </c>
      <c r="AD157" s="572">
        <v>7.1999999999999998E-3</v>
      </c>
      <c r="AE157" s="572">
        <v>7.1999999999999998E-3</v>
      </c>
      <c r="AF157" s="572">
        <v>0</v>
      </c>
      <c r="AG157" s="572">
        <v>0</v>
      </c>
      <c r="AH157" s="572">
        <v>7.1999999999999998E-3</v>
      </c>
      <c r="AI157" s="572">
        <v>0</v>
      </c>
      <c r="AJ157" s="572">
        <v>0</v>
      </c>
      <c r="AK157" s="572">
        <v>7.1999999999999998E-3</v>
      </c>
      <c r="AL157" s="572">
        <v>7.1999999999999998E-3</v>
      </c>
      <c r="AM157" s="572">
        <v>7.1999999999999998E-3</v>
      </c>
      <c r="AN157" s="572">
        <v>7.1999999999999998E-3</v>
      </c>
      <c r="AO157" s="572">
        <v>0</v>
      </c>
      <c r="AP157" s="568">
        <v>0</v>
      </c>
      <c r="AQ157" s="568">
        <v>0</v>
      </c>
      <c r="AR157" s="568">
        <v>0</v>
      </c>
      <c r="AS157" s="568">
        <v>0</v>
      </c>
      <c r="AT157" s="568"/>
      <c r="AU157" s="568"/>
      <c r="AV157" s="568"/>
      <c r="AW157" s="568"/>
      <c r="AX157" s="568"/>
      <c r="AY157" s="529"/>
      <c r="AZ157" s="22"/>
    </row>
    <row r="158" spans="2:52">
      <c r="B158" s="1023" t="s">
        <v>652</v>
      </c>
      <c r="C158" s="723"/>
      <c r="D158" s="1000"/>
      <c r="E158" s="395" t="s">
        <v>630</v>
      </c>
      <c r="F158" s="396"/>
      <c r="G158" s="395" t="s">
        <v>606</v>
      </c>
      <c r="H158" s="408"/>
      <c r="I158" s="573">
        <v>0</v>
      </c>
      <c r="J158" s="573">
        <v>0</v>
      </c>
      <c r="K158" s="573">
        <v>4.4999999999999998E-2</v>
      </c>
      <c r="L158" s="573">
        <v>4.4999999999999998E-2</v>
      </c>
      <c r="M158" s="573">
        <v>4.4999999999999998E-2</v>
      </c>
      <c r="N158" s="573">
        <v>0</v>
      </c>
      <c r="O158" s="573">
        <v>0</v>
      </c>
      <c r="P158" s="573">
        <v>0</v>
      </c>
      <c r="Q158" s="573">
        <v>4.4999999999999998E-2</v>
      </c>
      <c r="R158" s="573">
        <v>4.4999999999999998E-2</v>
      </c>
      <c r="S158" s="573">
        <v>4.4999999999999998E-2</v>
      </c>
      <c r="T158" s="573">
        <v>0</v>
      </c>
      <c r="U158" s="573">
        <v>0</v>
      </c>
      <c r="V158" s="573">
        <v>0</v>
      </c>
      <c r="W158" s="573">
        <v>0</v>
      </c>
      <c r="X158" s="573">
        <v>0</v>
      </c>
      <c r="Y158" s="573">
        <v>0</v>
      </c>
      <c r="Z158" s="573">
        <v>0</v>
      </c>
      <c r="AA158" s="573">
        <v>0</v>
      </c>
      <c r="AB158" s="573">
        <v>0</v>
      </c>
      <c r="AC158" s="573">
        <v>0</v>
      </c>
      <c r="AD158" s="573">
        <v>0</v>
      </c>
      <c r="AE158" s="573">
        <v>0</v>
      </c>
      <c r="AF158" s="573">
        <v>0</v>
      </c>
      <c r="AG158" s="573">
        <v>0</v>
      </c>
      <c r="AH158" s="573">
        <v>0</v>
      </c>
      <c r="AI158" s="573">
        <v>0</v>
      </c>
      <c r="AJ158" s="573">
        <v>0</v>
      </c>
      <c r="AK158" s="573">
        <v>0</v>
      </c>
      <c r="AL158" s="573">
        <v>0</v>
      </c>
      <c r="AM158" s="573">
        <v>0</v>
      </c>
      <c r="AN158" s="573">
        <v>0</v>
      </c>
      <c r="AO158" s="573">
        <v>0</v>
      </c>
      <c r="AP158" s="560">
        <v>0</v>
      </c>
      <c r="AQ158" s="560">
        <v>0</v>
      </c>
      <c r="AR158" s="560">
        <v>0</v>
      </c>
      <c r="AS158" s="560">
        <v>0</v>
      </c>
      <c r="AT158" s="560"/>
      <c r="AU158" s="560"/>
      <c r="AV158" s="560"/>
      <c r="AW158" s="560"/>
      <c r="AX158" s="560"/>
      <c r="AY158" s="529"/>
      <c r="AZ158" s="22"/>
    </row>
    <row r="159" spans="2:52" ht="25.5">
      <c r="B159" s="1023" t="s">
        <v>652</v>
      </c>
      <c r="C159" s="723"/>
      <c r="D159" s="1000"/>
      <c r="E159" s="531" t="s">
        <v>677</v>
      </c>
      <c r="F159" s="532"/>
      <c r="G159" s="531" t="s">
        <v>68</v>
      </c>
      <c r="H159" s="533"/>
      <c r="I159" s="521" t="s">
        <v>678</v>
      </c>
      <c r="J159" s="521" t="s">
        <v>679</v>
      </c>
      <c r="K159" s="521" t="s">
        <v>679</v>
      </c>
      <c r="L159" s="521" t="s">
        <v>679</v>
      </c>
      <c r="M159" s="521" t="s">
        <v>679</v>
      </c>
      <c r="N159" s="521" t="s">
        <v>679</v>
      </c>
      <c r="O159" s="521" t="s">
        <v>1055</v>
      </c>
      <c r="P159" s="521" t="s">
        <v>679</v>
      </c>
      <c r="Q159" s="521" t="s">
        <v>679</v>
      </c>
      <c r="R159" s="521" t="s">
        <v>679</v>
      </c>
      <c r="S159" s="521" t="s">
        <v>679</v>
      </c>
      <c r="T159" s="521" t="s">
        <v>680</v>
      </c>
      <c r="U159" s="521" t="s">
        <v>2011</v>
      </c>
      <c r="V159" s="521" t="s">
        <v>634</v>
      </c>
      <c r="W159" s="521" t="s">
        <v>634</v>
      </c>
      <c r="X159" s="521" t="s">
        <v>635</v>
      </c>
      <c r="Y159" s="521" t="s">
        <v>635</v>
      </c>
      <c r="Z159" s="521" t="s">
        <v>635</v>
      </c>
      <c r="AA159" s="521" t="s">
        <v>635</v>
      </c>
      <c r="AB159" s="521" t="s">
        <v>681</v>
      </c>
      <c r="AC159" s="521" t="s">
        <v>2012</v>
      </c>
      <c r="AD159" s="521" t="s">
        <v>2012</v>
      </c>
      <c r="AE159" s="521" t="s">
        <v>2013</v>
      </c>
      <c r="AF159" s="521" t="s">
        <v>678</v>
      </c>
      <c r="AG159" s="521" t="s">
        <v>678</v>
      </c>
      <c r="AH159" s="521" t="s">
        <v>682</v>
      </c>
      <c r="AI159" s="521" t="s">
        <v>679</v>
      </c>
      <c r="AJ159" s="521" t="s">
        <v>683</v>
      </c>
      <c r="AK159" s="521" t="s">
        <v>2012</v>
      </c>
      <c r="AL159" s="521" t="s">
        <v>2012</v>
      </c>
      <c r="AM159" s="521"/>
      <c r="AN159" s="521"/>
      <c r="AO159" s="521"/>
      <c r="AP159" s="564" t="s">
        <v>638</v>
      </c>
      <c r="AQ159" s="564" t="s">
        <v>638</v>
      </c>
      <c r="AR159" s="564" t="s">
        <v>638</v>
      </c>
      <c r="AS159" s="564" t="s">
        <v>638</v>
      </c>
      <c r="AT159" s="564"/>
      <c r="AU159" s="564"/>
      <c r="AV159" s="564"/>
      <c r="AW159" s="564"/>
      <c r="AX159" s="564"/>
      <c r="AY159" s="533"/>
      <c r="AZ159" s="22"/>
    </row>
    <row r="160" spans="2:52">
      <c r="B160" s="1023" t="s">
        <v>652</v>
      </c>
      <c r="C160" s="723"/>
      <c r="D160" s="999"/>
      <c r="E160" s="5"/>
      <c r="F160" s="5"/>
      <c r="G160" s="5"/>
      <c r="H160" s="16"/>
      <c r="I160" s="16"/>
      <c r="J160" s="16"/>
      <c r="K160" s="16"/>
      <c r="L160" s="16"/>
      <c r="M160" s="16"/>
      <c r="N160" s="16"/>
      <c r="O160" s="16"/>
      <c r="P160" s="16"/>
      <c r="Q160" s="16"/>
      <c r="R160" s="16"/>
      <c r="S160" s="16"/>
      <c r="T160" s="16"/>
      <c r="U160" s="16"/>
      <c r="V160" s="16"/>
      <c r="W160" s="16"/>
      <c r="X160" s="16"/>
      <c r="Y160" s="20"/>
      <c r="Z160" s="5"/>
      <c r="AA160" s="5"/>
      <c r="AB160" s="5"/>
      <c r="AC160" s="5"/>
      <c r="AD160" s="5"/>
      <c r="AE160" s="5"/>
      <c r="AF160" s="5"/>
      <c r="AG160" s="5"/>
      <c r="AH160" s="5"/>
      <c r="AI160" s="5"/>
      <c r="AJ160" s="5"/>
      <c r="AK160" s="5"/>
      <c r="AL160" s="5"/>
      <c r="AM160" s="5"/>
      <c r="AN160" s="5"/>
      <c r="AO160" s="5"/>
      <c r="AP160" s="5"/>
      <c r="AQ160" s="5"/>
      <c r="AR160" s="5"/>
      <c r="AS160" s="22"/>
    </row>
    <row r="161" spans="1:54">
      <c r="B161" s="1023" t="s">
        <v>684</v>
      </c>
      <c r="C161" s="723"/>
      <c r="D161" s="999"/>
      <c r="E161" s="5"/>
      <c r="F161" s="5"/>
      <c r="G161" s="5"/>
      <c r="H161" s="16"/>
      <c r="I161" s="16"/>
      <c r="J161" s="16"/>
      <c r="K161" s="16"/>
      <c r="L161" s="16"/>
      <c r="M161" s="16"/>
      <c r="N161" s="16"/>
      <c r="O161" s="16"/>
      <c r="P161" s="16"/>
      <c r="Q161" s="16"/>
      <c r="R161" s="16"/>
      <c r="S161" s="16"/>
      <c r="T161" s="16"/>
      <c r="U161" s="16"/>
      <c r="V161" s="16"/>
      <c r="W161" s="16"/>
      <c r="X161" s="16"/>
      <c r="Y161" s="20"/>
      <c r="Z161" s="5"/>
      <c r="AA161" s="5"/>
      <c r="AB161" s="5"/>
      <c r="AC161" s="5"/>
      <c r="AD161" s="5"/>
      <c r="AE161" s="5"/>
      <c r="AF161" s="5"/>
      <c r="AG161" s="5"/>
      <c r="AH161" s="5"/>
      <c r="AI161" s="5"/>
      <c r="AJ161" s="5"/>
      <c r="AK161" s="5"/>
      <c r="AL161" s="5"/>
      <c r="AM161" s="5"/>
      <c r="AN161" s="5"/>
      <c r="AO161" s="5"/>
      <c r="AP161" s="5"/>
      <c r="AQ161" s="5"/>
      <c r="AR161" s="5"/>
      <c r="AS161" s="22"/>
    </row>
    <row r="162" spans="1:54" ht="21">
      <c r="B162" s="1023" t="s">
        <v>684</v>
      </c>
      <c r="C162" s="723"/>
      <c r="D162" s="999"/>
      <c r="E162" s="240" t="s">
        <v>685</v>
      </c>
      <c r="F162" s="240"/>
      <c r="G162" s="240"/>
      <c r="H162" s="240"/>
      <c r="I162" s="526"/>
      <c r="J162" s="526"/>
      <c r="K162" s="526"/>
      <c r="L162" s="526"/>
      <c r="M162" s="526"/>
      <c r="N162" s="526"/>
      <c r="O162" s="526"/>
      <c r="P162" s="526"/>
      <c r="Q162" s="526"/>
      <c r="R162" s="526"/>
      <c r="S162" s="526"/>
      <c r="T162" s="526"/>
      <c r="U162" s="526"/>
      <c r="V162" s="526"/>
      <c r="W162" s="526"/>
      <c r="X162" s="526"/>
      <c r="Y162" s="526"/>
      <c r="Z162" s="526"/>
      <c r="AA162" s="526"/>
      <c r="AB162" s="526"/>
      <c r="AC162" s="526"/>
      <c r="AD162" s="5"/>
      <c r="AE162" s="5"/>
      <c r="AF162" s="5"/>
      <c r="AG162" s="5"/>
      <c r="AH162" s="5"/>
      <c r="AI162" s="5"/>
      <c r="AJ162" s="5"/>
      <c r="AK162" s="5"/>
      <c r="AL162" s="5"/>
      <c r="AM162" s="5"/>
      <c r="AN162" s="5"/>
      <c r="AO162" s="5"/>
      <c r="AP162" s="5"/>
      <c r="AQ162" s="5"/>
      <c r="AR162" s="5"/>
      <c r="AS162" s="22"/>
      <c r="AV162" s="5"/>
      <c r="AW162" s="22"/>
    </row>
    <row r="163" spans="1:54">
      <c r="B163" s="1023" t="s">
        <v>684</v>
      </c>
      <c r="C163" s="723"/>
      <c r="D163" s="1000"/>
      <c r="E163" s="386" t="s">
        <v>483</v>
      </c>
      <c r="F163" s="386"/>
      <c r="G163" s="386" t="s">
        <v>420</v>
      </c>
      <c r="H163" s="387"/>
      <c r="I163" s="387">
        <f t="shared" ref="I163:AB163" ca="1" si="43">OFFSET(I163,0,-1)+1</f>
        <v>1</v>
      </c>
      <c r="J163" s="387">
        <f t="shared" ca="1" si="43"/>
        <v>2</v>
      </c>
      <c r="K163" s="387">
        <f t="shared" ca="1" si="43"/>
        <v>3</v>
      </c>
      <c r="L163" s="387">
        <f t="shared" ca="1" si="43"/>
        <v>4</v>
      </c>
      <c r="M163" s="387">
        <f t="shared" ca="1" si="43"/>
        <v>5</v>
      </c>
      <c r="N163" s="387">
        <f t="shared" ca="1" si="43"/>
        <v>6</v>
      </c>
      <c r="O163" s="387">
        <f t="shared" ca="1" si="43"/>
        <v>7</v>
      </c>
      <c r="P163" s="387">
        <f t="shared" ca="1" si="43"/>
        <v>8</v>
      </c>
      <c r="Q163" s="387">
        <f t="shared" ca="1" si="43"/>
        <v>9</v>
      </c>
      <c r="R163" s="387">
        <f t="shared" ca="1" si="43"/>
        <v>10</v>
      </c>
      <c r="S163" s="387">
        <f t="shared" ca="1" si="43"/>
        <v>11</v>
      </c>
      <c r="T163" s="387">
        <f t="shared" ca="1" si="43"/>
        <v>12</v>
      </c>
      <c r="U163" s="387">
        <f t="shared" ca="1" si="43"/>
        <v>13</v>
      </c>
      <c r="V163" s="387">
        <f t="shared" ca="1" si="43"/>
        <v>14</v>
      </c>
      <c r="W163" s="387">
        <f t="shared" ca="1" si="43"/>
        <v>15</v>
      </c>
      <c r="X163" s="387">
        <f t="shared" ca="1" si="43"/>
        <v>16</v>
      </c>
      <c r="Y163" s="387">
        <f t="shared" ca="1" si="43"/>
        <v>17</v>
      </c>
      <c r="Z163" s="387">
        <f t="shared" ca="1" si="43"/>
        <v>18</v>
      </c>
      <c r="AA163" s="387">
        <f t="shared" ca="1" si="43"/>
        <v>19</v>
      </c>
      <c r="AB163" s="387">
        <f t="shared" ca="1" si="43"/>
        <v>20</v>
      </c>
      <c r="AC163" s="387"/>
      <c r="AD163" s="5"/>
      <c r="AE163" s="5"/>
      <c r="AF163" s="5"/>
      <c r="AG163" s="5"/>
      <c r="AH163" s="5"/>
      <c r="AI163" s="5"/>
      <c r="AJ163" s="5"/>
      <c r="AK163" s="5"/>
      <c r="AL163" s="5"/>
      <c r="AM163" s="5"/>
      <c r="AN163" s="5"/>
      <c r="AO163" s="5"/>
      <c r="AP163" s="5"/>
      <c r="AQ163" s="5"/>
      <c r="AR163" s="5"/>
      <c r="AS163" s="22"/>
      <c r="AV163" s="5"/>
      <c r="AW163" s="22"/>
    </row>
    <row r="164" spans="1:54" s="2" customFormat="1" ht="18.75">
      <c r="A164" s="309"/>
      <c r="B164" s="1023" t="s">
        <v>684</v>
      </c>
      <c r="C164" s="723"/>
      <c r="D164" s="1002"/>
      <c r="E164" s="403" t="s">
        <v>540</v>
      </c>
      <c r="F164" s="404"/>
      <c r="G164" s="403"/>
      <c r="H164" s="511"/>
      <c r="I164" s="527"/>
      <c r="J164" s="527"/>
      <c r="K164" s="527"/>
      <c r="L164" s="527"/>
      <c r="M164" s="527"/>
      <c r="N164" s="527"/>
      <c r="O164" s="527"/>
      <c r="P164" s="527"/>
      <c r="Q164" s="527"/>
      <c r="R164" s="527"/>
      <c r="S164" s="527"/>
      <c r="T164" s="684" t="s">
        <v>541</v>
      </c>
      <c r="U164" s="684" t="s">
        <v>541</v>
      </c>
      <c r="V164" s="684" t="s">
        <v>541</v>
      </c>
      <c r="W164" s="684" t="s">
        <v>541</v>
      </c>
      <c r="X164" s="684" t="s">
        <v>541</v>
      </c>
      <c r="Y164" s="684" t="s">
        <v>541</v>
      </c>
      <c r="Z164" s="684" t="s">
        <v>541</v>
      </c>
      <c r="AA164" s="684" t="s">
        <v>541</v>
      </c>
      <c r="AB164" s="684" t="s">
        <v>541</v>
      </c>
      <c r="AC164" s="528"/>
      <c r="AD164" s="5"/>
      <c r="AE164" s="5"/>
      <c r="AF164" s="5"/>
      <c r="AG164" s="5"/>
      <c r="AH164" s="5"/>
      <c r="AI164" s="5"/>
      <c r="AJ164" s="5"/>
      <c r="AK164" s="5"/>
      <c r="AL164" s="5"/>
      <c r="AM164" s="5"/>
      <c r="AN164" s="5"/>
      <c r="AO164" s="5"/>
      <c r="AP164" s="5"/>
      <c r="AQ164" s="5"/>
      <c r="AR164" s="5"/>
      <c r="AS164" s="22"/>
      <c r="AT164"/>
      <c r="AU164"/>
      <c r="AV164" s="5"/>
      <c r="AW164" s="22"/>
      <c r="AX164"/>
      <c r="AY164"/>
      <c r="AZ164"/>
      <c r="BA164"/>
      <c r="BB164"/>
    </row>
    <row r="165" spans="1:54" ht="51">
      <c r="B165" s="1023" t="s">
        <v>684</v>
      </c>
      <c r="C165" s="723"/>
      <c r="D165" s="999"/>
      <c r="E165" s="395" t="s">
        <v>542</v>
      </c>
      <c r="F165" s="396"/>
      <c r="G165" s="395" t="s">
        <v>68</v>
      </c>
      <c r="H165" s="408"/>
      <c r="I165" s="494" t="s">
        <v>686</v>
      </c>
      <c r="J165" s="522" t="s">
        <v>180</v>
      </c>
      <c r="K165" s="522" t="s">
        <v>687</v>
      </c>
      <c r="L165" s="522" t="s">
        <v>688</v>
      </c>
      <c r="M165" s="522" t="s">
        <v>689</v>
      </c>
      <c r="N165" s="522" t="s">
        <v>690</v>
      </c>
      <c r="O165" s="522" t="s">
        <v>691</v>
      </c>
      <c r="P165" s="522" t="s">
        <v>692</v>
      </c>
      <c r="Q165" s="522" t="s">
        <v>693</v>
      </c>
      <c r="R165" s="522" t="s">
        <v>694</v>
      </c>
      <c r="S165" s="522" t="s">
        <v>695</v>
      </c>
      <c r="T165" s="574"/>
      <c r="U165" s="575"/>
      <c r="V165" s="575"/>
      <c r="W165" s="575"/>
      <c r="X165" s="575"/>
      <c r="Y165" s="575"/>
      <c r="Z165" s="575"/>
      <c r="AA165" s="575"/>
      <c r="AB165" s="575"/>
      <c r="AC165" s="529"/>
      <c r="AD165" s="16"/>
      <c r="AE165" s="16"/>
      <c r="AF165" s="16"/>
      <c r="AG165" s="16"/>
      <c r="AH165" s="16"/>
      <c r="AI165" s="5"/>
      <c r="AJ165" s="5"/>
      <c r="AK165" s="5"/>
      <c r="AL165" s="5"/>
      <c r="AM165" s="5"/>
      <c r="AN165" s="5"/>
      <c r="AO165" s="5"/>
      <c r="AP165" s="5"/>
      <c r="AQ165" s="5"/>
      <c r="AR165" s="5"/>
      <c r="AS165" s="22"/>
      <c r="AV165" s="5"/>
      <c r="AW165" s="22"/>
    </row>
    <row r="166" spans="1:54">
      <c r="B166" s="1023" t="s">
        <v>684</v>
      </c>
      <c r="C166" s="723"/>
      <c r="D166" s="999"/>
      <c r="E166" s="395" t="s">
        <v>571</v>
      </c>
      <c r="F166" s="396"/>
      <c r="G166" s="512"/>
      <c r="H166" s="408"/>
      <c r="I166" s="513"/>
      <c r="J166" s="513"/>
      <c r="K166" s="513"/>
      <c r="L166" s="513"/>
      <c r="M166" s="513"/>
      <c r="N166" s="513"/>
      <c r="O166" s="513"/>
      <c r="P166" s="513"/>
      <c r="Q166" s="513"/>
      <c r="R166" s="513"/>
      <c r="S166" s="513"/>
      <c r="T166" s="576"/>
      <c r="U166" s="577"/>
      <c r="V166" s="577"/>
      <c r="W166" s="577"/>
      <c r="X166" s="577"/>
      <c r="Y166" s="577"/>
      <c r="Z166" s="577"/>
      <c r="AA166" s="577"/>
      <c r="AB166" s="577"/>
      <c r="AC166" s="408"/>
      <c r="AD166" s="16"/>
      <c r="AE166" s="16"/>
      <c r="AF166" s="16"/>
      <c r="AG166" s="16"/>
      <c r="AH166" s="16"/>
      <c r="AI166" s="5"/>
      <c r="AJ166" s="5"/>
      <c r="AK166" s="5"/>
      <c r="AL166" s="5"/>
      <c r="AM166" s="5"/>
      <c r="AN166" s="5"/>
      <c r="AO166" s="5"/>
      <c r="AP166" s="5"/>
      <c r="AQ166" s="5"/>
      <c r="AR166" s="5"/>
      <c r="AS166" s="22"/>
      <c r="AV166" s="5"/>
      <c r="AW166" s="22"/>
    </row>
    <row r="167" spans="1:54" s="2" customFormat="1">
      <c r="A167" s="309"/>
      <c r="B167" s="1023" t="s">
        <v>684</v>
      </c>
      <c r="C167" s="724"/>
      <c r="D167" s="1000" t="s">
        <v>48</v>
      </c>
      <c r="E167" s="246" t="s">
        <v>573</v>
      </c>
      <c r="F167" s="548"/>
      <c r="G167" s="246"/>
      <c r="H167" s="549"/>
      <c r="I167" s="589" t="s">
        <v>574</v>
      </c>
      <c r="J167" s="589" t="s">
        <v>574</v>
      </c>
      <c r="K167" s="589" t="s">
        <v>574</v>
      </c>
      <c r="L167" s="589" t="s">
        <v>574</v>
      </c>
      <c r="M167" s="589" t="s">
        <v>574</v>
      </c>
      <c r="N167" s="589" t="s">
        <v>574</v>
      </c>
      <c r="O167" s="589" t="s">
        <v>574</v>
      </c>
      <c r="P167" s="589" t="s">
        <v>574</v>
      </c>
      <c r="Q167" s="589" t="s">
        <v>574</v>
      </c>
      <c r="R167" s="589" t="s">
        <v>574</v>
      </c>
      <c r="S167" s="589" t="s">
        <v>574</v>
      </c>
      <c r="T167" s="579"/>
      <c r="U167" s="579"/>
      <c r="V167" s="579"/>
      <c r="W167" s="579"/>
      <c r="X167" s="579"/>
      <c r="Y167" s="579"/>
      <c r="Z167" s="579"/>
      <c r="AA167" s="579"/>
      <c r="AB167" s="579"/>
      <c r="AC167" s="549"/>
      <c r="AD167" s="16"/>
      <c r="AE167" s="9"/>
      <c r="AF167" s="9"/>
      <c r="AG167" s="9"/>
      <c r="AH167" s="9"/>
      <c r="AI167" s="4"/>
      <c r="AJ167" s="4"/>
      <c r="AK167" s="4"/>
      <c r="AL167" s="4"/>
      <c r="AM167" s="4"/>
      <c r="AN167" s="4"/>
      <c r="AO167" s="4"/>
      <c r="AP167" s="4"/>
      <c r="AQ167" s="4"/>
      <c r="AR167" s="4"/>
      <c r="AS167" s="22"/>
      <c r="AT167" s="4"/>
      <c r="AU167" s="4"/>
      <c r="AV167" s="4"/>
      <c r="AW167" s="580"/>
    </row>
    <row r="168" spans="1:54" s="2" customFormat="1">
      <c r="A168" s="309"/>
      <c r="B168" s="1023" t="s">
        <v>684</v>
      </c>
      <c r="C168" s="724"/>
      <c r="D168" s="1002"/>
      <c r="E168" s="246" t="s">
        <v>576</v>
      </c>
      <c r="F168" s="548"/>
      <c r="G168" s="246" t="s">
        <v>68</v>
      </c>
      <c r="H168" s="549"/>
      <c r="I168" s="589">
        <v>0</v>
      </c>
      <c r="J168" s="589">
        <v>0</v>
      </c>
      <c r="K168" s="589">
        <v>0</v>
      </c>
      <c r="L168" s="589">
        <v>0</v>
      </c>
      <c r="M168" s="589">
        <v>0</v>
      </c>
      <c r="N168" s="589">
        <v>0</v>
      </c>
      <c r="O168" s="589">
        <v>0</v>
      </c>
      <c r="P168" s="589">
        <v>1</v>
      </c>
      <c r="Q168" s="589">
        <v>0</v>
      </c>
      <c r="R168" s="589">
        <v>0</v>
      </c>
      <c r="S168" s="589">
        <v>0</v>
      </c>
      <c r="T168" s="590"/>
      <c r="U168" s="590"/>
      <c r="V168" s="590"/>
      <c r="W168" s="590"/>
      <c r="X168" s="590"/>
      <c r="Y168" s="590"/>
      <c r="Z168" s="590"/>
      <c r="AA168" s="590"/>
      <c r="AB168" s="590"/>
      <c r="AC168" s="549"/>
      <c r="AD168" s="16"/>
      <c r="AE168" s="9"/>
      <c r="AF168" s="9"/>
      <c r="AG168" s="9"/>
      <c r="AH168" s="9"/>
      <c r="AI168" s="4"/>
      <c r="AJ168" s="4"/>
      <c r="AK168" s="4"/>
      <c r="AL168" s="4"/>
      <c r="AM168" s="4"/>
      <c r="AN168" s="4"/>
      <c r="AO168" s="4"/>
      <c r="AP168" s="4"/>
      <c r="AQ168" s="4"/>
      <c r="AR168" s="4"/>
      <c r="AS168" s="580"/>
      <c r="AT168" s="4"/>
      <c r="AU168" s="4"/>
      <c r="AV168" s="4"/>
      <c r="AW168" s="580"/>
    </row>
    <row r="169" spans="1:54" s="2" customFormat="1">
      <c r="A169" s="309"/>
      <c r="B169" s="1023" t="s">
        <v>684</v>
      </c>
      <c r="C169" s="724"/>
      <c r="D169" s="1002"/>
      <c r="E169" s="246" t="s">
        <v>577</v>
      </c>
      <c r="F169" s="548"/>
      <c r="G169" s="246" t="s">
        <v>68</v>
      </c>
      <c r="H169" s="549"/>
      <c r="I169" s="589">
        <v>0</v>
      </c>
      <c r="J169" s="589">
        <v>0</v>
      </c>
      <c r="K169" s="589">
        <v>0</v>
      </c>
      <c r="L169" s="589">
        <v>0</v>
      </c>
      <c r="M169" s="589">
        <v>1</v>
      </c>
      <c r="N169" s="589">
        <v>1</v>
      </c>
      <c r="O169" s="589">
        <v>1</v>
      </c>
      <c r="P169" s="589">
        <v>0</v>
      </c>
      <c r="Q169" s="589">
        <v>0</v>
      </c>
      <c r="R169" s="589">
        <v>0</v>
      </c>
      <c r="S169" s="589">
        <v>0</v>
      </c>
      <c r="T169" s="590"/>
      <c r="U169" s="590"/>
      <c r="V169" s="590"/>
      <c r="W169" s="590"/>
      <c r="X169" s="590"/>
      <c r="Y169" s="590"/>
      <c r="Z169" s="590"/>
      <c r="AA169" s="590"/>
      <c r="AB169" s="590"/>
      <c r="AC169" s="549"/>
      <c r="AD169" s="16"/>
      <c r="AE169" s="9"/>
      <c r="AF169" s="9"/>
      <c r="AG169" s="9"/>
      <c r="AH169" s="9"/>
      <c r="AI169" s="4"/>
      <c r="AJ169" s="4"/>
      <c r="AK169" s="4"/>
      <c r="AL169" s="4"/>
      <c r="AM169" s="4"/>
      <c r="AN169" s="4"/>
      <c r="AO169" s="4"/>
      <c r="AP169" s="4"/>
      <c r="AQ169" s="4"/>
      <c r="AR169" s="4"/>
      <c r="AS169" s="580"/>
      <c r="AT169" s="4"/>
      <c r="AU169" s="4"/>
      <c r="AV169" s="4"/>
      <c r="AW169" s="580"/>
    </row>
    <row r="170" spans="1:54" s="2" customFormat="1">
      <c r="A170" s="309"/>
      <c r="B170" s="1023" t="s">
        <v>684</v>
      </c>
      <c r="C170" s="724"/>
      <c r="D170" s="1002"/>
      <c r="E170" s="246" t="s">
        <v>696</v>
      </c>
      <c r="F170" s="548"/>
      <c r="G170" s="246" t="s">
        <v>68</v>
      </c>
      <c r="H170" s="549"/>
      <c r="I170" s="589">
        <v>0</v>
      </c>
      <c r="J170" s="589">
        <v>0</v>
      </c>
      <c r="K170" s="589">
        <v>0</v>
      </c>
      <c r="L170" s="589">
        <v>0</v>
      </c>
      <c r="M170" s="589">
        <v>0</v>
      </c>
      <c r="N170" s="589">
        <v>0</v>
      </c>
      <c r="O170" s="589">
        <v>1</v>
      </c>
      <c r="P170" s="589">
        <v>0</v>
      </c>
      <c r="Q170" s="589">
        <v>0</v>
      </c>
      <c r="R170" s="589">
        <v>0</v>
      </c>
      <c r="S170" s="589">
        <v>0</v>
      </c>
      <c r="T170" s="590"/>
      <c r="U170" s="590"/>
      <c r="V170" s="590"/>
      <c r="W170" s="590"/>
      <c r="X170" s="590"/>
      <c r="Y170" s="590"/>
      <c r="Z170" s="590"/>
      <c r="AA170" s="590"/>
      <c r="AB170" s="590"/>
      <c r="AC170" s="549"/>
      <c r="AD170" s="16"/>
      <c r="AE170" s="9"/>
      <c r="AF170" s="9"/>
      <c r="AG170" s="9"/>
      <c r="AH170" s="9"/>
      <c r="AI170" s="4"/>
      <c r="AJ170" s="4"/>
      <c r="AK170" s="4"/>
      <c r="AL170" s="4"/>
      <c r="AM170" s="4"/>
      <c r="AN170" s="4"/>
      <c r="AO170" s="4"/>
      <c r="AP170" s="4"/>
      <c r="AQ170" s="4"/>
      <c r="AR170" s="4"/>
      <c r="AS170" s="580"/>
      <c r="AT170" s="4"/>
      <c r="AU170" s="4"/>
      <c r="AV170" s="4"/>
      <c r="AW170" s="580"/>
    </row>
    <row r="171" spans="1:54" s="2" customFormat="1" ht="18.75">
      <c r="A171" s="309"/>
      <c r="B171" s="1023" t="s">
        <v>684</v>
      </c>
      <c r="C171" s="723"/>
      <c r="D171" s="1002"/>
      <c r="E171" s="403" t="s">
        <v>586</v>
      </c>
      <c r="F171" s="404"/>
      <c r="G171" s="403"/>
      <c r="H171" s="511"/>
      <c r="I171" s="527"/>
      <c r="J171" s="527"/>
      <c r="K171" s="527"/>
      <c r="L171" s="527"/>
      <c r="M171" s="527"/>
      <c r="N171" s="527"/>
      <c r="O171" s="527"/>
      <c r="P171" s="527"/>
      <c r="Q171" s="527"/>
      <c r="R171" s="527"/>
      <c r="S171" s="527"/>
      <c r="T171" s="527"/>
      <c r="U171" s="527"/>
      <c r="V171" s="527"/>
      <c r="W171" s="527"/>
      <c r="X171" s="527"/>
      <c r="Y171" s="527"/>
      <c r="Z171" s="527"/>
      <c r="AA171" s="527"/>
      <c r="AB171" s="527"/>
      <c r="AC171" s="511"/>
      <c r="AD171" s="16"/>
      <c r="AE171" s="9"/>
      <c r="AF171" s="9"/>
      <c r="AG171" s="9"/>
      <c r="AH171" s="9"/>
      <c r="AI171" s="4"/>
      <c r="AJ171" s="4"/>
      <c r="AK171" s="4"/>
      <c r="AL171" s="4"/>
      <c r="AM171" s="4"/>
      <c r="AN171" s="4"/>
      <c r="AO171" s="4"/>
      <c r="AP171" s="4"/>
      <c r="AQ171" s="4"/>
      <c r="AR171" s="4"/>
      <c r="AS171" s="22"/>
      <c r="AT171" s="4"/>
      <c r="AU171" s="4"/>
      <c r="AV171" s="4"/>
      <c r="AW171" s="22"/>
    </row>
    <row r="172" spans="1:54" s="38" customFormat="1" ht="38.25">
      <c r="A172" s="233"/>
      <c r="B172" s="1023" t="s">
        <v>684</v>
      </c>
      <c r="C172" s="723"/>
      <c r="D172" s="999"/>
      <c r="E172" s="534" t="s">
        <v>587</v>
      </c>
      <c r="F172" s="396"/>
      <c r="G172" s="534" t="s">
        <v>68</v>
      </c>
      <c r="H172" s="408"/>
      <c r="I172" s="494" t="s">
        <v>153</v>
      </c>
      <c r="J172" s="494" t="s">
        <v>611</v>
      </c>
      <c r="K172" s="494" t="s">
        <v>153</v>
      </c>
      <c r="L172" s="494" t="s">
        <v>153</v>
      </c>
      <c r="M172" s="494" t="s">
        <v>153</v>
      </c>
      <c r="N172" s="494" t="s">
        <v>153</v>
      </c>
      <c r="O172" s="494" t="s">
        <v>153</v>
      </c>
      <c r="P172" s="494" t="s">
        <v>153</v>
      </c>
      <c r="Q172" s="494" t="s">
        <v>588</v>
      </c>
      <c r="R172" s="494" t="s">
        <v>594</v>
      </c>
      <c r="S172" s="494" t="s">
        <v>588</v>
      </c>
      <c r="T172" s="561"/>
      <c r="U172" s="561"/>
      <c r="V172" s="561"/>
      <c r="W172" s="561"/>
      <c r="X172" s="561"/>
      <c r="Y172" s="561"/>
      <c r="Z172" s="561"/>
      <c r="AA172" s="561"/>
      <c r="AB172" s="561"/>
      <c r="AC172" s="408"/>
      <c r="AD172" s="16"/>
      <c r="AE172" s="16"/>
      <c r="AF172" s="16"/>
      <c r="AG172" s="16"/>
      <c r="AH172" s="16"/>
      <c r="AI172" s="76"/>
      <c r="AJ172" s="76"/>
      <c r="AK172" s="76"/>
      <c r="AL172" s="76"/>
      <c r="AM172" s="76"/>
      <c r="AN172" s="76"/>
      <c r="AO172" s="76"/>
      <c r="AP172" s="76"/>
      <c r="AQ172" s="76"/>
      <c r="AR172" s="76"/>
      <c r="AS172" s="22"/>
      <c r="AT172" s="76"/>
      <c r="AU172" s="76"/>
      <c r="AV172" s="76"/>
      <c r="AW172" s="22"/>
    </row>
    <row r="173" spans="1:54" s="2" customFormat="1">
      <c r="A173" s="309"/>
      <c r="B173" s="1023" t="s">
        <v>684</v>
      </c>
      <c r="C173" s="724"/>
      <c r="D173" s="1002"/>
      <c r="E173" s="246" t="s">
        <v>599</v>
      </c>
      <c r="F173" s="548"/>
      <c r="G173" s="246" t="s">
        <v>68</v>
      </c>
      <c r="H173" s="549"/>
      <c r="I173" s="586" t="str">
        <f t="shared" ref="I173:AB173" si="44">IF(I172="","",HLOOKUP(I172,ENERGIEDRAGERS,ROWS($E$216:$E$220),FALSE))</f>
        <v>kWh</v>
      </c>
      <c r="J173" s="586" t="str">
        <f t="shared" si="44"/>
        <v>nvt</v>
      </c>
      <c r="K173" s="586" t="str">
        <f t="shared" si="44"/>
        <v>kWh</v>
      </c>
      <c r="L173" s="586" t="str">
        <f t="shared" si="44"/>
        <v>kWh</v>
      </c>
      <c r="M173" s="586" t="str">
        <f t="shared" si="44"/>
        <v>kWh</v>
      </c>
      <c r="N173" s="586" t="str">
        <f t="shared" si="44"/>
        <v>kWh</v>
      </c>
      <c r="O173" s="586" t="str">
        <f t="shared" si="44"/>
        <v>kWh</v>
      </c>
      <c r="P173" s="586" t="str">
        <f t="shared" si="44"/>
        <v>kWh</v>
      </c>
      <c r="Q173" s="586" t="str">
        <f t="shared" si="44"/>
        <v>m3</v>
      </c>
      <c r="R173" s="586" t="str">
        <f t="shared" si="44"/>
        <v>GJ</v>
      </c>
      <c r="S173" s="586" t="str">
        <f t="shared" si="44"/>
        <v>m3</v>
      </c>
      <c r="T173" s="586" t="str">
        <f t="shared" si="44"/>
        <v/>
      </c>
      <c r="U173" s="586" t="str">
        <f t="shared" si="44"/>
        <v/>
      </c>
      <c r="V173" s="586" t="str">
        <f t="shared" si="44"/>
        <v/>
      </c>
      <c r="W173" s="586" t="str">
        <f t="shared" si="44"/>
        <v/>
      </c>
      <c r="X173" s="586" t="str">
        <f t="shared" si="44"/>
        <v/>
      </c>
      <c r="Y173" s="586" t="str">
        <f t="shared" si="44"/>
        <v/>
      </c>
      <c r="Z173" s="586" t="str">
        <f t="shared" si="44"/>
        <v/>
      </c>
      <c r="AA173" s="586" t="str">
        <f t="shared" si="44"/>
        <v/>
      </c>
      <c r="AB173" s="586" t="str">
        <f t="shared" si="44"/>
        <v/>
      </c>
      <c r="AC173" s="549"/>
      <c r="AD173" s="16"/>
      <c r="AE173" s="9"/>
      <c r="AF173" s="9"/>
      <c r="AG173" s="9"/>
      <c r="AH173" s="9"/>
      <c r="AI173" s="4"/>
      <c r="AJ173" s="4"/>
      <c r="AK173" s="4"/>
      <c r="AL173" s="4"/>
      <c r="AM173" s="4"/>
      <c r="AN173" s="4"/>
      <c r="AO173" s="4"/>
      <c r="AP173" s="4"/>
      <c r="AQ173" s="4"/>
      <c r="AR173" s="4"/>
      <c r="AS173" s="580"/>
      <c r="AT173" s="4"/>
      <c r="AU173" s="4"/>
      <c r="AV173" s="4"/>
      <c r="AW173" s="580"/>
    </row>
    <row r="174" spans="1:54" s="2" customFormat="1">
      <c r="A174" s="309"/>
      <c r="B174" s="1023" t="s">
        <v>684</v>
      </c>
      <c r="C174" s="724"/>
      <c r="D174" s="1002"/>
      <c r="E174" s="246" t="s">
        <v>600</v>
      </c>
      <c r="F174" s="548"/>
      <c r="G174" s="246" t="s">
        <v>147</v>
      </c>
      <c r="H174" s="549"/>
      <c r="I174" s="587">
        <v>1</v>
      </c>
      <c r="J174" s="587">
        <v>1</v>
      </c>
      <c r="K174" s="587">
        <v>1</v>
      </c>
      <c r="L174" s="587">
        <v>1</v>
      </c>
      <c r="M174" s="587">
        <v>1</v>
      </c>
      <c r="N174" s="587">
        <v>1</v>
      </c>
      <c r="O174" s="587">
        <v>1</v>
      </c>
      <c r="P174" s="587">
        <v>1</v>
      </c>
      <c r="Q174" s="587">
        <v>1</v>
      </c>
      <c r="R174" s="587">
        <v>1</v>
      </c>
      <c r="S174" s="587">
        <v>1</v>
      </c>
      <c r="T174" s="588"/>
      <c r="U174" s="588"/>
      <c r="V174" s="588"/>
      <c r="W174" s="588"/>
      <c r="X174" s="588"/>
      <c r="Y174" s="588"/>
      <c r="Z174" s="588"/>
      <c r="AA174" s="588"/>
      <c r="AB174" s="588"/>
      <c r="AC174" s="549"/>
      <c r="AD174" s="16"/>
      <c r="AE174" s="9"/>
      <c r="AF174" s="9"/>
      <c r="AG174" s="9"/>
      <c r="AH174" s="9"/>
      <c r="AI174" s="4"/>
      <c r="AJ174" s="4"/>
      <c r="AK174" s="4"/>
      <c r="AL174" s="4"/>
      <c r="AM174" s="4"/>
      <c r="AN174" s="4"/>
      <c r="AO174" s="4"/>
      <c r="AP174" s="4"/>
      <c r="AQ174" s="4"/>
      <c r="AR174" s="4"/>
      <c r="AS174" s="580"/>
      <c r="AT174" s="4"/>
      <c r="AU174" s="4"/>
      <c r="AV174" s="4"/>
      <c r="AW174" s="580"/>
    </row>
    <row r="175" spans="1:54" s="2" customFormat="1">
      <c r="A175" s="309"/>
      <c r="B175" s="1023" t="s">
        <v>684</v>
      </c>
      <c r="C175" s="724"/>
      <c r="D175" s="1002"/>
      <c r="E175" s="246" t="s">
        <v>697</v>
      </c>
      <c r="F175" s="548"/>
      <c r="G175" s="246" t="s">
        <v>68</v>
      </c>
      <c r="H175" s="549"/>
      <c r="I175" s="582">
        <v>3</v>
      </c>
      <c r="J175" s="582">
        <v>0</v>
      </c>
      <c r="K175" s="582">
        <v>4</v>
      </c>
      <c r="L175" s="582">
        <v>5</v>
      </c>
      <c r="M175" s="582">
        <v>6</v>
      </c>
      <c r="N175" s="582">
        <v>8</v>
      </c>
      <c r="O175" s="582">
        <v>10</v>
      </c>
      <c r="P175" s="582">
        <v>4</v>
      </c>
      <c r="Q175" s="582">
        <v>0.8</v>
      </c>
      <c r="R175" s="582">
        <v>0.8</v>
      </c>
      <c r="S175" s="582">
        <v>0.5</v>
      </c>
      <c r="T175" s="579"/>
      <c r="U175" s="579"/>
      <c r="V175" s="579"/>
      <c r="W175" s="579"/>
      <c r="X175" s="579"/>
      <c r="Y175" s="579"/>
      <c r="Z175" s="579"/>
      <c r="AA175" s="579"/>
      <c r="AB175" s="579"/>
      <c r="AC175" s="549"/>
      <c r="AD175" s="16"/>
      <c r="AE175" s="9"/>
      <c r="AF175" s="9"/>
      <c r="AG175" s="9"/>
      <c r="AH175" s="9"/>
      <c r="AI175" s="4"/>
      <c r="AJ175" s="4"/>
      <c r="AK175" s="4"/>
      <c r="AL175" s="4"/>
      <c r="AM175" s="4"/>
      <c r="AN175" s="4"/>
      <c r="AO175" s="4"/>
      <c r="AP175" s="4"/>
      <c r="AQ175" s="4"/>
      <c r="AR175" s="4"/>
      <c r="AS175" s="580"/>
      <c r="AT175" s="4"/>
      <c r="AU175" s="4"/>
      <c r="AV175" s="4"/>
      <c r="AW175" s="580"/>
    </row>
    <row r="176" spans="1:54" s="2" customFormat="1">
      <c r="A176" s="309"/>
      <c r="B176" s="1023" t="s">
        <v>684</v>
      </c>
      <c r="C176" s="724"/>
      <c r="D176" s="1002"/>
      <c r="E176" s="246" t="s">
        <v>698</v>
      </c>
      <c r="F176" s="548"/>
      <c r="G176" s="246" t="s">
        <v>68</v>
      </c>
      <c r="H176" s="549"/>
      <c r="I176" s="582">
        <v>0</v>
      </c>
      <c r="J176" s="582">
        <v>0</v>
      </c>
      <c r="K176" s="582">
        <v>0</v>
      </c>
      <c r="L176" s="582">
        <v>0</v>
      </c>
      <c r="M176" s="582">
        <v>0</v>
      </c>
      <c r="N176" s="582">
        <v>0</v>
      </c>
      <c r="O176" s="582">
        <v>0</v>
      </c>
      <c r="P176" s="582">
        <v>0</v>
      </c>
      <c r="Q176" s="582">
        <v>0</v>
      </c>
      <c r="R176" s="582">
        <v>0</v>
      </c>
      <c r="S176" s="582">
        <v>0.32</v>
      </c>
      <c r="T176" s="579"/>
      <c r="U176" s="579"/>
      <c r="V176" s="579"/>
      <c r="W176" s="579"/>
      <c r="X176" s="579"/>
      <c r="Y176" s="579"/>
      <c r="Z176" s="579"/>
      <c r="AA176" s="579"/>
      <c r="AB176" s="579"/>
      <c r="AC176" s="549"/>
      <c r="AD176" s="16"/>
      <c r="AE176" s="9"/>
      <c r="AF176" s="9"/>
      <c r="AG176" s="9"/>
      <c r="AH176" s="9"/>
      <c r="AI176" s="4"/>
      <c r="AJ176" s="4"/>
      <c r="AK176" s="4"/>
      <c r="AL176" s="4"/>
      <c r="AM176" s="4"/>
      <c r="AN176" s="4"/>
      <c r="AO176" s="4"/>
      <c r="AP176" s="4"/>
      <c r="AQ176" s="4"/>
      <c r="AR176" s="4"/>
      <c r="AS176" s="580"/>
      <c r="AT176" s="4"/>
      <c r="AU176" s="4"/>
      <c r="AV176" s="4"/>
      <c r="AW176" s="580"/>
    </row>
    <row r="177" spans="1:49" s="2" customFormat="1" ht="18.75">
      <c r="A177" s="309"/>
      <c r="B177" s="1023" t="s">
        <v>684</v>
      </c>
      <c r="C177" s="723"/>
      <c r="D177" s="1002"/>
      <c r="E177" s="403" t="s">
        <v>607</v>
      </c>
      <c r="F177" s="404"/>
      <c r="G177" s="403"/>
      <c r="H177" s="511"/>
      <c r="I177" s="527"/>
      <c r="J177" s="527"/>
      <c r="K177" s="527"/>
      <c r="L177" s="527"/>
      <c r="M177" s="527"/>
      <c r="N177" s="527"/>
      <c r="O177" s="527"/>
      <c r="P177" s="527"/>
      <c r="Q177" s="527"/>
      <c r="R177" s="527"/>
      <c r="S177" s="527"/>
      <c r="T177" s="527"/>
      <c r="U177" s="527"/>
      <c r="V177" s="527"/>
      <c r="W177" s="527"/>
      <c r="X177" s="527"/>
      <c r="Y177" s="527"/>
      <c r="Z177" s="527"/>
      <c r="AA177" s="527"/>
      <c r="AB177" s="527"/>
      <c r="AC177" s="511"/>
      <c r="AD177" s="16"/>
      <c r="AE177" s="9"/>
      <c r="AF177" s="9"/>
      <c r="AG177" s="9"/>
      <c r="AH177" s="9"/>
      <c r="AI177" s="4"/>
      <c r="AJ177" s="4"/>
      <c r="AK177" s="4"/>
      <c r="AL177" s="4"/>
      <c r="AM177" s="4"/>
      <c r="AN177" s="4"/>
      <c r="AO177" s="4"/>
      <c r="AP177" s="4"/>
      <c r="AQ177" s="4"/>
      <c r="AR177" s="4"/>
      <c r="AS177" s="22"/>
      <c r="AT177" s="4"/>
      <c r="AU177" s="4"/>
      <c r="AV177" s="4"/>
      <c r="AW177" s="22"/>
    </row>
    <row r="178" spans="1:49">
      <c r="B178" s="1023" t="s">
        <v>684</v>
      </c>
      <c r="C178" s="723"/>
      <c r="D178" s="999"/>
      <c r="E178" s="395" t="s">
        <v>542</v>
      </c>
      <c r="F178" s="396"/>
      <c r="G178" s="395" t="s">
        <v>68</v>
      </c>
      <c r="H178" s="408"/>
      <c r="I178" s="522" t="s">
        <v>180</v>
      </c>
      <c r="J178" s="522" t="s">
        <v>180</v>
      </c>
      <c r="K178" s="522" t="s">
        <v>180</v>
      </c>
      <c r="L178" s="522" t="s">
        <v>180</v>
      </c>
      <c r="M178" s="522" t="s">
        <v>180</v>
      </c>
      <c r="N178" s="522" t="s">
        <v>180</v>
      </c>
      <c r="O178" s="522" t="s">
        <v>180</v>
      </c>
      <c r="P178" s="522" t="s">
        <v>180</v>
      </c>
      <c r="Q178" s="522" t="s">
        <v>180</v>
      </c>
      <c r="R178" s="522" t="s">
        <v>180</v>
      </c>
      <c r="S178" s="522" t="s">
        <v>180</v>
      </c>
      <c r="T178" s="561"/>
      <c r="U178" s="561"/>
      <c r="V178" s="561"/>
      <c r="W178" s="561"/>
      <c r="X178" s="561"/>
      <c r="Y178" s="561"/>
      <c r="Z178" s="561"/>
      <c r="AA178" s="561"/>
      <c r="AB178" s="561"/>
      <c r="AC178" s="408"/>
      <c r="AD178" s="16"/>
      <c r="AE178" s="16"/>
      <c r="AF178" s="16"/>
      <c r="AG178" s="16"/>
      <c r="AH178" s="16"/>
      <c r="AI178" s="5"/>
      <c r="AJ178" s="5"/>
      <c r="AK178" s="5"/>
      <c r="AL178" s="5"/>
      <c r="AM178" s="5"/>
      <c r="AN178" s="5"/>
      <c r="AO178" s="5"/>
      <c r="AP178" s="5"/>
      <c r="AQ178" s="5"/>
      <c r="AR178" s="5"/>
      <c r="AS178" s="22"/>
      <c r="AT178" s="5"/>
      <c r="AU178" s="5"/>
      <c r="AV178" s="5"/>
      <c r="AW178" s="22"/>
    </row>
    <row r="179" spans="1:49" s="2" customFormat="1">
      <c r="A179" s="309"/>
      <c r="B179" s="1023" t="s">
        <v>684</v>
      </c>
      <c r="C179" s="724"/>
      <c r="D179" s="1002"/>
      <c r="E179" s="246" t="s">
        <v>587</v>
      </c>
      <c r="F179" s="548"/>
      <c r="G179" s="246" t="s">
        <v>68</v>
      </c>
      <c r="H179" s="549"/>
      <c r="I179" s="550" t="s">
        <v>611</v>
      </c>
      <c r="J179" s="550" t="s">
        <v>611</v>
      </c>
      <c r="K179" s="550" t="s">
        <v>611</v>
      </c>
      <c r="L179" s="550" t="s">
        <v>611</v>
      </c>
      <c r="M179" s="550" t="s">
        <v>611</v>
      </c>
      <c r="N179" s="550" t="s">
        <v>611</v>
      </c>
      <c r="O179" s="550" t="s">
        <v>611</v>
      </c>
      <c r="P179" s="550" t="s">
        <v>611</v>
      </c>
      <c r="Q179" s="550" t="s">
        <v>611</v>
      </c>
      <c r="R179" s="550" t="s">
        <v>611</v>
      </c>
      <c r="S179" s="550" t="s">
        <v>611</v>
      </c>
      <c r="T179" s="579"/>
      <c r="U179" s="579"/>
      <c r="V179" s="579" t="s">
        <v>611</v>
      </c>
      <c r="W179" s="579" t="s">
        <v>611</v>
      </c>
      <c r="X179" s="579" t="s">
        <v>611</v>
      </c>
      <c r="Y179" s="579" t="s">
        <v>611</v>
      </c>
      <c r="Z179" s="579" t="s">
        <v>611</v>
      </c>
      <c r="AA179" s="579" t="s">
        <v>611</v>
      </c>
      <c r="AB179" s="579" t="s">
        <v>611</v>
      </c>
      <c r="AC179" s="549"/>
      <c r="AD179" s="16"/>
      <c r="AE179" s="9"/>
      <c r="AF179" s="9"/>
      <c r="AG179" s="9"/>
      <c r="AH179" s="9"/>
      <c r="AI179" s="4"/>
      <c r="AJ179" s="4"/>
      <c r="AK179" s="4"/>
      <c r="AL179" s="4"/>
      <c r="AM179" s="4"/>
      <c r="AN179" s="4"/>
      <c r="AO179" s="4"/>
      <c r="AP179" s="4"/>
      <c r="AQ179" s="4"/>
      <c r="AR179" s="4"/>
      <c r="AS179" s="580"/>
      <c r="AT179" s="4"/>
      <c r="AU179" s="4"/>
      <c r="AV179" s="4"/>
      <c r="AW179" s="580"/>
    </row>
    <row r="180" spans="1:49" s="2" customFormat="1">
      <c r="A180" s="309"/>
      <c r="B180" s="1023" t="s">
        <v>684</v>
      </c>
      <c r="C180" s="724"/>
      <c r="D180" s="1002"/>
      <c r="E180" s="246" t="s">
        <v>599</v>
      </c>
      <c r="F180" s="548"/>
      <c r="G180" s="246" t="s">
        <v>68</v>
      </c>
      <c r="H180" s="549"/>
      <c r="I180" s="586" t="str">
        <f t="shared" ref="I180:AB180" si="45">IF(OR(I165="",I179="",I174=1),"",HLOOKUP(I179,ENERGIEDRAGERS,ROWS($E$216:$E$220),FALSE))</f>
        <v/>
      </c>
      <c r="J180" s="586" t="str">
        <f t="shared" si="45"/>
        <v/>
      </c>
      <c r="K180" s="586" t="str">
        <f t="shared" si="45"/>
        <v/>
      </c>
      <c r="L180" s="586" t="str">
        <f t="shared" si="45"/>
        <v/>
      </c>
      <c r="M180" s="586" t="str">
        <f t="shared" si="45"/>
        <v/>
      </c>
      <c r="N180" s="586" t="str">
        <f t="shared" si="45"/>
        <v/>
      </c>
      <c r="O180" s="586" t="str">
        <f t="shared" si="45"/>
        <v/>
      </c>
      <c r="P180" s="586" t="str">
        <f t="shared" si="45"/>
        <v/>
      </c>
      <c r="Q180" s="586" t="str">
        <f t="shared" si="45"/>
        <v/>
      </c>
      <c r="R180" s="586" t="str">
        <f t="shared" si="45"/>
        <v/>
      </c>
      <c r="S180" s="586" t="str">
        <f t="shared" si="45"/>
        <v/>
      </c>
      <c r="T180" s="581" t="str">
        <f t="shared" si="45"/>
        <v/>
      </c>
      <c r="U180" s="581" t="str">
        <f t="shared" si="45"/>
        <v/>
      </c>
      <c r="V180" s="581" t="str">
        <f t="shared" si="45"/>
        <v/>
      </c>
      <c r="W180" s="581" t="str">
        <f t="shared" si="45"/>
        <v/>
      </c>
      <c r="X180" s="581" t="str">
        <f t="shared" si="45"/>
        <v/>
      </c>
      <c r="Y180" s="581" t="str">
        <f t="shared" si="45"/>
        <v/>
      </c>
      <c r="Z180" s="581" t="str">
        <f t="shared" si="45"/>
        <v/>
      </c>
      <c r="AA180" s="581" t="str">
        <f t="shared" si="45"/>
        <v/>
      </c>
      <c r="AB180" s="581" t="str">
        <f t="shared" si="45"/>
        <v/>
      </c>
      <c r="AC180" s="549"/>
      <c r="AD180" s="16"/>
      <c r="AE180" s="9"/>
      <c r="AF180" s="9"/>
      <c r="AG180" s="9"/>
      <c r="AH180" s="9"/>
      <c r="AI180" s="4"/>
      <c r="AJ180" s="4"/>
      <c r="AK180" s="4"/>
      <c r="AL180" s="4"/>
      <c r="AM180" s="4"/>
      <c r="AN180" s="4"/>
      <c r="AO180" s="4"/>
      <c r="AP180" s="4"/>
      <c r="AQ180" s="4"/>
      <c r="AR180" s="4"/>
      <c r="AS180" s="580"/>
      <c r="AT180" s="4"/>
      <c r="AU180" s="4"/>
      <c r="AV180" s="4"/>
      <c r="AW180" s="580"/>
    </row>
    <row r="181" spans="1:49" s="2" customFormat="1">
      <c r="A181" s="309"/>
      <c r="B181" s="1023" t="s">
        <v>684</v>
      </c>
      <c r="C181" s="724"/>
      <c r="D181" s="1004"/>
      <c r="E181" s="246" t="s">
        <v>699</v>
      </c>
      <c r="F181" s="548"/>
      <c r="G181" s="246" t="s">
        <v>68</v>
      </c>
      <c r="H181" s="549"/>
      <c r="I181" s="582">
        <v>0</v>
      </c>
      <c r="J181" s="582">
        <v>0</v>
      </c>
      <c r="K181" s="582">
        <v>0</v>
      </c>
      <c r="L181" s="582">
        <v>0</v>
      </c>
      <c r="M181" s="582">
        <v>0</v>
      </c>
      <c r="N181" s="582">
        <v>0</v>
      </c>
      <c r="O181" s="582">
        <v>0</v>
      </c>
      <c r="P181" s="582">
        <v>0</v>
      </c>
      <c r="Q181" s="582">
        <v>0</v>
      </c>
      <c r="R181" s="582">
        <v>0</v>
      </c>
      <c r="S181" s="582">
        <v>0</v>
      </c>
      <c r="T181" s="579"/>
      <c r="U181" s="579"/>
      <c r="V181" s="579">
        <v>0</v>
      </c>
      <c r="W181" s="579">
        <v>0</v>
      </c>
      <c r="X181" s="579">
        <v>0</v>
      </c>
      <c r="Y181" s="579">
        <v>0</v>
      </c>
      <c r="Z181" s="579">
        <v>0</v>
      </c>
      <c r="AA181" s="579">
        <v>0</v>
      </c>
      <c r="AB181" s="579">
        <v>0</v>
      </c>
      <c r="AC181" s="549"/>
      <c r="AD181" s="16"/>
      <c r="AE181" s="9"/>
      <c r="AF181" s="9"/>
      <c r="AG181" s="9"/>
      <c r="AH181" s="9"/>
      <c r="AI181" s="4"/>
      <c r="AJ181" s="4"/>
      <c r="AK181" s="4"/>
      <c r="AL181" s="4"/>
      <c r="AM181" s="4"/>
      <c r="AN181" s="4"/>
      <c r="AO181" s="4"/>
      <c r="AP181" s="4"/>
      <c r="AQ181" s="4"/>
      <c r="AR181" s="4"/>
      <c r="AS181" s="580"/>
      <c r="AT181" s="4"/>
      <c r="AU181" s="4"/>
      <c r="AV181" s="4"/>
      <c r="AW181" s="580"/>
    </row>
    <row r="182" spans="1:49" s="2" customFormat="1" ht="18.75">
      <c r="A182" s="309"/>
      <c r="B182" s="1023" t="s">
        <v>684</v>
      </c>
      <c r="C182" s="724"/>
      <c r="D182" s="1002"/>
      <c r="E182" s="403" t="s">
        <v>628</v>
      </c>
      <c r="F182" s="404"/>
      <c r="G182" s="403"/>
      <c r="H182" s="511"/>
      <c r="I182" s="527"/>
      <c r="J182" s="527"/>
      <c r="K182" s="527"/>
      <c r="L182" s="527"/>
      <c r="M182" s="527"/>
      <c r="N182" s="527"/>
      <c r="O182" s="527"/>
      <c r="P182" s="527"/>
      <c r="Q182" s="527"/>
      <c r="R182" s="527"/>
      <c r="S182" s="527"/>
      <c r="T182" s="527"/>
      <c r="U182" s="527"/>
      <c r="V182" s="527"/>
      <c r="W182" s="527"/>
      <c r="X182" s="527"/>
      <c r="Y182" s="527"/>
      <c r="Z182" s="527"/>
      <c r="AA182" s="527"/>
      <c r="AB182" s="527"/>
      <c r="AC182" s="511"/>
      <c r="AD182" s="16"/>
      <c r="AE182" s="9"/>
      <c r="AF182" s="9"/>
      <c r="AG182" s="9"/>
      <c r="AH182" s="9"/>
      <c r="AI182" s="4"/>
      <c r="AJ182" s="4"/>
      <c r="AK182" s="4"/>
      <c r="AL182" s="4"/>
      <c r="AM182" s="4"/>
      <c r="AN182" s="4"/>
      <c r="AO182" s="4"/>
      <c r="AP182" s="4"/>
      <c r="AQ182" s="4"/>
      <c r="AR182" s="4"/>
      <c r="AS182" s="580"/>
      <c r="AT182" s="4"/>
      <c r="AU182" s="4"/>
      <c r="AV182" s="4"/>
      <c r="AW182" s="580"/>
    </row>
    <row r="183" spans="1:49" s="2" customFormat="1">
      <c r="A183" s="309"/>
      <c r="B183" s="1023" t="s">
        <v>684</v>
      </c>
      <c r="C183" s="724"/>
      <c r="D183" s="1002"/>
      <c r="E183" s="246" t="s">
        <v>700</v>
      </c>
      <c r="F183" s="548"/>
      <c r="G183" s="246" t="s">
        <v>701</v>
      </c>
      <c r="H183" s="549"/>
      <c r="I183" s="583">
        <v>0</v>
      </c>
      <c r="J183" s="583">
        <v>0</v>
      </c>
      <c r="K183" s="583">
        <v>0</v>
      </c>
      <c r="L183" s="583">
        <v>0</v>
      </c>
      <c r="M183" s="583">
        <v>0</v>
      </c>
      <c r="N183" s="583">
        <v>0</v>
      </c>
      <c r="O183" s="583">
        <v>0</v>
      </c>
      <c r="P183" s="583">
        <v>0</v>
      </c>
      <c r="Q183" s="583">
        <v>0</v>
      </c>
      <c r="R183" s="583">
        <v>0</v>
      </c>
      <c r="S183" s="583">
        <v>0</v>
      </c>
      <c r="T183" s="584"/>
      <c r="U183" s="584"/>
      <c r="V183" s="584"/>
      <c r="W183" s="584"/>
      <c r="X183" s="584"/>
      <c r="Y183" s="584"/>
      <c r="Z183" s="584"/>
      <c r="AA183" s="584"/>
      <c r="AB183" s="584"/>
      <c r="AC183" s="549"/>
      <c r="AD183" s="16"/>
      <c r="AE183" s="9"/>
      <c r="AF183" s="9"/>
      <c r="AG183" s="9"/>
      <c r="AH183" s="9"/>
      <c r="AI183" s="4"/>
      <c r="AJ183" s="4"/>
      <c r="AK183" s="4"/>
      <c r="AL183" s="4"/>
      <c r="AM183" s="4"/>
      <c r="AN183" s="4"/>
      <c r="AO183" s="4"/>
      <c r="AP183" s="4"/>
      <c r="AQ183" s="4"/>
      <c r="AR183" s="4"/>
      <c r="AS183" s="580"/>
      <c r="AT183" s="4"/>
      <c r="AU183" s="4"/>
      <c r="AV183" s="4"/>
      <c r="AW183" s="580"/>
    </row>
    <row r="184" spans="1:49" s="2" customFormat="1">
      <c r="A184" s="309"/>
      <c r="B184" s="1023" t="s">
        <v>684</v>
      </c>
      <c r="C184" s="724"/>
      <c r="D184" s="1002"/>
      <c r="E184" s="246" t="s">
        <v>630</v>
      </c>
      <c r="F184" s="548"/>
      <c r="G184" s="246" t="s">
        <v>701</v>
      </c>
      <c r="H184" s="549"/>
      <c r="I184" s="585">
        <v>0</v>
      </c>
      <c r="J184" s="585">
        <v>0</v>
      </c>
      <c r="K184" s="585">
        <v>0</v>
      </c>
      <c r="L184" s="585">
        <v>0</v>
      </c>
      <c r="M184" s="585">
        <v>4.4999999999999998E-2</v>
      </c>
      <c r="N184" s="585">
        <v>4.4999999999999998E-2</v>
      </c>
      <c r="O184" s="585">
        <v>4.4999999999999998E-2</v>
      </c>
      <c r="P184" s="585">
        <v>0</v>
      </c>
      <c r="Q184" s="585">
        <v>0</v>
      </c>
      <c r="R184" s="585">
        <v>0</v>
      </c>
      <c r="S184" s="585">
        <v>0</v>
      </c>
      <c r="T184" s="579"/>
      <c r="U184" s="579"/>
      <c r="V184" s="579"/>
      <c r="W184" s="579"/>
      <c r="X184" s="579"/>
      <c r="Y184" s="579"/>
      <c r="Z184" s="579"/>
      <c r="AA184" s="579"/>
      <c r="AB184" s="579"/>
      <c r="AC184" s="549"/>
      <c r="AD184" s="16"/>
      <c r="AE184" s="9"/>
      <c r="AF184" s="9"/>
      <c r="AG184" s="9"/>
      <c r="AH184" s="9"/>
      <c r="AI184" s="4"/>
      <c r="AJ184" s="4"/>
      <c r="AK184" s="4"/>
      <c r="AL184" s="4"/>
      <c r="AM184" s="4"/>
      <c r="AN184" s="4"/>
      <c r="AO184" s="4"/>
      <c r="AP184" s="4"/>
      <c r="AQ184" s="4"/>
      <c r="AR184" s="4"/>
      <c r="AS184" s="580"/>
      <c r="AT184" s="4"/>
      <c r="AU184" s="4"/>
      <c r="AV184" s="4"/>
      <c r="AW184" s="580"/>
    </row>
    <row r="185" spans="1:49" ht="25.5">
      <c r="B185" s="1023" t="s">
        <v>684</v>
      </c>
      <c r="C185" s="723"/>
      <c r="D185" s="999"/>
      <c r="E185" s="531" t="s">
        <v>631</v>
      </c>
      <c r="F185" s="532"/>
      <c r="G185" s="531" t="s">
        <v>68</v>
      </c>
      <c r="H185" s="533"/>
      <c r="I185" s="521" t="s">
        <v>702</v>
      </c>
      <c r="J185" s="521" t="s">
        <v>68</v>
      </c>
      <c r="K185" s="521" t="s">
        <v>2015</v>
      </c>
      <c r="L185" s="521" t="s">
        <v>2015</v>
      </c>
      <c r="M185" s="521" t="s">
        <v>2015</v>
      </c>
      <c r="N185" s="521" t="s">
        <v>2015</v>
      </c>
      <c r="O185" s="521" t="s">
        <v>704</v>
      </c>
      <c r="P185" s="521" t="s">
        <v>703</v>
      </c>
      <c r="Q185" s="521" t="s">
        <v>2016</v>
      </c>
      <c r="R185" s="521" t="s">
        <v>2016</v>
      </c>
      <c r="S185" s="521" t="s">
        <v>2016</v>
      </c>
      <c r="T185" s="725"/>
      <c r="U185" s="725"/>
      <c r="V185" s="725"/>
      <c r="W185" s="725"/>
      <c r="X185" s="725"/>
      <c r="Y185" s="725"/>
      <c r="Z185" s="725"/>
      <c r="AA185" s="725"/>
      <c r="AB185" s="725"/>
      <c r="AC185" s="533"/>
      <c r="AD185" s="16"/>
      <c r="AE185" s="16"/>
      <c r="AF185" s="5"/>
      <c r="AG185" s="5"/>
      <c r="AH185" s="5"/>
      <c r="AI185" s="5"/>
      <c r="AJ185" s="5"/>
      <c r="AK185" s="5"/>
      <c r="AL185" s="5"/>
      <c r="AM185" s="5"/>
      <c r="AN185" s="5"/>
      <c r="AO185" s="5"/>
      <c r="AP185" s="5"/>
      <c r="AQ185" s="5"/>
      <c r="AR185" s="5"/>
      <c r="AS185" s="22"/>
      <c r="AT185" s="5"/>
      <c r="AU185" s="5"/>
      <c r="AV185" s="5"/>
      <c r="AW185" s="22"/>
    </row>
    <row r="186" spans="1:49">
      <c r="B186" s="1023" t="s">
        <v>684</v>
      </c>
      <c r="C186" s="723"/>
      <c r="D186" s="999"/>
      <c r="E186" s="5"/>
      <c r="F186" s="5"/>
      <c r="G186" s="5"/>
      <c r="H186" s="16"/>
      <c r="I186" s="16"/>
      <c r="J186" s="16"/>
      <c r="K186" s="16"/>
      <c r="L186" s="16"/>
      <c r="M186" s="16"/>
      <c r="N186" s="16"/>
      <c r="O186" s="16"/>
      <c r="P186" s="16"/>
      <c r="Q186" s="16"/>
      <c r="R186" s="16"/>
      <c r="S186" s="16"/>
      <c r="T186" s="16"/>
      <c r="U186" s="16"/>
      <c r="V186" s="16"/>
      <c r="X186" s="16"/>
      <c r="Y186" s="20"/>
      <c r="Z186" s="16"/>
      <c r="AA186" s="5"/>
      <c r="AB186" s="5"/>
      <c r="AC186" s="5"/>
      <c r="AD186" s="5"/>
      <c r="AE186" s="5"/>
      <c r="AF186" s="5"/>
      <c r="AG186" s="5"/>
      <c r="AH186" s="5"/>
      <c r="AI186" s="5"/>
      <c r="AJ186" s="5"/>
      <c r="AK186" s="5"/>
      <c r="AL186" s="5"/>
      <c r="AM186" s="5"/>
      <c r="AN186" s="5"/>
      <c r="AO186" s="5"/>
      <c r="AP186" s="5"/>
      <c r="AQ186" s="5"/>
      <c r="AR186" s="5"/>
      <c r="AS186" s="22"/>
    </row>
    <row r="187" spans="1:49" hidden="1">
      <c r="B187" s="1023" t="s">
        <v>705</v>
      </c>
      <c r="C187" s="723"/>
      <c r="D187" s="999"/>
      <c r="E187" s="5"/>
      <c r="F187" s="5"/>
      <c r="G187" s="5"/>
      <c r="H187" s="16"/>
      <c r="I187" s="16"/>
      <c r="J187" s="16"/>
      <c r="K187" s="16"/>
      <c r="L187" s="16"/>
      <c r="M187" s="16"/>
      <c r="N187" s="16"/>
      <c r="O187" s="16"/>
      <c r="P187" s="16"/>
      <c r="Q187" s="16"/>
      <c r="R187" s="16"/>
      <c r="S187" s="16"/>
      <c r="T187" s="16"/>
      <c r="U187" s="16"/>
      <c r="V187" s="16"/>
      <c r="X187" s="16"/>
      <c r="Y187" s="20"/>
      <c r="Z187" s="16"/>
      <c r="AA187" s="16"/>
      <c r="AB187" s="5"/>
      <c r="AC187" s="5"/>
      <c r="AD187" s="5"/>
      <c r="AE187" s="5"/>
      <c r="AF187" s="5"/>
      <c r="AG187" s="5"/>
      <c r="AH187" s="5"/>
      <c r="AI187" s="5"/>
      <c r="AJ187" s="5"/>
      <c r="AK187" s="5"/>
      <c r="AL187" s="5"/>
      <c r="AM187" s="5"/>
      <c r="AN187" s="5"/>
      <c r="AO187" s="5"/>
      <c r="AP187" s="5"/>
      <c r="AQ187" s="5"/>
      <c r="AR187" s="5"/>
      <c r="AS187" s="22"/>
    </row>
    <row r="188" spans="1:49" ht="21" hidden="1">
      <c r="B188" s="1023" t="s">
        <v>705</v>
      </c>
      <c r="C188" s="723"/>
      <c r="D188" s="999"/>
      <c r="E188" s="215" t="s">
        <v>706</v>
      </c>
      <c r="F188" s="215"/>
      <c r="G188" s="215"/>
      <c r="H188" s="215"/>
      <c r="I188" s="215"/>
      <c r="J188" s="215"/>
      <c r="K188" s="61"/>
      <c r="L188" s="61"/>
      <c r="M188" s="61"/>
      <c r="N188" s="61"/>
      <c r="O188" s="61"/>
      <c r="P188" s="61"/>
      <c r="Q188" s="61"/>
      <c r="R188" s="61"/>
      <c r="S188" s="61"/>
      <c r="T188" s="61"/>
      <c r="U188" s="61"/>
      <c r="V188" s="61"/>
      <c r="X188" s="61"/>
      <c r="Y188" s="20"/>
      <c r="Z188" s="5"/>
      <c r="AA188" s="5"/>
      <c r="AB188" s="5"/>
      <c r="AC188" s="5"/>
      <c r="AD188" s="5"/>
      <c r="AE188" s="5"/>
      <c r="AF188" s="5"/>
      <c r="AG188" s="5"/>
      <c r="AH188" s="5"/>
      <c r="AI188" s="5"/>
      <c r="AJ188" s="5"/>
      <c r="AK188" s="5"/>
      <c r="AL188" s="5"/>
      <c r="AM188" s="5"/>
      <c r="AN188" s="5"/>
      <c r="AO188" s="5"/>
      <c r="AP188" s="5"/>
      <c r="AQ188" s="5"/>
      <c r="AR188" s="5"/>
      <c r="AS188" s="437"/>
    </row>
    <row r="189" spans="1:49" hidden="1">
      <c r="B189" s="1023" t="s">
        <v>705</v>
      </c>
      <c r="C189" s="723"/>
      <c r="D189" s="1000"/>
      <c r="E189" s="299" t="s">
        <v>483</v>
      </c>
      <c r="F189" s="299"/>
      <c r="G189" s="299" t="s">
        <v>420</v>
      </c>
      <c r="H189" s="300"/>
      <c r="I189" s="300">
        <f ca="1">OFFSET(I189,0,-1)+1</f>
        <v>1</v>
      </c>
      <c r="J189" s="300"/>
      <c r="K189" s="61"/>
      <c r="L189" s="61"/>
      <c r="M189" s="5"/>
      <c r="N189" s="5"/>
      <c r="O189" s="5"/>
      <c r="P189" s="5"/>
      <c r="Q189" s="5"/>
      <c r="R189" s="5"/>
      <c r="S189" s="5"/>
      <c r="T189" s="5"/>
      <c r="U189" s="5"/>
      <c r="V189" s="5"/>
      <c r="X189" s="5"/>
      <c r="Y189" s="20"/>
      <c r="Z189" s="5"/>
      <c r="AA189" s="5"/>
      <c r="AB189" s="5"/>
      <c r="AC189" s="5"/>
      <c r="AD189" s="5"/>
      <c r="AE189" s="5"/>
      <c r="AF189" s="5"/>
      <c r="AG189" s="5"/>
      <c r="AH189" s="5"/>
      <c r="AI189" s="5"/>
      <c r="AJ189" s="5"/>
      <c r="AK189" s="5"/>
      <c r="AL189" s="5"/>
      <c r="AM189" s="5"/>
      <c r="AN189" s="5"/>
      <c r="AO189" s="5"/>
      <c r="AP189" s="5"/>
      <c r="AQ189" s="5"/>
      <c r="AR189" s="5"/>
      <c r="AS189" s="22"/>
    </row>
    <row r="190" spans="1:49" s="2" customFormat="1" ht="18.75" hidden="1">
      <c r="A190" s="309"/>
      <c r="B190" s="1023" t="s">
        <v>705</v>
      </c>
      <c r="C190" s="723"/>
      <c r="D190" s="1004"/>
      <c r="E190" s="382" t="s">
        <v>707</v>
      </c>
      <c r="F190" s="383"/>
      <c r="G190" s="382"/>
      <c r="H190" s="384"/>
      <c r="I190" s="385"/>
      <c r="J190" s="384"/>
      <c r="K190" s="9"/>
      <c r="L190" s="9"/>
      <c r="M190" s="9"/>
      <c r="N190" s="9"/>
      <c r="O190" s="9"/>
      <c r="P190" s="4"/>
      <c r="Q190" s="4"/>
      <c r="R190" s="4"/>
      <c r="S190" s="4"/>
      <c r="T190" s="4"/>
      <c r="U190" s="4"/>
      <c r="V190" s="4"/>
      <c r="W190" s="4"/>
      <c r="X190" s="4"/>
      <c r="Y190" s="8"/>
      <c r="Z190" s="4"/>
      <c r="AA190" s="4"/>
      <c r="AB190" s="4"/>
      <c r="AC190" s="4"/>
      <c r="AD190" s="4"/>
      <c r="AE190" s="4"/>
      <c r="AF190" s="4"/>
      <c r="AG190" s="4"/>
      <c r="AH190" s="4"/>
      <c r="AI190" s="4"/>
      <c r="AJ190" s="4"/>
      <c r="AK190" s="4"/>
      <c r="AL190" s="4"/>
      <c r="AM190" s="4"/>
      <c r="AN190" s="4"/>
      <c r="AO190" s="4"/>
      <c r="AP190" s="4"/>
      <c r="AQ190" s="4"/>
      <c r="AR190" s="4"/>
      <c r="AS190" s="22"/>
    </row>
    <row r="191" spans="1:49" hidden="1">
      <c r="B191" s="1023" t="s">
        <v>705</v>
      </c>
      <c r="C191" s="723"/>
      <c r="D191" s="999"/>
      <c r="E191" s="357" t="s">
        <v>708</v>
      </c>
      <c r="F191" s="326"/>
      <c r="G191" s="357" t="s">
        <v>709</v>
      </c>
      <c r="H191" s="476"/>
      <c r="I191" s="477">
        <v>1E-3</v>
      </c>
      <c r="J191" s="476"/>
      <c r="K191" s="20"/>
      <c r="L191" s="16"/>
      <c r="M191" s="16"/>
      <c r="N191" s="16"/>
      <c r="O191" s="5"/>
      <c r="P191" s="5"/>
      <c r="Q191" s="5"/>
      <c r="R191" s="5"/>
      <c r="S191" s="5"/>
      <c r="T191" s="5"/>
      <c r="U191" s="5"/>
      <c r="V191" s="5"/>
      <c r="X191" s="5"/>
      <c r="Y191" s="20"/>
      <c r="Z191" s="5"/>
      <c r="AA191" s="5"/>
      <c r="AB191" s="5"/>
      <c r="AC191" s="5"/>
      <c r="AD191" s="5"/>
      <c r="AE191" s="5"/>
      <c r="AF191" s="5"/>
      <c r="AG191" s="5"/>
      <c r="AH191" s="5"/>
      <c r="AI191" s="5"/>
      <c r="AJ191" s="5"/>
      <c r="AK191" s="5"/>
      <c r="AL191" s="5"/>
      <c r="AM191" s="5"/>
      <c r="AN191" s="5"/>
      <c r="AO191" s="5"/>
      <c r="AP191" s="5"/>
      <c r="AQ191" s="5"/>
      <c r="AR191" s="5"/>
      <c r="AS191" s="22"/>
    </row>
    <row r="192" spans="1:49" s="2" customFormat="1" hidden="1">
      <c r="A192" s="309"/>
      <c r="B192" s="1023" t="s">
        <v>705</v>
      </c>
      <c r="C192" s="723"/>
      <c r="D192" s="1002"/>
      <c r="E192" s="460" t="s">
        <v>710</v>
      </c>
      <c r="F192" s="471"/>
      <c r="G192" s="460"/>
      <c r="H192" s="459"/>
      <c r="I192" s="457"/>
      <c r="J192" s="470"/>
      <c r="K192" s="20"/>
      <c r="L192" s="16"/>
      <c r="M192" s="16"/>
      <c r="N192" s="16"/>
      <c r="O192" s="5"/>
      <c r="P192" s="5"/>
      <c r="Q192" s="5"/>
      <c r="R192" s="5"/>
      <c r="S192" s="5"/>
      <c r="T192" s="5"/>
      <c r="U192" s="5"/>
      <c r="V192" s="5"/>
      <c r="W192"/>
      <c r="X192" s="5"/>
      <c r="Y192" s="9"/>
      <c r="Z192" s="8"/>
      <c r="AA192" s="9"/>
      <c r="AB192" s="9"/>
      <c r="AC192" s="9"/>
      <c r="AD192" s="4"/>
      <c r="AE192" s="4"/>
      <c r="AF192" s="4"/>
      <c r="AG192" s="4"/>
      <c r="AH192" s="4"/>
      <c r="AI192" s="4"/>
      <c r="AJ192" s="4"/>
      <c r="AK192" s="4"/>
      <c r="AL192" s="4"/>
      <c r="AM192" s="4"/>
      <c r="AN192" s="4"/>
      <c r="AO192" s="4"/>
      <c r="AP192" s="4"/>
      <c r="AQ192" s="4"/>
      <c r="AR192" s="4"/>
      <c r="AS192" s="22"/>
      <c r="AT192" s="378"/>
    </row>
    <row r="193" spans="1:46" hidden="1">
      <c r="B193" s="1023" t="s">
        <v>705</v>
      </c>
      <c r="C193" s="723"/>
      <c r="D193" s="999"/>
      <c r="E193" s="5"/>
      <c r="F193" s="5"/>
      <c r="G193" s="5"/>
      <c r="H193" s="16"/>
      <c r="I193" s="16"/>
      <c r="J193" s="16"/>
      <c r="K193" s="16"/>
      <c r="L193" s="16"/>
      <c r="M193" s="16"/>
      <c r="N193" s="16"/>
      <c r="O193" s="16"/>
      <c r="P193" s="16"/>
      <c r="Q193" s="16"/>
      <c r="R193" s="16"/>
      <c r="S193" s="16"/>
      <c r="T193" s="16"/>
      <c r="U193" s="16"/>
      <c r="V193" s="16"/>
      <c r="W193" s="16"/>
      <c r="X193" s="16"/>
      <c r="Y193" s="20"/>
      <c r="Z193" s="5"/>
      <c r="AA193" s="5"/>
      <c r="AB193" s="5"/>
      <c r="AC193" s="5"/>
      <c r="AD193" s="5"/>
      <c r="AE193" s="5"/>
      <c r="AF193" s="5"/>
      <c r="AG193" s="5"/>
      <c r="AH193" s="5"/>
      <c r="AI193" s="5"/>
      <c r="AJ193" s="5"/>
      <c r="AK193" s="5"/>
      <c r="AL193" s="5"/>
      <c r="AM193" s="5"/>
      <c r="AN193" s="5"/>
      <c r="AO193" s="5"/>
      <c r="AP193" s="5"/>
      <c r="AQ193" s="5"/>
      <c r="AR193" s="5"/>
      <c r="AS193" s="22"/>
    </row>
    <row r="194" spans="1:46" hidden="1">
      <c r="B194" s="1023" t="s">
        <v>187</v>
      </c>
      <c r="C194" s="723"/>
      <c r="D194" s="999"/>
      <c r="E194" s="5"/>
      <c r="F194" s="5"/>
      <c r="G194" s="5"/>
      <c r="H194" s="16"/>
      <c r="I194" s="16"/>
      <c r="J194" s="16"/>
      <c r="K194" s="16"/>
      <c r="L194" s="16"/>
      <c r="M194" s="16"/>
      <c r="N194" s="16"/>
      <c r="O194" s="16"/>
      <c r="P194" s="16"/>
      <c r="Q194" s="16"/>
      <c r="R194" s="16"/>
      <c r="S194" s="16"/>
      <c r="T194" s="16"/>
      <c r="U194" s="16"/>
      <c r="V194" s="16"/>
      <c r="W194" s="16"/>
      <c r="X194" s="16"/>
      <c r="Y194" s="20"/>
      <c r="Z194" s="5"/>
      <c r="AA194" s="5"/>
      <c r="AB194" s="5"/>
      <c r="AC194" s="5"/>
      <c r="AD194" s="5"/>
      <c r="AE194" s="5"/>
      <c r="AF194" s="5"/>
      <c r="AG194" s="5"/>
      <c r="AH194" s="5"/>
      <c r="AI194" s="5"/>
      <c r="AJ194" s="5"/>
      <c r="AK194" s="5"/>
      <c r="AL194" s="5"/>
      <c r="AM194" s="5"/>
      <c r="AN194" s="5"/>
      <c r="AO194" s="5"/>
      <c r="AP194" s="5"/>
      <c r="AQ194" s="5"/>
      <c r="AR194" s="5"/>
      <c r="AS194" s="22"/>
    </row>
    <row r="195" spans="1:46" ht="21" hidden="1">
      <c r="B195" s="1023" t="s">
        <v>187</v>
      </c>
      <c r="C195" s="723"/>
      <c r="D195" s="999"/>
      <c r="E195" s="215" t="s">
        <v>187</v>
      </c>
      <c r="F195" s="215"/>
      <c r="G195" s="215"/>
      <c r="H195" s="215"/>
      <c r="I195" s="215"/>
      <c r="J195" s="215"/>
      <c r="K195" s="61"/>
      <c r="L195" s="61"/>
      <c r="M195" s="61"/>
      <c r="N195" s="61"/>
      <c r="O195" s="61"/>
      <c r="P195" s="61"/>
      <c r="Q195" s="61"/>
      <c r="R195" s="61"/>
      <c r="S195" s="61"/>
      <c r="T195" s="61"/>
      <c r="U195" s="61"/>
      <c r="V195" s="61"/>
      <c r="W195" s="61"/>
      <c r="X195" s="5"/>
      <c r="Y195" s="20"/>
      <c r="Z195" s="5"/>
      <c r="AA195" s="5"/>
      <c r="AB195" s="5"/>
      <c r="AC195" s="5"/>
      <c r="AD195" s="5"/>
      <c r="AE195" s="5"/>
      <c r="AF195" s="5"/>
      <c r="AG195" s="5"/>
      <c r="AH195" s="5"/>
      <c r="AI195" s="5"/>
      <c r="AJ195" s="5"/>
      <c r="AK195" s="5"/>
      <c r="AL195" s="5"/>
      <c r="AM195" s="5"/>
      <c r="AN195" s="5"/>
      <c r="AO195" s="5"/>
      <c r="AP195" s="5"/>
      <c r="AQ195" s="5"/>
      <c r="AR195" s="5"/>
      <c r="AS195" s="22"/>
    </row>
    <row r="196" spans="1:46" hidden="1">
      <c r="B196" s="1023" t="s">
        <v>187</v>
      </c>
      <c r="C196" s="723"/>
      <c r="D196" s="1000"/>
      <c r="E196" s="299" t="s">
        <v>483</v>
      </c>
      <c r="F196" s="299"/>
      <c r="G196" s="299" t="s">
        <v>420</v>
      </c>
      <c r="H196" s="300"/>
      <c r="I196" s="300">
        <f ca="1">OFFSET(I196,0,-1)+1</f>
        <v>1</v>
      </c>
      <c r="J196" s="300"/>
      <c r="K196" s="5"/>
      <c r="L196" s="5"/>
      <c r="M196" s="5"/>
      <c r="N196" s="5"/>
      <c r="O196" s="5"/>
      <c r="P196" s="5"/>
      <c r="Q196" s="5"/>
      <c r="R196" s="5"/>
      <c r="S196" s="5"/>
      <c r="T196" s="5"/>
      <c r="U196" s="5"/>
      <c r="V196" s="5"/>
      <c r="W196" s="5"/>
      <c r="X196" s="5"/>
      <c r="Y196" s="20"/>
      <c r="Z196" s="5"/>
      <c r="AA196" s="5"/>
      <c r="AB196" s="5"/>
      <c r="AC196" s="5"/>
      <c r="AD196" s="5"/>
      <c r="AE196" s="5"/>
      <c r="AF196" s="5"/>
      <c r="AG196" s="5"/>
      <c r="AH196" s="5"/>
      <c r="AI196" s="5"/>
      <c r="AJ196" s="5"/>
      <c r="AK196" s="5"/>
      <c r="AL196" s="5"/>
      <c r="AM196" s="5"/>
      <c r="AN196" s="5"/>
      <c r="AO196" s="5"/>
      <c r="AP196" s="5"/>
      <c r="AQ196" s="5"/>
      <c r="AR196" s="5"/>
      <c r="AS196" s="22"/>
    </row>
    <row r="197" spans="1:46" s="2" customFormat="1" ht="18.75" hidden="1">
      <c r="A197" s="309"/>
      <c r="B197" s="1023" t="s">
        <v>187</v>
      </c>
      <c r="C197" s="723"/>
      <c r="D197" s="1004"/>
      <c r="E197" s="382" t="s">
        <v>711</v>
      </c>
      <c r="F197" s="383"/>
      <c r="G197" s="382"/>
      <c r="H197" s="384"/>
      <c r="I197" s="385"/>
      <c r="J197" s="384"/>
      <c r="K197" s="9"/>
      <c r="L197" s="9"/>
      <c r="M197" s="9"/>
      <c r="N197" s="9"/>
      <c r="O197" s="9"/>
      <c r="P197" s="4"/>
      <c r="Q197" s="4"/>
      <c r="R197" s="4"/>
      <c r="S197" s="4"/>
      <c r="T197" s="4"/>
      <c r="U197" s="4"/>
      <c r="V197" s="4"/>
      <c r="W197" s="4"/>
      <c r="X197" s="4"/>
      <c r="Y197" s="8"/>
      <c r="Z197" s="4"/>
      <c r="AA197" s="4"/>
      <c r="AB197" s="4"/>
      <c r="AC197" s="4"/>
      <c r="AD197" s="4"/>
      <c r="AE197" s="4"/>
      <c r="AF197" s="4"/>
      <c r="AG197" s="4"/>
      <c r="AH197" s="4"/>
      <c r="AI197" s="4"/>
      <c r="AJ197" s="4"/>
      <c r="AK197" s="4"/>
      <c r="AL197" s="4"/>
      <c r="AM197" s="4"/>
      <c r="AN197" s="4"/>
      <c r="AO197" s="4"/>
      <c r="AP197" s="4"/>
      <c r="AQ197" s="4"/>
      <c r="AR197" s="4"/>
      <c r="AS197" s="22"/>
    </row>
    <row r="198" spans="1:46" hidden="1">
      <c r="B198" s="1023" t="s">
        <v>187</v>
      </c>
      <c r="C198" s="723"/>
      <c r="D198" s="999"/>
      <c r="E198" s="357" t="s">
        <v>98</v>
      </c>
      <c r="F198" s="326"/>
      <c r="G198" s="357" t="s">
        <v>147</v>
      </c>
      <c r="H198" s="476"/>
      <c r="I198" s="381">
        <v>0.5</v>
      </c>
      <c r="J198" s="476"/>
      <c r="K198" s="20"/>
      <c r="L198" s="16"/>
      <c r="M198" s="16"/>
      <c r="N198" s="16"/>
      <c r="O198" s="16"/>
      <c r="P198" s="5"/>
      <c r="Q198" s="5"/>
      <c r="R198" s="5"/>
      <c r="S198" s="5"/>
      <c r="T198" s="5"/>
      <c r="U198" s="5"/>
      <c r="V198" s="5"/>
      <c r="W198" s="5"/>
      <c r="X198" s="5"/>
      <c r="Y198" s="20"/>
      <c r="Z198" s="5"/>
      <c r="AA198" s="5"/>
      <c r="AB198" s="5"/>
      <c r="AC198" s="5"/>
      <c r="AD198" s="5"/>
      <c r="AE198" s="5"/>
      <c r="AF198" s="5"/>
      <c r="AG198" s="5"/>
      <c r="AH198" s="5"/>
      <c r="AI198" s="5"/>
      <c r="AJ198" s="5"/>
      <c r="AK198" s="5"/>
      <c r="AL198" s="5"/>
      <c r="AM198" s="5"/>
      <c r="AN198" s="5"/>
      <c r="AO198" s="5"/>
      <c r="AP198" s="5"/>
      <c r="AQ198" s="5"/>
      <c r="AR198" s="5"/>
      <c r="AS198" s="22"/>
    </row>
    <row r="199" spans="1:46" hidden="1">
      <c r="B199" s="1023" t="s">
        <v>187</v>
      </c>
      <c r="C199" s="723"/>
      <c r="D199" s="999"/>
      <c r="E199" s="357" t="s">
        <v>712</v>
      </c>
      <c r="F199" s="326"/>
      <c r="G199" s="357" t="s">
        <v>147</v>
      </c>
      <c r="H199" s="476"/>
      <c r="I199" s="381">
        <v>0.15</v>
      </c>
      <c r="J199" s="476"/>
      <c r="K199" s="20"/>
      <c r="L199" s="16"/>
      <c r="M199" s="16"/>
      <c r="N199" s="16"/>
      <c r="O199" s="16"/>
      <c r="P199" s="5"/>
      <c r="Q199" s="5"/>
      <c r="R199" s="5"/>
      <c r="S199" s="5"/>
      <c r="T199" s="5"/>
      <c r="U199" s="5"/>
      <c r="V199" s="5"/>
      <c r="W199" s="5"/>
      <c r="X199" s="5"/>
      <c r="Y199" s="20"/>
      <c r="Z199" s="5"/>
      <c r="AA199" s="5"/>
      <c r="AB199" s="5"/>
      <c r="AC199" s="5"/>
      <c r="AD199" s="5"/>
      <c r="AE199" s="5"/>
      <c r="AF199" s="5"/>
      <c r="AG199" s="5"/>
      <c r="AH199" s="5"/>
      <c r="AI199" s="5"/>
      <c r="AJ199" s="5"/>
      <c r="AK199" s="5"/>
      <c r="AL199" s="5"/>
      <c r="AM199" s="5"/>
      <c r="AN199" s="5"/>
      <c r="AO199" s="5"/>
      <c r="AP199" s="5"/>
      <c r="AQ199" s="5"/>
      <c r="AR199" s="5"/>
      <c r="AS199" s="22"/>
    </row>
    <row r="200" spans="1:46" hidden="1">
      <c r="B200" s="1023" t="s">
        <v>187</v>
      </c>
      <c r="C200" s="723"/>
      <c r="D200" s="999"/>
      <c r="E200" s="5"/>
      <c r="F200" s="5"/>
      <c r="G200" s="5"/>
      <c r="H200" s="16"/>
      <c r="I200" s="16"/>
      <c r="J200" s="16"/>
      <c r="K200" s="16"/>
      <c r="L200" s="16"/>
      <c r="M200" s="16"/>
      <c r="N200" s="16"/>
      <c r="O200" s="16"/>
      <c r="P200" s="16"/>
      <c r="Q200" s="16"/>
      <c r="R200" s="16"/>
      <c r="S200" s="16"/>
      <c r="T200" s="16"/>
      <c r="U200" s="16"/>
      <c r="V200" s="16"/>
      <c r="W200" s="16"/>
      <c r="X200" s="16"/>
      <c r="Y200" s="20"/>
      <c r="Z200" s="16"/>
      <c r="AA200" s="5"/>
      <c r="AB200" s="5"/>
      <c r="AC200" s="5"/>
      <c r="AD200" s="5"/>
      <c r="AE200" s="5"/>
      <c r="AF200" s="5"/>
      <c r="AG200" s="5"/>
      <c r="AH200" s="5"/>
      <c r="AI200" s="5"/>
      <c r="AJ200" s="5"/>
      <c r="AK200" s="5"/>
      <c r="AL200" s="5"/>
      <c r="AM200" s="5"/>
      <c r="AN200" s="5"/>
      <c r="AO200" s="5"/>
      <c r="AP200" s="5"/>
      <c r="AQ200" s="5"/>
      <c r="AR200" s="5"/>
      <c r="AS200" s="22"/>
    </row>
    <row r="201" spans="1:46" ht="15" hidden="1">
      <c r="B201" s="1023" t="s">
        <v>713</v>
      </c>
      <c r="C201" s="723"/>
      <c r="D201" s="1000"/>
      <c r="E201" s="5"/>
      <c r="F201" s="5"/>
      <c r="G201" s="5"/>
      <c r="H201" s="16"/>
      <c r="I201" s="16"/>
      <c r="J201" s="16"/>
      <c r="K201" s="16"/>
      <c r="L201" s="16"/>
      <c r="M201" s="16"/>
      <c r="N201" s="16"/>
      <c r="O201" s="16"/>
      <c r="P201" s="16"/>
      <c r="Q201" s="16"/>
      <c r="R201" s="26"/>
      <c r="S201" s="16"/>
      <c r="T201" s="16"/>
      <c r="U201" s="301"/>
      <c r="V201" s="16"/>
      <c r="W201" s="16"/>
      <c r="X201" s="16"/>
      <c r="Y201" s="20"/>
      <c r="Z201" s="16"/>
      <c r="AA201" s="16"/>
      <c r="AB201" s="16"/>
      <c r="AC201" s="16"/>
      <c r="AD201" s="5"/>
      <c r="AE201" s="5"/>
      <c r="AF201" s="5"/>
      <c r="AG201" s="5"/>
      <c r="AH201" s="5"/>
      <c r="AI201" s="5"/>
      <c r="AJ201" s="5"/>
      <c r="AK201" s="5"/>
      <c r="AL201" s="5"/>
      <c r="AM201" s="5"/>
      <c r="AN201" s="5"/>
      <c r="AO201" s="5"/>
      <c r="AP201" s="5"/>
      <c r="AQ201" s="5"/>
      <c r="AR201" s="5"/>
      <c r="AS201" s="22"/>
    </row>
    <row r="202" spans="1:46" ht="21" hidden="1">
      <c r="B202" s="1023" t="s">
        <v>713</v>
      </c>
      <c r="C202" s="723"/>
      <c r="D202" s="999"/>
      <c r="E202" s="215" t="s">
        <v>713</v>
      </c>
      <c r="F202" s="215"/>
      <c r="G202" s="215"/>
      <c r="H202" s="215"/>
      <c r="I202" s="215"/>
      <c r="J202" s="215"/>
      <c r="K202" s="215"/>
      <c r="L202" s="215"/>
      <c r="M202" s="215"/>
      <c r="N202" s="215"/>
      <c r="O202" s="215"/>
      <c r="P202" s="215"/>
      <c r="Q202" s="215"/>
      <c r="R202" s="215"/>
      <c r="S202" s="61"/>
      <c r="U202" s="60"/>
      <c r="V202" s="301"/>
      <c r="W202" s="61"/>
      <c r="X202" s="61"/>
      <c r="Y202" s="61"/>
      <c r="Z202" s="61"/>
      <c r="AA202" s="61"/>
      <c r="AB202" s="61"/>
      <c r="AC202" s="5"/>
      <c r="AD202" s="5"/>
      <c r="AE202" s="5"/>
      <c r="AF202" s="5"/>
      <c r="AG202" s="5"/>
      <c r="AH202" s="5"/>
      <c r="AI202" s="5"/>
      <c r="AJ202" s="5"/>
      <c r="AK202" s="5"/>
      <c r="AL202" s="5"/>
      <c r="AM202" s="5"/>
      <c r="AN202" s="5"/>
      <c r="AO202" s="437"/>
      <c r="AP202" s="5"/>
      <c r="AQ202" s="5"/>
      <c r="AR202" s="5"/>
      <c r="AS202" s="5"/>
      <c r="AT202" s="5"/>
    </row>
    <row r="203" spans="1:46" ht="15" hidden="1">
      <c r="B203" s="1023" t="s">
        <v>713</v>
      </c>
      <c r="C203" s="723"/>
      <c r="D203" s="1000"/>
      <c r="E203" s="299" t="s">
        <v>483</v>
      </c>
      <c r="F203" s="299"/>
      <c r="G203" s="299" t="s">
        <v>420</v>
      </c>
      <c r="H203" s="300"/>
      <c r="I203" s="300">
        <f t="shared" ref="I203:Q203" ca="1" si="46">OFFSET(I203,0,-1)+1</f>
        <v>1</v>
      </c>
      <c r="J203" s="300">
        <f t="shared" ca="1" si="46"/>
        <v>2</v>
      </c>
      <c r="K203" s="300">
        <f t="shared" ca="1" si="46"/>
        <v>3</v>
      </c>
      <c r="L203" s="300">
        <f t="shared" ca="1" si="46"/>
        <v>4</v>
      </c>
      <c r="M203" s="300">
        <f t="shared" ca="1" si="46"/>
        <v>5</v>
      </c>
      <c r="N203" s="300">
        <f t="shared" ca="1" si="46"/>
        <v>6</v>
      </c>
      <c r="O203" s="300">
        <f t="shared" ca="1" si="46"/>
        <v>7</v>
      </c>
      <c r="P203" s="300">
        <f t="shared" ca="1" si="46"/>
        <v>8</v>
      </c>
      <c r="Q203" s="300">
        <f t="shared" ca="1" si="46"/>
        <v>9</v>
      </c>
      <c r="R203" s="300"/>
      <c r="S203" s="61"/>
      <c r="T203" s="61"/>
      <c r="U203" s="60"/>
      <c r="V203" s="301"/>
      <c r="W203" s="61"/>
      <c r="X203" s="61"/>
      <c r="Y203" s="61"/>
      <c r="Z203" s="61"/>
      <c r="AA203" s="61"/>
      <c r="AB203" s="61"/>
      <c r="AC203" s="5"/>
      <c r="AD203" s="5"/>
      <c r="AE203" s="5"/>
      <c r="AF203" s="5"/>
      <c r="AG203" s="5"/>
      <c r="AH203" s="5"/>
      <c r="AI203" s="5"/>
      <c r="AJ203" s="5"/>
      <c r="AK203" s="5"/>
      <c r="AL203" s="5"/>
      <c r="AM203" s="5"/>
      <c r="AN203" s="5"/>
      <c r="AO203" s="22"/>
      <c r="AP203" s="5"/>
      <c r="AQ203" s="5"/>
      <c r="AR203" s="5"/>
      <c r="AS203" s="5"/>
      <c r="AT203" s="5"/>
    </row>
    <row r="204" spans="1:46" s="2" customFormat="1" ht="18.75" hidden="1">
      <c r="A204" s="309"/>
      <c r="B204" s="1023" t="s">
        <v>713</v>
      </c>
      <c r="C204" s="723"/>
      <c r="D204" s="1004"/>
      <c r="E204" s="382" t="s">
        <v>714</v>
      </c>
      <c r="F204" s="383"/>
      <c r="G204" s="382"/>
      <c r="H204" s="384"/>
      <c r="I204" s="385"/>
      <c r="J204" s="384"/>
      <c r="K204" s="9"/>
      <c r="L204" s="9"/>
      <c r="M204" s="9"/>
      <c r="N204" s="9"/>
      <c r="O204" s="9"/>
      <c r="P204" s="9"/>
      <c r="Q204" s="4"/>
      <c r="Y204" s="4"/>
      <c r="Z204" s="8"/>
      <c r="AA204" s="4"/>
      <c r="AB204" s="4"/>
      <c r="AC204" s="4"/>
      <c r="AD204" s="4"/>
      <c r="AE204" s="4"/>
      <c r="AF204" s="4"/>
      <c r="AG204" s="4"/>
      <c r="AH204" s="4"/>
      <c r="AI204" s="4"/>
      <c r="AJ204" s="4"/>
      <c r="AK204" s="4"/>
      <c r="AL204" s="4"/>
      <c r="AM204" s="4"/>
      <c r="AN204" s="4"/>
      <c r="AO204" s="4"/>
      <c r="AP204" s="4"/>
      <c r="AQ204" s="4"/>
      <c r="AR204" s="4"/>
      <c r="AS204" s="4"/>
      <c r="AT204" s="22"/>
    </row>
    <row r="205" spans="1:46" ht="51" hidden="1">
      <c r="B205" s="1023" t="s">
        <v>713</v>
      </c>
      <c r="C205" s="723"/>
      <c r="D205" s="999"/>
      <c r="E205" s="357" t="s">
        <v>715</v>
      </c>
      <c r="F205" s="326"/>
      <c r="G205" s="357" t="s">
        <v>68</v>
      </c>
      <c r="H205" s="476"/>
      <c r="I205" s="543" t="s">
        <v>611</v>
      </c>
      <c r="J205" s="543" t="s">
        <v>716</v>
      </c>
      <c r="K205" s="543" t="s">
        <v>717</v>
      </c>
      <c r="L205" s="543" t="s">
        <v>718</v>
      </c>
      <c r="M205" s="543" t="s">
        <v>719</v>
      </c>
      <c r="N205" s="543" t="s">
        <v>590</v>
      </c>
      <c r="O205" s="543" t="s">
        <v>720</v>
      </c>
      <c r="P205" s="543" t="s">
        <v>721</v>
      </c>
      <c r="Q205" s="543" t="s">
        <v>722</v>
      </c>
      <c r="R205" s="476"/>
      <c r="S205" s="16"/>
      <c r="T205" s="16"/>
      <c r="U205" s="20"/>
      <c r="V205" s="301"/>
      <c r="W205" s="24"/>
      <c r="X205" s="24"/>
      <c r="Y205" s="16"/>
      <c r="Z205" s="16"/>
      <c r="AA205" s="16"/>
      <c r="AB205" s="16"/>
      <c r="AC205" s="16"/>
      <c r="AD205" s="16"/>
      <c r="AE205" s="16"/>
      <c r="AF205" s="16"/>
      <c r="AG205" s="16"/>
      <c r="AH205" s="5"/>
      <c r="AI205" s="5"/>
      <c r="AJ205" s="5"/>
      <c r="AK205" s="5"/>
      <c r="AL205" s="5"/>
      <c r="AM205" s="5"/>
      <c r="AN205" s="5"/>
      <c r="AO205" s="22"/>
      <c r="AP205" s="5"/>
      <c r="AQ205" s="5"/>
      <c r="AR205" s="5"/>
      <c r="AS205" s="5"/>
      <c r="AT205" s="5"/>
    </row>
    <row r="206" spans="1:46" ht="15" hidden="1">
      <c r="B206" s="1023" t="s">
        <v>713</v>
      </c>
      <c r="C206" s="723"/>
      <c r="D206" s="999"/>
      <c r="E206" s="357" t="s">
        <v>92</v>
      </c>
      <c r="F206" s="326"/>
      <c r="G206" s="357"/>
      <c r="H206" s="476"/>
      <c r="I206" s="536"/>
      <c r="J206" s="536" t="s">
        <v>48</v>
      </c>
      <c r="K206" s="536"/>
      <c r="L206" s="536"/>
      <c r="M206" s="536" t="s">
        <v>48</v>
      </c>
      <c r="N206" s="536" t="s">
        <v>48</v>
      </c>
      <c r="O206" s="536" t="s">
        <v>48</v>
      </c>
      <c r="P206" s="536" t="s">
        <v>48</v>
      </c>
      <c r="Q206" s="536" t="s">
        <v>48</v>
      </c>
      <c r="R206" s="476"/>
      <c r="S206" s="16"/>
      <c r="T206" s="16"/>
      <c r="U206" s="20"/>
      <c r="V206" s="301"/>
      <c r="W206" s="24"/>
      <c r="X206" s="24"/>
      <c r="Y206" s="16" t="s">
        <v>1121</v>
      </c>
      <c r="Z206" s="16"/>
      <c r="AA206" s="16"/>
      <c r="AB206" s="16"/>
      <c r="AC206" s="16"/>
      <c r="AD206" s="16"/>
      <c r="AE206" s="16"/>
      <c r="AF206" s="16"/>
      <c r="AG206" s="16"/>
      <c r="AH206" s="5"/>
      <c r="AI206" s="5"/>
      <c r="AJ206" s="5"/>
      <c r="AK206" s="5"/>
      <c r="AL206" s="5"/>
      <c r="AM206" s="5"/>
      <c r="AN206" s="5"/>
      <c r="AO206" s="22"/>
      <c r="AP206" s="5"/>
      <c r="AQ206" s="5"/>
      <c r="AR206" s="5"/>
      <c r="AS206" s="5"/>
      <c r="AT206" s="5"/>
    </row>
    <row r="207" spans="1:46" ht="15" hidden="1">
      <c r="B207" s="1023" t="s">
        <v>713</v>
      </c>
      <c r="C207" s="723"/>
      <c r="D207" s="999"/>
      <c r="E207" s="357" t="s">
        <v>723</v>
      </c>
      <c r="F207" s="326"/>
      <c r="G207" s="357" t="s">
        <v>68</v>
      </c>
      <c r="H207" s="476"/>
      <c r="I207" s="397" t="s">
        <v>724</v>
      </c>
      <c r="J207" s="397" t="s">
        <v>725</v>
      </c>
      <c r="K207" s="397" t="s">
        <v>726</v>
      </c>
      <c r="L207" s="397" t="s">
        <v>727</v>
      </c>
      <c r="M207" s="397" t="s">
        <v>728</v>
      </c>
      <c r="N207" s="397" t="s">
        <v>729</v>
      </c>
      <c r="O207" s="397" t="s">
        <v>730</v>
      </c>
      <c r="P207" s="397" t="s">
        <v>731</v>
      </c>
      <c r="Q207" s="397" t="s">
        <v>732</v>
      </c>
      <c r="R207" s="476"/>
      <c r="S207" s="28"/>
      <c r="T207" s="16"/>
      <c r="U207" s="20"/>
      <c r="V207" s="301"/>
      <c r="W207" s="24"/>
      <c r="X207" s="24"/>
      <c r="Y207" s="16"/>
      <c r="Z207" s="16"/>
      <c r="AA207" s="16"/>
      <c r="AB207" s="16"/>
      <c r="AC207" s="16"/>
      <c r="AD207" s="16"/>
      <c r="AE207" s="16"/>
      <c r="AF207" s="16"/>
      <c r="AG207" s="16"/>
      <c r="AH207" s="5"/>
      <c r="AI207" s="5"/>
      <c r="AJ207" s="5"/>
      <c r="AK207" s="5"/>
      <c r="AL207" s="5"/>
      <c r="AM207" s="5"/>
      <c r="AN207" s="5"/>
      <c r="AO207" s="22"/>
      <c r="AP207" s="5"/>
      <c r="AQ207" s="5"/>
      <c r="AR207" s="5"/>
      <c r="AS207" s="5"/>
      <c r="AT207" s="5"/>
    </row>
    <row r="208" spans="1:46" ht="15" hidden="1">
      <c r="B208" s="1023" t="s">
        <v>713</v>
      </c>
      <c r="C208" s="723"/>
      <c r="D208" s="999"/>
      <c r="E208" s="357" t="s">
        <v>733</v>
      </c>
      <c r="F208" s="326"/>
      <c r="G208" s="357" t="s">
        <v>68</v>
      </c>
      <c r="H208" s="476"/>
      <c r="I208" s="400">
        <v>0</v>
      </c>
      <c r="J208" s="400">
        <v>1.45</v>
      </c>
      <c r="K208" s="400">
        <v>1</v>
      </c>
      <c r="L208" s="400">
        <v>1</v>
      </c>
      <c r="M208" s="400">
        <v>1</v>
      </c>
      <c r="N208" s="400">
        <v>0.5</v>
      </c>
      <c r="O208" s="400">
        <v>0</v>
      </c>
      <c r="P208" s="400">
        <v>0</v>
      </c>
      <c r="Q208" s="400" t="s">
        <v>734</v>
      </c>
      <c r="R208" s="476"/>
      <c r="S208" s="29"/>
      <c r="T208" s="16"/>
      <c r="U208" s="20"/>
      <c r="V208" s="301"/>
      <c r="W208" s="24"/>
      <c r="X208" s="86"/>
      <c r="Y208" s="16"/>
      <c r="Z208" s="16"/>
      <c r="AA208" s="16"/>
      <c r="AB208" s="16"/>
      <c r="AC208" s="16"/>
      <c r="AD208" s="16"/>
      <c r="AE208" s="16"/>
      <c r="AF208" s="16"/>
      <c r="AG208" s="16"/>
      <c r="AH208" s="5"/>
      <c r="AI208" s="5"/>
      <c r="AJ208" s="5"/>
      <c r="AK208" s="5"/>
      <c r="AL208" s="5"/>
      <c r="AM208" s="5"/>
      <c r="AN208" s="5"/>
      <c r="AO208" s="22"/>
      <c r="AP208" s="5"/>
      <c r="AQ208" s="5"/>
      <c r="AR208" s="5"/>
      <c r="AS208" s="5"/>
      <c r="AT208" s="5"/>
    </row>
    <row r="209" spans="1:62" ht="15" hidden="1">
      <c r="B209" s="1023" t="s">
        <v>713</v>
      </c>
      <c r="C209" s="723"/>
      <c r="D209" s="999"/>
      <c r="E209" s="357" t="s">
        <v>735</v>
      </c>
      <c r="F209" s="326"/>
      <c r="G209" s="357"/>
      <c r="H209" s="476"/>
      <c r="I209" s="543">
        <v>0</v>
      </c>
      <c r="J209" s="543">
        <v>0</v>
      </c>
      <c r="K209" s="543">
        <v>0</v>
      </c>
      <c r="L209" s="543">
        <v>0</v>
      </c>
      <c r="M209" s="543">
        <v>0</v>
      </c>
      <c r="N209" s="543">
        <v>0</v>
      </c>
      <c r="O209" s="543">
        <v>0</v>
      </c>
      <c r="P209" s="543">
        <v>0</v>
      </c>
      <c r="Q209" s="543">
        <v>1</v>
      </c>
      <c r="R209" s="476"/>
      <c r="S209" s="29"/>
      <c r="T209" s="16"/>
      <c r="U209" s="20"/>
      <c r="V209" s="301"/>
      <c r="W209" s="24"/>
      <c r="X209" s="86"/>
      <c r="Y209" s="16"/>
      <c r="Z209" s="16"/>
      <c r="AA209" s="16"/>
      <c r="AB209" s="16"/>
      <c r="AC209" s="16"/>
      <c r="AD209" s="16"/>
      <c r="AE209" s="16"/>
      <c r="AF209" s="16"/>
      <c r="AG209" s="16"/>
      <c r="AH209" s="5"/>
      <c r="AI209" s="5"/>
      <c r="AJ209" s="5"/>
      <c r="AK209" s="5"/>
      <c r="AL209" s="5"/>
      <c r="AM209" s="5"/>
      <c r="AN209" s="5"/>
      <c r="AO209" s="22"/>
      <c r="AP209" s="5"/>
      <c r="AQ209" s="5"/>
      <c r="AR209" s="5"/>
      <c r="AS209" s="5"/>
      <c r="AT209" s="5"/>
    </row>
    <row r="210" spans="1:62" s="2" customFormat="1" ht="15" hidden="1">
      <c r="A210" s="309"/>
      <c r="B210" s="1023" t="s">
        <v>713</v>
      </c>
      <c r="C210" s="723"/>
      <c r="D210" s="1002"/>
      <c r="E210" s="460" t="s">
        <v>736</v>
      </c>
      <c r="F210" s="471"/>
      <c r="G210" s="460"/>
      <c r="H210" s="459"/>
      <c r="I210" s="457" t="s">
        <v>737</v>
      </c>
      <c r="J210" s="457" t="s">
        <v>737</v>
      </c>
      <c r="K210" s="457" t="s">
        <v>737</v>
      </c>
      <c r="L210" s="457" t="s">
        <v>737</v>
      </c>
      <c r="M210" s="457" t="s">
        <v>737</v>
      </c>
      <c r="N210" s="457" t="s">
        <v>737</v>
      </c>
      <c r="O210" s="457" t="s">
        <v>737</v>
      </c>
      <c r="P210" s="457" t="s">
        <v>737</v>
      </c>
      <c r="Q210" s="457"/>
      <c r="R210" s="459"/>
      <c r="S210" s="393"/>
      <c r="T210" s="9"/>
      <c r="U210" s="8"/>
      <c r="V210" s="301"/>
      <c r="W210" s="9"/>
      <c r="X210" s="394"/>
      <c r="Y210" s="394"/>
      <c r="Z210" s="394"/>
      <c r="AA210" s="394"/>
      <c r="AB210" s="9"/>
      <c r="AC210" s="9"/>
      <c r="AD210" s="9"/>
      <c r="AE210" s="9"/>
      <c r="AF210" s="9"/>
      <c r="AG210" s="9"/>
      <c r="AH210" s="4"/>
      <c r="AI210" s="4"/>
      <c r="AJ210" s="4"/>
      <c r="AK210" s="4"/>
      <c r="AL210" s="4"/>
      <c r="AM210" s="4"/>
      <c r="AN210" s="4"/>
      <c r="AO210" s="22"/>
      <c r="AP210" s="4"/>
      <c r="AQ210" s="4"/>
      <c r="AR210" s="4"/>
      <c r="AS210" s="4"/>
      <c r="AT210" s="4"/>
    </row>
    <row r="211" spans="1:62" ht="15" hidden="1">
      <c r="B211" s="1023" t="s">
        <v>713</v>
      </c>
      <c r="C211" s="723"/>
      <c r="D211" s="999"/>
      <c r="E211" s="5"/>
      <c r="F211" s="5"/>
      <c r="G211" s="5"/>
      <c r="H211" s="16"/>
      <c r="I211" s="16"/>
      <c r="J211" s="16"/>
      <c r="K211" s="16"/>
      <c r="L211" s="16"/>
      <c r="M211" s="16"/>
      <c r="N211" s="16"/>
      <c r="O211" s="16"/>
      <c r="P211" s="16"/>
      <c r="Q211" s="16"/>
      <c r="R211" s="16"/>
      <c r="S211" s="16"/>
      <c r="T211" s="16"/>
      <c r="U211" s="301"/>
      <c r="V211" s="16"/>
      <c r="W211" s="16"/>
      <c r="X211" s="16"/>
      <c r="Y211" s="20"/>
      <c r="Z211" s="5"/>
      <c r="AA211" s="5"/>
      <c r="AB211" s="5"/>
      <c r="AC211" s="5"/>
      <c r="AD211" s="5"/>
      <c r="AE211" s="5"/>
      <c r="AF211" s="5"/>
      <c r="AG211" s="5"/>
      <c r="AH211" s="5"/>
      <c r="AI211" s="5"/>
      <c r="AJ211" s="5"/>
      <c r="AK211" s="5"/>
      <c r="AL211" s="5"/>
      <c r="AM211" s="5"/>
      <c r="AN211" s="5"/>
      <c r="AO211" s="5"/>
      <c r="AP211" s="5"/>
      <c r="AQ211" s="5"/>
      <c r="AR211" s="5"/>
      <c r="AS211" s="22"/>
    </row>
    <row r="212" spans="1:62" hidden="1">
      <c r="B212" s="1023" t="s">
        <v>738</v>
      </c>
      <c r="C212" s="723"/>
      <c r="D212" s="1000"/>
      <c r="E212" s="5"/>
      <c r="F212" s="5"/>
      <c r="G212" s="5"/>
      <c r="H212" s="5"/>
      <c r="I212" s="5"/>
      <c r="J212" s="5"/>
      <c r="K212" s="5"/>
      <c r="L212" s="5"/>
      <c r="M212" s="5"/>
      <c r="N212" s="5"/>
      <c r="O212" s="5"/>
      <c r="P212" s="5"/>
      <c r="Q212" s="5"/>
      <c r="R212" s="5"/>
      <c r="S212" s="5"/>
      <c r="T212" s="5"/>
      <c r="U212" s="16"/>
      <c r="V212" s="16"/>
      <c r="W212" s="16"/>
      <c r="X212" s="16"/>
      <c r="Y212" s="20"/>
      <c r="Z212" s="16"/>
      <c r="AA212" s="5"/>
      <c r="AB212" s="5"/>
      <c r="AC212" s="5"/>
      <c r="AD212" s="5"/>
      <c r="AE212" s="5"/>
      <c r="AF212" s="5"/>
      <c r="AG212" s="5"/>
      <c r="AH212" s="5"/>
      <c r="AI212" s="5"/>
      <c r="AJ212" s="5"/>
      <c r="AK212" s="5"/>
      <c r="AL212" s="5"/>
      <c r="AM212" s="5"/>
      <c r="AN212" s="5"/>
      <c r="AO212" s="5"/>
      <c r="AP212" s="5"/>
      <c r="AQ212" s="5"/>
      <c r="AR212" s="5"/>
      <c r="AS212" s="22"/>
    </row>
    <row r="213" spans="1:62" ht="21" hidden="1">
      <c r="B213" s="1023" t="s">
        <v>738</v>
      </c>
      <c r="C213" s="723"/>
      <c r="D213" s="999"/>
      <c r="E213" s="215" t="s">
        <v>739</v>
      </c>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c r="AB213" s="215"/>
      <c r="AC213" s="931" t="s">
        <v>2018</v>
      </c>
      <c r="AD213" s="932"/>
      <c r="AE213" s="932"/>
      <c r="AF213" s="932"/>
      <c r="AG213" s="932"/>
      <c r="AH213" s="932"/>
      <c r="AI213" s="932"/>
      <c r="AJ213" s="932"/>
      <c r="AK213" s="932"/>
      <c r="AL213" s="932"/>
      <c r="AM213" s="933"/>
      <c r="AN213" s="215"/>
      <c r="AO213" s="20"/>
      <c r="AP213" s="5"/>
      <c r="AQ213" s="5"/>
      <c r="AR213" s="5"/>
      <c r="AS213" s="5"/>
      <c r="AT213" s="5"/>
      <c r="AU213" s="5"/>
      <c r="AV213" s="5"/>
      <c r="AW213" s="5"/>
      <c r="AX213" s="5"/>
      <c r="AY213" s="5"/>
      <c r="AZ213" s="5"/>
      <c r="BA213" s="5"/>
      <c r="BB213" s="5"/>
      <c r="BC213" s="5"/>
      <c r="BD213" s="5"/>
      <c r="BE213" s="5"/>
      <c r="BF213" s="5"/>
      <c r="BG213" s="5"/>
      <c r="BH213" s="5"/>
      <c r="BI213" s="22"/>
    </row>
    <row r="214" spans="1:62" hidden="1">
      <c r="B214" s="1023" t="s">
        <v>738</v>
      </c>
      <c r="C214" s="723"/>
      <c r="D214" s="1000"/>
      <c r="E214" s="299" t="s">
        <v>483</v>
      </c>
      <c r="F214" s="299"/>
      <c r="G214" s="299" t="s">
        <v>420</v>
      </c>
      <c r="H214" s="300"/>
      <c r="I214" s="300">
        <f t="shared" ref="I214:AM214" ca="1" si="47">OFFSET(I214,0,-1)+1</f>
        <v>1</v>
      </c>
      <c r="J214" s="300">
        <f t="shared" ca="1" si="47"/>
        <v>2</v>
      </c>
      <c r="K214" s="300">
        <f t="shared" ca="1" si="47"/>
        <v>3</v>
      </c>
      <c r="L214" s="300">
        <f t="shared" ca="1" si="47"/>
        <v>4</v>
      </c>
      <c r="M214" s="300">
        <f t="shared" ca="1" si="47"/>
        <v>5</v>
      </c>
      <c r="N214" s="300">
        <f t="shared" ca="1" si="47"/>
        <v>6</v>
      </c>
      <c r="O214" s="300">
        <f t="shared" ca="1" si="47"/>
        <v>7</v>
      </c>
      <c r="P214" s="300">
        <f t="shared" ca="1" si="47"/>
        <v>8</v>
      </c>
      <c r="Q214" s="300">
        <f t="shared" ca="1" si="47"/>
        <v>9</v>
      </c>
      <c r="R214" s="300">
        <f t="shared" ca="1" si="47"/>
        <v>10</v>
      </c>
      <c r="S214" s="300">
        <f t="shared" ca="1" si="47"/>
        <v>11</v>
      </c>
      <c r="T214" s="300">
        <f t="shared" ca="1" si="47"/>
        <v>12</v>
      </c>
      <c r="U214" s="300">
        <f t="shared" ca="1" si="47"/>
        <v>13</v>
      </c>
      <c r="V214" s="300">
        <f t="shared" ca="1" si="47"/>
        <v>14</v>
      </c>
      <c r="W214" s="300">
        <f t="shared" ca="1" si="47"/>
        <v>15</v>
      </c>
      <c r="X214" s="300">
        <f t="shared" ca="1" si="47"/>
        <v>16</v>
      </c>
      <c r="Y214" s="300">
        <f t="shared" ca="1" si="47"/>
        <v>17</v>
      </c>
      <c r="Z214" s="300">
        <f t="shared" ca="1" si="47"/>
        <v>18</v>
      </c>
      <c r="AA214" s="300">
        <f t="shared" ca="1" si="47"/>
        <v>19</v>
      </c>
      <c r="AB214" s="300">
        <f t="shared" ca="1" si="47"/>
        <v>20</v>
      </c>
      <c r="AC214" s="934">
        <f t="shared" ca="1" si="47"/>
        <v>21</v>
      </c>
      <c r="AD214" s="300">
        <f t="shared" ca="1" si="47"/>
        <v>22</v>
      </c>
      <c r="AE214" s="300">
        <f t="shared" ca="1" si="47"/>
        <v>23</v>
      </c>
      <c r="AF214" s="300">
        <f t="shared" ca="1" si="47"/>
        <v>24</v>
      </c>
      <c r="AG214" s="300">
        <f t="shared" ca="1" si="47"/>
        <v>25</v>
      </c>
      <c r="AH214" s="300">
        <f t="shared" ca="1" si="47"/>
        <v>26</v>
      </c>
      <c r="AI214" s="300">
        <f t="shared" ca="1" si="47"/>
        <v>27</v>
      </c>
      <c r="AJ214" s="300">
        <f t="shared" ca="1" si="47"/>
        <v>28</v>
      </c>
      <c r="AK214" s="300">
        <f t="shared" ca="1" si="47"/>
        <v>29</v>
      </c>
      <c r="AL214" s="300">
        <f t="shared" ca="1" si="47"/>
        <v>30</v>
      </c>
      <c r="AM214" s="935">
        <f t="shared" ca="1" si="47"/>
        <v>31</v>
      </c>
      <c r="AN214" s="300"/>
      <c r="AO214" s="5"/>
      <c r="AP214" s="20"/>
      <c r="AQ214" s="5"/>
      <c r="AR214" s="5"/>
      <c r="AS214" s="5"/>
      <c r="AT214" s="5"/>
      <c r="AU214" s="5"/>
      <c r="AV214" s="5"/>
      <c r="AW214" s="5"/>
      <c r="AX214" s="5"/>
      <c r="AY214" s="5"/>
      <c r="AZ214" s="5"/>
      <c r="BA214" s="5"/>
      <c r="BB214" s="5"/>
      <c r="BC214" s="5"/>
      <c r="BD214" s="5"/>
      <c r="BE214" s="5"/>
      <c r="BF214" s="5"/>
      <c r="BG214" s="5"/>
      <c r="BH214" s="5"/>
      <c r="BI214" s="22"/>
      <c r="BJ214" s="209"/>
    </row>
    <row r="215" spans="1:62" s="2" customFormat="1" ht="18.75" hidden="1">
      <c r="A215" s="309"/>
      <c r="B215" s="1023" t="s">
        <v>738</v>
      </c>
      <c r="C215" s="723"/>
      <c r="D215" s="1004"/>
      <c r="E215" s="382" t="s">
        <v>740</v>
      </c>
      <c r="F215" s="383"/>
      <c r="G215" s="382"/>
      <c r="H215" s="384"/>
      <c r="I215" s="684" t="s">
        <v>97</v>
      </c>
      <c r="J215" s="684" t="s">
        <v>97</v>
      </c>
      <c r="K215" s="684" t="s">
        <v>97</v>
      </c>
      <c r="L215" s="684" t="s">
        <v>97</v>
      </c>
      <c r="M215" s="684" t="s">
        <v>97</v>
      </c>
      <c r="N215" s="684" t="s">
        <v>97</v>
      </c>
      <c r="O215" s="684" t="s">
        <v>97</v>
      </c>
      <c r="P215" s="684" t="s">
        <v>97</v>
      </c>
      <c r="Q215" s="684" t="s">
        <v>97</v>
      </c>
      <c r="R215" s="684" t="s">
        <v>97</v>
      </c>
      <c r="S215" s="684" t="s">
        <v>97</v>
      </c>
      <c r="T215" s="684" t="s">
        <v>741</v>
      </c>
      <c r="U215" s="684" t="s">
        <v>741</v>
      </c>
      <c r="V215" s="684" t="s">
        <v>741</v>
      </c>
      <c r="W215" s="684" t="s">
        <v>741</v>
      </c>
      <c r="X215" s="684" t="s">
        <v>742</v>
      </c>
      <c r="Y215" s="684" t="s">
        <v>742</v>
      </c>
      <c r="Z215" s="684" t="s">
        <v>742</v>
      </c>
      <c r="AA215" s="684" t="s">
        <v>742</v>
      </c>
      <c r="AB215" s="684" t="s">
        <v>742</v>
      </c>
      <c r="AC215" s="936" t="s">
        <v>743</v>
      </c>
      <c r="AD215" s="684" t="s">
        <v>743</v>
      </c>
      <c r="AE215" s="684" t="s">
        <v>743</v>
      </c>
      <c r="AF215" s="684" t="s">
        <v>743</v>
      </c>
      <c r="AG215" s="684" t="s">
        <v>743</v>
      </c>
      <c r="AH215" s="684" t="s">
        <v>743</v>
      </c>
      <c r="AI215" s="684" t="s">
        <v>743</v>
      </c>
      <c r="AJ215" s="684" t="s">
        <v>743</v>
      </c>
      <c r="AK215" s="684" t="s">
        <v>743</v>
      </c>
      <c r="AL215" s="684" t="s">
        <v>743</v>
      </c>
      <c r="AM215" s="937" t="s">
        <v>743</v>
      </c>
      <c r="AN215" s="4"/>
      <c r="AO215" s="8"/>
      <c r="AP215" s="4"/>
      <c r="AQ215" s="4"/>
      <c r="AR215" s="4"/>
      <c r="AS215" s="4"/>
      <c r="AT215" s="4"/>
      <c r="AU215" s="4"/>
      <c r="AV215" s="4"/>
      <c r="AW215" s="4"/>
      <c r="AX215" s="4"/>
      <c r="AY215" s="4"/>
      <c r="AZ215" s="4"/>
      <c r="BA215" s="4"/>
      <c r="BB215" s="4"/>
      <c r="BC215" s="4"/>
      <c r="BD215" s="4"/>
      <c r="BE215" s="4"/>
      <c r="BF215" s="4"/>
      <c r="BG215" s="4"/>
      <c r="BH215" s="4"/>
      <c r="BI215" s="22"/>
    </row>
    <row r="216" spans="1:62" ht="63.75" hidden="1">
      <c r="B216" s="1023" t="s">
        <v>738</v>
      </c>
      <c r="C216" s="723"/>
      <c r="D216" s="999"/>
      <c r="E216" s="357" t="s">
        <v>744</v>
      </c>
      <c r="F216" s="326"/>
      <c r="G216" s="357" t="s">
        <v>68</v>
      </c>
      <c r="H216" s="476"/>
      <c r="I216" s="535" t="s">
        <v>611</v>
      </c>
      <c r="J216" s="477" t="s">
        <v>153</v>
      </c>
      <c r="K216" s="535" t="s">
        <v>588</v>
      </c>
      <c r="L216" s="477" t="s">
        <v>745</v>
      </c>
      <c r="M216" s="477" t="s">
        <v>719</v>
      </c>
      <c r="N216" s="477" t="s">
        <v>590</v>
      </c>
      <c r="O216" s="477" t="s">
        <v>720</v>
      </c>
      <c r="P216" s="477" t="s">
        <v>594</v>
      </c>
      <c r="Q216" s="477" t="s">
        <v>746</v>
      </c>
      <c r="R216" s="477" t="s">
        <v>747</v>
      </c>
      <c r="S216" s="477" t="s">
        <v>592</v>
      </c>
      <c r="T216" s="477" t="s">
        <v>596</v>
      </c>
      <c r="U216" s="477" t="s">
        <v>591</v>
      </c>
      <c r="V216" s="477" t="s">
        <v>595</v>
      </c>
      <c r="W216" s="477" t="s">
        <v>589</v>
      </c>
      <c r="X216" s="591" t="s">
        <v>597</v>
      </c>
      <c r="Y216" s="591" t="s">
        <v>674</v>
      </c>
      <c r="Z216" s="591" t="s">
        <v>593</v>
      </c>
      <c r="AA216" s="591" t="s">
        <v>1977</v>
      </c>
      <c r="AB216" s="591" t="s">
        <v>1978</v>
      </c>
      <c r="AC216" s="938" t="s">
        <v>598</v>
      </c>
      <c r="AD216" s="591" t="s">
        <v>748</v>
      </c>
      <c r="AE216" s="591" t="s">
        <v>815</v>
      </c>
      <c r="AF216" s="591" t="s">
        <v>816</v>
      </c>
      <c r="AG216" s="591"/>
      <c r="AH216" s="591"/>
      <c r="AI216" s="591"/>
      <c r="AJ216" s="591"/>
      <c r="AK216" s="591"/>
      <c r="AL216" s="591"/>
      <c r="AM216" s="939"/>
      <c r="AN216" s="476"/>
      <c r="AO216" s="22"/>
      <c r="AP216" s="20"/>
      <c r="AQ216" s="16"/>
      <c r="AR216" s="16"/>
      <c r="AS216" s="16"/>
      <c r="AT216" s="5"/>
      <c r="AU216" s="5"/>
      <c r="AV216" s="5"/>
      <c r="AW216" s="5"/>
      <c r="AX216" s="5"/>
      <c r="AY216" s="5"/>
      <c r="AZ216" s="5"/>
      <c r="BA216" s="5"/>
      <c r="BB216" s="5"/>
      <c r="BC216" s="5"/>
      <c r="BD216" s="5"/>
      <c r="BE216" s="5"/>
      <c r="BF216" s="5"/>
      <c r="BG216" s="5"/>
      <c r="BH216" s="5"/>
      <c r="BJ216" s="209"/>
    </row>
    <row r="217" spans="1:62" s="38" customFormat="1" hidden="1">
      <c r="A217" s="233"/>
      <c r="B217" s="1023" t="s">
        <v>738</v>
      </c>
      <c r="C217" s="723"/>
      <c r="D217" s="999"/>
      <c r="E217" s="182" t="s">
        <v>92</v>
      </c>
      <c r="F217" s="326"/>
      <c r="G217" s="182" t="s">
        <v>68</v>
      </c>
      <c r="H217" s="476"/>
      <c r="I217" s="883"/>
      <c r="J217" s="883"/>
      <c r="K217" s="884"/>
      <c r="L217" s="884"/>
      <c r="M217" s="884" t="s">
        <v>48</v>
      </c>
      <c r="N217" s="884" t="s">
        <v>48</v>
      </c>
      <c r="O217" s="884" t="s">
        <v>48</v>
      </c>
      <c r="P217" s="884" t="s">
        <v>48</v>
      </c>
      <c r="Q217" s="884" t="s">
        <v>48</v>
      </c>
      <c r="R217" s="884" t="s">
        <v>48</v>
      </c>
      <c r="S217" s="884" t="s">
        <v>48</v>
      </c>
      <c r="T217" s="884" t="s">
        <v>48</v>
      </c>
      <c r="U217" s="884" t="s">
        <v>48</v>
      </c>
      <c r="V217" s="884" t="s">
        <v>48</v>
      </c>
      <c r="W217" s="884"/>
      <c r="X217" s="884" t="s">
        <v>48</v>
      </c>
      <c r="Y217" s="884" t="s">
        <v>48</v>
      </c>
      <c r="Z217" s="884" t="s">
        <v>48</v>
      </c>
      <c r="AA217" s="884" t="s">
        <v>48</v>
      </c>
      <c r="AB217" s="884" t="s">
        <v>48</v>
      </c>
      <c r="AC217" s="884" t="s">
        <v>48</v>
      </c>
      <c r="AD217" s="884" t="s">
        <v>48</v>
      </c>
      <c r="AE217" s="884" t="s">
        <v>48</v>
      </c>
      <c r="AF217" s="884" t="s">
        <v>48</v>
      </c>
      <c r="AG217" s="457"/>
      <c r="AH217" s="457"/>
      <c r="AI217" s="457"/>
      <c r="AJ217" s="457"/>
      <c r="AK217" s="457"/>
      <c r="AL217" s="457"/>
      <c r="AM217" s="941"/>
      <c r="AN217" s="476"/>
      <c r="AO217" s="20"/>
      <c r="AP217" s="20"/>
      <c r="AQ217" s="16"/>
      <c r="AR217" s="16"/>
      <c r="AS217" s="16"/>
      <c r="AT217" s="76"/>
      <c r="AU217" s="76"/>
      <c r="AV217" s="76"/>
      <c r="AW217" s="76"/>
      <c r="AX217" s="76"/>
      <c r="AY217" s="76"/>
      <c r="AZ217" s="76"/>
      <c r="BA217" s="76"/>
      <c r="BB217" s="76"/>
      <c r="BC217" s="76"/>
      <c r="BD217" s="76"/>
      <c r="BE217" s="76"/>
      <c r="BF217" s="76"/>
      <c r="BG217" s="76"/>
      <c r="BH217" s="76"/>
      <c r="BI217" s="274"/>
      <c r="BJ217" s="885"/>
    </row>
    <row r="218" spans="1:62" s="2" customFormat="1" hidden="1">
      <c r="A218" s="309"/>
      <c r="B218" s="1023" t="s">
        <v>738</v>
      </c>
      <c r="C218" s="723"/>
      <c r="D218" s="1004"/>
      <c r="E218" s="220" t="s">
        <v>749</v>
      </c>
      <c r="F218" s="328"/>
      <c r="G218" s="220" t="s">
        <v>750</v>
      </c>
      <c r="H218" s="398"/>
      <c r="I218" s="399">
        <v>0</v>
      </c>
      <c r="J218" s="399">
        <v>1.45</v>
      </c>
      <c r="K218" s="399">
        <v>1</v>
      </c>
      <c r="L218" s="399">
        <v>1</v>
      </c>
      <c r="M218" s="399">
        <v>0</v>
      </c>
      <c r="N218" s="399">
        <v>0.5</v>
      </c>
      <c r="O218" s="399">
        <v>1</v>
      </c>
      <c r="P218" s="399">
        <v>0.9</v>
      </c>
      <c r="Q218" s="399">
        <f>J218/3</f>
        <v>0.48333333333333334</v>
      </c>
      <c r="R218" s="399">
        <v>0</v>
      </c>
      <c r="S218" s="399">
        <v>0.5</v>
      </c>
      <c r="T218" s="399">
        <v>0.1</v>
      </c>
      <c r="U218" s="399">
        <v>1</v>
      </c>
      <c r="V218" s="399">
        <v>0.2</v>
      </c>
      <c r="W218" s="399">
        <v>0</v>
      </c>
      <c r="X218" s="803" t="s">
        <v>1120</v>
      </c>
      <c r="Y218" s="803" t="s">
        <v>1122</v>
      </c>
      <c r="Z218" s="803">
        <v>0</v>
      </c>
      <c r="AA218" s="803">
        <v>1</v>
      </c>
      <c r="AB218" s="803">
        <v>1</v>
      </c>
      <c r="AC218" s="942">
        <f t="shared" ref="AC218:AM218" si="48">IF(AC$216="","",INDEX(warmtenetten_NL_fp_del,MATCH(AC$216,warmtenetten_NL_namen,0)))</f>
        <v>0.55000000000000004</v>
      </c>
      <c r="AD218" s="802">
        <f t="shared" si="48"/>
        <v>0.12</v>
      </c>
      <c r="AE218" s="802">
        <f t="shared" si="48"/>
        <v>0.44</v>
      </c>
      <c r="AF218" s="802">
        <f t="shared" si="48"/>
        <v>0.56999999999999995</v>
      </c>
      <c r="AG218" s="802" t="str">
        <f t="shared" si="48"/>
        <v/>
      </c>
      <c r="AH218" s="802" t="str">
        <f t="shared" si="48"/>
        <v/>
      </c>
      <c r="AI218" s="802" t="str">
        <f t="shared" si="48"/>
        <v/>
      </c>
      <c r="AJ218" s="802" t="str">
        <f t="shared" si="48"/>
        <v/>
      </c>
      <c r="AK218" s="802" t="str">
        <f t="shared" si="48"/>
        <v/>
      </c>
      <c r="AL218" s="802" t="str">
        <f t="shared" si="48"/>
        <v/>
      </c>
      <c r="AM218" s="943" t="str">
        <f t="shared" si="48"/>
        <v/>
      </c>
      <c r="AN218" s="398"/>
      <c r="AO218" s="8"/>
      <c r="AQ218" s="9"/>
      <c r="AR218" s="9"/>
      <c r="AS218" s="9"/>
      <c r="AT218" s="4"/>
      <c r="AU218" s="4"/>
      <c r="AV218" s="4"/>
      <c r="AW218" s="4"/>
      <c r="AX218" s="4"/>
      <c r="AY218" s="4"/>
      <c r="AZ218" s="4"/>
      <c r="BA218" s="4"/>
      <c r="BB218" s="4"/>
      <c r="BC218" s="4"/>
      <c r="BD218" s="4"/>
      <c r="BE218" s="4"/>
      <c r="BF218" s="4"/>
      <c r="BG218" s="4"/>
      <c r="BH218" s="4"/>
      <c r="BI218" s="274"/>
      <c r="BJ218" s="378"/>
    </row>
    <row r="219" spans="1:62" s="2" customFormat="1" hidden="1">
      <c r="A219" s="309"/>
      <c r="B219" s="1023" t="s">
        <v>738</v>
      </c>
      <c r="C219" s="723"/>
      <c r="D219" s="1002"/>
      <c r="E219" s="220" t="s">
        <v>751</v>
      </c>
      <c r="F219" s="328"/>
      <c r="G219" s="220" t="s">
        <v>752</v>
      </c>
      <c r="H219" s="398"/>
      <c r="I219" s="402">
        <v>0</v>
      </c>
      <c r="J219" s="402">
        <v>0.34</v>
      </c>
      <c r="K219" s="402">
        <v>0.183</v>
      </c>
      <c r="L219" s="402">
        <v>0.26</v>
      </c>
      <c r="M219" s="402">
        <v>0</v>
      </c>
      <c r="N219" s="402">
        <f>0.5*0.372</f>
        <v>0.186</v>
      </c>
      <c r="O219" s="402">
        <f>1*0.372</f>
        <v>0.372</v>
      </c>
      <c r="P219" s="402">
        <v>0.17</v>
      </c>
      <c r="Q219" s="402">
        <f>J219/3</f>
        <v>0.11333333333333334</v>
      </c>
      <c r="R219" s="402">
        <v>0</v>
      </c>
      <c r="S219" s="402">
        <v>0.113</v>
      </c>
      <c r="T219" s="402">
        <v>0.05</v>
      </c>
      <c r="U219" s="402">
        <f>0.183</f>
        <v>0.183</v>
      </c>
      <c r="V219" s="402">
        <v>0.09</v>
      </c>
      <c r="W219" s="402">
        <v>0</v>
      </c>
      <c r="X219" s="592" t="s">
        <v>1123</v>
      </c>
      <c r="Y219" s="592" t="s">
        <v>1124</v>
      </c>
      <c r="Z219" s="592">
        <v>0</v>
      </c>
      <c r="AA219" s="592">
        <v>3.3300000000000003E-5</v>
      </c>
      <c r="AB219" s="592">
        <v>3.7500000000000001E-4</v>
      </c>
      <c r="AC219" s="942">
        <f t="shared" ref="AC219:AM219" si="49">IF(AC$216="","",INDEX(warmtenetten_NL_CO2_emissiecoefficient,MATCH(AC$216,warmtenetten_NL_namen,0)))</f>
        <v>0.13</v>
      </c>
      <c r="AD219" s="802">
        <f t="shared" si="49"/>
        <v>0.03</v>
      </c>
      <c r="AE219" s="802">
        <f t="shared" si="49"/>
        <v>0.17</v>
      </c>
      <c r="AF219" s="802">
        <f t="shared" si="49"/>
        <v>0.17</v>
      </c>
      <c r="AG219" s="802" t="str">
        <f t="shared" si="49"/>
        <v/>
      </c>
      <c r="AH219" s="802" t="str">
        <f t="shared" si="49"/>
        <v/>
      </c>
      <c r="AI219" s="802" t="str">
        <f t="shared" si="49"/>
        <v/>
      </c>
      <c r="AJ219" s="802" t="str">
        <f t="shared" si="49"/>
        <v/>
      </c>
      <c r="AK219" s="802" t="str">
        <f t="shared" si="49"/>
        <v/>
      </c>
      <c r="AL219" s="802" t="str">
        <f t="shared" si="49"/>
        <v/>
      </c>
      <c r="AM219" s="943" t="str">
        <f t="shared" si="49"/>
        <v/>
      </c>
      <c r="AN219" s="398"/>
      <c r="AO219" s="8"/>
      <c r="AP219" s="8"/>
      <c r="AQ219" s="9"/>
      <c r="AR219" s="9"/>
      <c r="AS219" s="9"/>
      <c r="AT219" s="4"/>
      <c r="AU219" s="4"/>
      <c r="AV219" s="4"/>
      <c r="AW219" s="4"/>
      <c r="AX219" s="4"/>
      <c r="AY219" s="4"/>
      <c r="AZ219" s="4"/>
      <c r="BA219" s="4"/>
      <c r="BB219" s="4"/>
      <c r="BC219" s="4"/>
      <c r="BD219" s="4"/>
      <c r="BE219" s="4"/>
      <c r="BF219" s="4"/>
      <c r="BG219" s="4"/>
      <c r="BH219" s="4"/>
      <c r="BI219" s="22"/>
      <c r="BJ219" s="378"/>
    </row>
    <row r="220" spans="1:62" s="2" customFormat="1" hidden="1">
      <c r="A220" s="309"/>
      <c r="B220" s="1023" t="s">
        <v>738</v>
      </c>
      <c r="C220" s="723"/>
      <c r="D220" s="1002"/>
      <c r="E220" s="220" t="s">
        <v>753</v>
      </c>
      <c r="F220" s="328"/>
      <c r="G220" s="220" t="s">
        <v>68</v>
      </c>
      <c r="H220" s="398"/>
      <c r="I220" s="401" t="s">
        <v>611</v>
      </c>
      <c r="J220" s="401" t="s">
        <v>754</v>
      </c>
      <c r="K220" s="401" t="s">
        <v>755</v>
      </c>
      <c r="L220" s="401" t="s">
        <v>756</v>
      </c>
      <c r="M220" s="401" t="s">
        <v>756</v>
      </c>
      <c r="N220" s="401" t="s">
        <v>756</v>
      </c>
      <c r="O220" s="401" t="s">
        <v>756</v>
      </c>
      <c r="P220" s="401" t="s">
        <v>756</v>
      </c>
      <c r="Q220" s="401" t="s">
        <v>756</v>
      </c>
      <c r="R220" s="401" t="s">
        <v>756</v>
      </c>
      <c r="S220" s="401" t="s">
        <v>756</v>
      </c>
      <c r="T220" s="401" t="s">
        <v>756</v>
      </c>
      <c r="U220" s="401" t="s">
        <v>756</v>
      </c>
      <c r="V220" s="401" t="s">
        <v>756</v>
      </c>
      <c r="W220" s="401" t="s">
        <v>756</v>
      </c>
      <c r="X220" s="592" t="s">
        <v>756</v>
      </c>
      <c r="Y220" s="592" t="s">
        <v>756</v>
      </c>
      <c r="Z220" s="592" t="s">
        <v>756</v>
      </c>
      <c r="AA220" s="592" t="s">
        <v>754</v>
      </c>
      <c r="AB220" s="592" t="s">
        <v>754</v>
      </c>
      <c r="AC220" s="942" t="str">
        <f>IF(AC$216="","","GJ")</f>
        <v>GJ</v>
      </c>
      <c r="AD220" s="802" t="str">
        <f t="shared" ref="AD220:AM220" si="50">IF(AD$216="","","GJ")</f>
        <v>GJ</v>
      </c>
      <c r="AE220" s="802" t="str">
        <f t="shared" si="50"/>
        <v>GJ</v>
      </c>
      <c r="AF220" s="802" t="str">
        <f t="shared" si="50"/>
        <v>GJ</v>
      </c>
      <c r="AG220" s="802" t="str">
        <f t="shared" si="50"/>
        <v/>
      </c>
      <c r="AH220" s="802" t="str">
        <f t="shared" si="50"/>
        <v/>
      </c>
      <c r="AI220" s="802" t="str">
        <f t="shared" si="50"/>
        <v/>
      </c>
      <c r="AJ220" s="802" t="str">
        <f t="shared" si="50"/>
        <v/>
      </c>
      <c r="AK220" s="802" t="str">
        <f t="shared" si="50"/>
        <v/>
      </c>
      <c r="AL220" s="802" t="str">
        <f t="shared" si="50"/>
        <v/>
      </c>
      <c r="AM220" s="943" t="str">
        <f t="shared" si="50"/>
        <v/>
      </c>
      <c r="AN220" s="398"/>
      <c r="AO220" s="8"/>
      <c r="AP220" s="8"/>
      <c r="AQ220" s="9"/>
      <c r="AR220" s="9"/>
      <c r="AS220" s="9"/>
      <c r="AT220" s="4"/>
      <c r="AU220" s="4"/>
      <c r="AV220" s="4"/>
      <c r="AW220" s="4"/>
      <c r="AX220" s="4"/>
      <c r="AY220" s="4"/>
      <c r="AZ220" s="4"/>
      <c r="BA220" s="4"/>
      <c r="BB220" s="4"/>
      <c r="BC220" s="4"/>
      <c r="BD220" s="4"/>
      <c r="BE220" s="4"/>
      <c r="BF220" s="4"/>
      <c r="BG220" s="4"/>
      <c r="BH220" s="4"/>
      <c r="BI220" s="22"/>
      <c r="BJ220" s="378"/>
    </row>
    <row r="221" spans="1:62" s="2" customFormat="1" hidden="1">
      <c r="A221" s="309"/>
      <c r="B221" s="1023" t="s">
        <v>738</v>
      </c>
      <c r="C221" s="723"/>
      <c r="D221" s="1002"/>
      <c r="E221" s="460" t="s">
        <v>757</v>
      </c>
      <c r="F221" s="471"/>
      <c r="G221" s="460"/>
      <c r="H221" s="459"/>
      <c r="I221" s="457"/>
      <c r="J221" s="470" t="s">
        <v>758</v>
      </c>
      <c r="K221" s="470" t="s">
        <v>758</v>
      </c>
      <c r="L221" s="470" t="s">
        <v>758</v>
      </c>
      <c r="M221" s="470" t="s">
        <v>758</v>
      </c>
      <c r="N221" s="470" t="s">
        <v>758</v>
      </c>
      <c r="O221" s="470" t="s">
        <v>758</v>
      </c>
      <c r="P221" s="470" t="s">
        <v>758</v>
      </c>
      <c r="Q221" s="470" t="s">
        <v>758</v>
      </c>
      <c r="R221" s="470" t="s">
        <v>759</v>
      </c>
      <c r="S221" s="470" t="s">
        <v>759</v>
      </c>
      <c r="T221" s="470" t="s">
        <v>759</v>
      </c>
      <c r="U221" s="470" t="s">
        <v>759</v>
      </c>
      <c r="V221" s="470" t="s">
        <v>759</v>
      </c>
      <c r="W221" s="470" t="s">
        <v>759</v>
      </c>
      <c r="X221" s="457" t="s">
        <v>1119</v>
      </c>
      <c r="Y221" s="457" t="s">
        <v>1119</v>
      </c>
      <c r="Z221" s="457" t="s">
        <v>1119</v>
      </c>
      <c r="AA221" s="457" t="s">
        <v>1119</v>
      </c>
      <c r="AB221" s="457" t="s">
        <v>1119</v>
      </c>
      <c r="AC221" s="940"/>
      <c r="AD221" s="457"/>
      <c r="AE221" s="457"/>
      <c r="AF221" s="457"/>
      <c r="AG221" s="457"/>
      <c r="AH221" s="457"/>
      <c r="AI221" s="457"/>
      <c r="AJ221" s="457"/>
      <c r="AK221" s="457"/>
      <c r="AL221" s="457"/>
      <c r="AM221" s="941"/>
      <c r="AN221" s="537"/>
      <c r="AO221" s="9"/>
      <c r="AP221" s="8"/>
      <c r="AQ221" s="9"/>
      <c r="AR221" s="9"/>
      <c r="AS221" s="9"/>
      <c r="AT221" s="4"/>
      <c r="AU221" s="4"/>
      <c r="AV221" s="4"/>
      <c r="AW221" s="4"/>
      <c r="AX221" s="4"/>
      <c r="AY221" s="4"/>
      <c r="AZ221" s="4"/>
      <c r="BA221" s="4"/>
      <c r="BB221" s="4"/>
      <c r="BC221" s="4"/>
      <c r="BD221" s="4"/>
      <c r="BE221" s="4"/>
      <c r="BF221" s="4"/>
      <c r="BG221" s="4"/>
      <c r="BH221" s="4"/>
      <c r="BI221" s="22"/>
      <c r="BJ221" s="378"/>
    </row>
    <row r="222" spans="1:62" s="2" customFormat="1" ht="18.75" hidden="1">
      <c r="A222" s="309"/>
      <c r="B222" s="1023" t="s">
        <v>738</v>
      </c>
      <c r="C222" s="723"/>
      <c r="D222" s="1002"/>
      <c r="E222" s="382" t="s">
        <v>760</v>
      </c>
      <c r="F222" s="383"/>
      <c r="G222" s="382"/>
      <c r="H222" s="384"/>
      <c r="I222" s="385"/>
      <c r="J222" s="384"/>
      <c r="K222" s="9"/>
      <c r="L222" s="9"/>
      <c r="M222" s="9"/>
      <c r="N222" s="9"/>
      <c r="O222" s="9"/>
      <c r="P222" s="4"/>
      <c r="Q222" s="4"/>
      <c r="R222" s="4"/>
      <c r="S222" s="4"/>
      <c r="T222" s="4"/>
      <c r="U222" s="4"/>
      <c r="V222" s="4"/>
      <c r="W222" s="4"/>
      <c r="X222" s="684" t="s">
        <v>761</v>
      </c>
      <c r="Y222" s="684" t="s">
        <v>761</v>
      </c>
      <c r="Z222" s="684" t="s">
        <v>761</v>
      </c>
      <c r="AA222" s="684" t="s">
        <v>761</v>
      </c>
      <c r="AB222" s="684" t="s">
        <v>761</v>
      </c>
      <c r="AC222" s="936" t="s">
        <v>761</v>
      </c>
      <c r="AD222" s="684" t="s">
        <v>761</v>
      </c>
      <c r="AE222" s="684" t="s">
        <v>761</v>
      </c>
      <c r="AF222" s="684" t="s">
        <v>761</v>
      </c>
      <c r="AG222" s="684" t="s">
        <v>761</v>
      </c>
      <c r="AH222" s="684" t="s">
        <v>761</v>
      </c>
      <c r="AI222" s="684" t="s">
        <v>761</v>
      </c>
      <c r="AJ222" s="684" t="s">
        <v>761</v>
      </c>
      <c r="AK222" s="684" t="s">
        <v>761</v>
      </c>
      <c r="AL222" s="684" t="s">
        <v>761</v>
      </c>
      <c r="AM222" s="937" t="s">
        <v>761</v>
      </c>
      <c r="AN222" s="4"/>
      <c r="AO222" s="8"/>
      <c r="AP222" s="4"/>
      <c r="AQ222" s="4"/>
      <c r="AR222" s="4"/>
      <c r="AS222" s="4"/>
      <c r="AT222" s="4"/>
      <c r="AU222" s="4"/>
      <c r="AV222" s="4"/>
      <c r="AW222" s="4"/>
      <c r="AX222" s="4"/>
      <c r="AY222" s="4"/>
      <c r="AZ222" s="4"/>
      <c r="BA222" s="4"/>
      <c r="BB222" s="4"/>
      <c r="BC222" s="4"/>
      <c r="BD222" s="4"/>
      <c r="BE222" s="4"/>
      <c r="BF222" s="4"/>
      <c r="BG222" s="4"/>
      <c r="BH222" s="4"/>
      <c r="BI222" s="22"/>
    </row>
    <row r="223" spans="1:62" ht="51" hidden="1">
      <c r="B223" s="1023" t="s">
        <v>738</v>
      </c>
      <c r="C223" s="723"/>
      <c r="D223" s="1002"/>
      <c r="E223" s="357" t="s">
        <v>715</v>
      </c>
      <c r="F223" s="326"/>
      <c r="G223" s="357" t="s">
        <v>68</v>
      </c>
      <c r="H223" s="476"/>
      <c r="I223" s="535" t="s">
        <v>611</v>
      </c>
      <c r="J223" s="477" t="s">
        <v>611</v>
      </c>
      <c r="K223" s="535" t="s">
        <v>611</v>
      </c>
      <c r="L223" s="477" t="s">
        <v>611</v>
      </c>
      <c r="M223" s="477" t="s">
        <v>719</v>
      </c>
      <c r="N223" s="477" t="s">
        <v>590</v>
      </c>
      <c r="O223" s="477" t="s">
        <v>720</v>
      </c>
      <c r="P223" s="477" t="s">
        <v>721</v>
      </c>
      <c r="Q223" s="477" t="s">
        <v>721</v>
      </c>
      <c r="R223" s="477" t="s">
        <v>719</v>
      </c>
      <c r="S223" s="477" t="s">
        <v>722</v>
      </c>
      <c r="T223" s="477" t="s">
        <v>722</v>
      </c>
      <c r="U223" s="477" t="s">
        <v>722</v>
      </c>
      <c r="V223" s="477" t="s">
        <v>722</v>
      </c>
      <c r="W223" s="477" t="s">
        <v>762</v>
      </c>
      <c r="X223" s="591" t="s">
        <v>722</v>
      </c>
      <c r="Y223" s="591" t="s">
        <v>722</v>
      </c>
      <c r="Z223" s="591" t="s">
        <v>722</v>
      </c>
      <c r="AA223" s="591" t="s">
        <v>716</v>
      </c>
      <c r="AB223" s="591" t="s">
        <v>611</v>
      </c>
      <c r="AC223" s="942" t="str">
        <f>IF(AC$216="","","zie kwaliteitsverklaring")</f>
        <v>zie kwaliteitsverklaring</v>
      </c>
      <c r="AD223" s="802" t="str">
        <f t="shared" ref="AD223:AM223" si="51">IF(AD$216="","","zie kwaliteitsverklaring")</f>
        <v>zie kwaliteitsverklaring</v>
      </c>
      <c r="AE223" s="802" t="str">
        <f t="shared" si="51"/>
        <v>zie kwaliteitsverklaring</v>
      </c>
      <c r="AF223" s="802" t="str">
        <f t="shared" si="51"/>
        <v>zie kwaliteitsverklaring</v>
      </c>
      <c r="AG223" s="802" t="str">
        <f>IF(AG$216="","","zie kwaliteitsverklaring")</f>
        <v/>
      </c>
      <c r="AH223" s="802" t="str">
        <f t="shared" si="51"/>
        <v/>
      </c>
      <c r="AI223" s="802" t="str">
        <f t="shared" si="51"/>
        <v/>
      </c>
      <c r="AJ223" s="802" t="str">
        <f t="shared" si="51"/>
        <v/>
      </c>
      <c r="AK223" s="802" t="str">
        <f t="shared" si="51"/>
        <v/>
      </c>
      <c r="AL223" s="802" t="str">
        <f t="shared" si="51"/>
        <v/>
      </c>
      <c r="AM223" s="943" t="str">
        <f t="shared" si="51"/>
        <v/>
      </c>
      <c r="AN223" s="476"/>
      <c r="AO223" s="16"/>
      <c r="AP223" s="16"/>
      <c r="AQ223" s="16"/>
      <c r="AR223" s="16"/>
      <c r="AS223" s="16"/>
      <c r="AT223" s="16"/>
      <c r="AU223" s="16"/>
      <c r="AV223" s="16"/>
      <c r="AW223" s="5"/>
      <c r="AX223" s="5"/>
      <c r="AY223" s="5"/>
      <c r="AZ223" s="5"/>
      <c r="BA223" s="5"/>
      <c r="BB223" s="5"/>
      <c r="BC223" s="5"/>
      <c r="BD223" s="22"/>
      <c r="BE223" s="5"/>
      <c r="BF223" s="5"/>
      <c r="BG223" s="5"/>
      <c r="BH223" s="5"/>
      <c r="BI223" s="5"/>
    </row>
    <row r="224" spans="1:62" hidden="1">
      <c r="B224" s="1023" t="s">
        <v>738</v>
      </c>
      <c r="C224" s="723"/>
      <c r="D224" s="1002"/>
      <c r="E224" s="357" t="s">
        <v>723</v>
      </c>
      <c r="F224" s="326"/>
      <c r="G224" s="357" t="s">
        <v>68</v>
      </c>
      <c r="H224" s="476"/>
      <c r="I224" s="802" t="str">
        <f t="shared" ref="I224:AB224" si="52">IFERROR(INDEX(hernieuwbare_energiebron_index,MATCH(I$223,hernieuwbare_energiebron_namen,0)),"")</f>
        <v>nren</v>
      </c>
      <c r="J224" s="802" t="str">
        <f t="shared" si="52"/>
        <v>nren</v>
      </c>
      <c r="K224" s="802" t="str">
        <f t="shared" si="52"/>
        <v>nren</v>
      </c>
      <c r="L224" s="802" t="str">
        <f t="shared" si="52"/>
        <v>nren</v>
      </c>
      <c r="M224" s="802" t="str">
        <f t="shared" si="52"/>
        <v>bmA</v>
      </c>
      <c r="N224" s="802" t="str">
        <f t="shared" si="52"/>
        <v>bmB</v>
      </c>
      <c r="O224" s="802" t="str">
        <f t="shared" si="52"/>
        <v>bmC</v>
      </c>
      <c r="P224" s="802" t="str">
        <f t="shared" si="52"/>
        <v>dxforf</v>
      </c>
      <c r="Q224" s="802" t="str">
        <f t="shared" si="52"/>
        <v>dxforf</v>
      </c>
      <c r="R224" s="802" t="str">
        <f t="shared" si="52"/>
        <v>bmA</v>
      </c>
      <c r="S224" s="802" t="str">
        <f t="shared" si="52"/>
        <v>dxkwal</v>
      </c>
      <c r="T224" s="802" t="str">
        <f t="shared" si="52"/>
        <v>dxkwal</v>
      </c>
      <c r="U224" s="802" t="str">
        <f t="shared" si="52"/>
        <v>dxkwal</v>
      </c>
      <c r="V224" s="802" t="str">
        <f t="shared" si="52"/>
        <v>dxkwal</v>
      </c>
      <c r="W224" s="802" t="str">
        <f t="shared" si="52"/>
        <v>bmA</v>
      </c>
      <c r="X224" s="802" t="str">
        <f t="shared" si="52"/>
        <v>dxkwal</v>
      </c>
      <c r="Y224" s="802" t="str">
        <f t="shared" si="52"/>
        <v>dxkwal</v>
      </c>
      <c r="Z224" s="802" t="str">
        <f t="shared" si="52"/>
        <v>dxkwal</v>
      </c>
      <c r="AA224" s="802" t="str">
        <f t="shared" si="52"/>
        <v>renelect</v>
      </c>
      <c r="AB224" s="802" t="str">
        <f t="shared" si="52"/>
        <v>nren</v>
      </c>
      <c r="AC224" s="942" t="str">
        <f>IF(AC$216="","","dxkwal")</f>
        <v>dxkwal</v>
      </c>
      <c r="AD224" s="802" t="str">
        <f t="shared" ref="AD224:AM224" si="53">IF(AD$216="","","dxkwal")</f>
        <v>dxkwal</v>
      </c>
      <c r="AE224" s="802" t="str">
        <f t="shared" si="53"/>
        <v>dxkwal</v>
      </c>
      <c r="AF224" s="802" t="str">
        <f t="shared" si="53"/>
        <v>dxkwal</v>
      </c>
      <c r="AG224" s="802" t="str">
        <f t="shared" si="53"/>
        <v/>
      </c>
      <c r="AH224" s="802" t="str">
        <f t="shared" si="53"/>
        <v/>
      </c>
      <c r="AI224" s="802" t="str">
        <f t="shared" si="53"/>
        <v/>
      </c>
      <c r="AJ224" s="802" t="str">
        <f t="shared" si="53"/>
        <v/>
      </c>
      <c r="AK224" s="802" t="str">
        <f t="shared" si="53"/>
        <v/>
      </c>
      <c r="AL224" s="802" t="str">
        <f t="shared" si="53"/>
        <v/>
      </c>
      <c r="AM224" s="943" t="str">
        <f t="shared" si="53"/>
        <v/>
      </c>
      <c r="AN224" s="476"/>
      <c r="AO224" s="16"/>
      <c r="AP224" s="16"/>
      <c r="AQ224" s="16"/>
      <c r="AR224" s="16"/>
      <c r="AS224" s="16"/>
      <c r="AT224" s="16"/>
      <c r="AU224" s="16"/>
      <c r="AV224" s="16"/>
      <c r="AW224" s="5"/>
      <c r="AX224" s="5"/>
      <c r="AY224" s="5"/>
      <c r="AZ224" s="5"/>
      <c r="BA224" s="5"/>
      <c r="BB224" s="5"/>
      <c r="BC224" s="5"/>
      <c r="BD224" s="22"/>
      <c r="BE224" s="5"/>
      <c r="BF224" s="5"/>
      <c r="BG224" s="5"/>
      <c r="BH224" s="5"/>
      <c r="BI224" s="5"/>
    </row>
    <row r="225" spans="1:131" hidden="1">
      <c r="B225" s="1023" t="s">
        <v>738</v>
      </c>
      <c r="C225" s="723"/>
      <c r="D225" s="1002"/>
      <c r="E225" s="799" t="s">
        <v>713</v>
      </c>
      <c r="F225" s="326" t="s">
        <v>763</v>
      </c>
      <c r="G225" s="357" t="s">
        <v>68</v>
      </c>
      <c r="H225" s="476"/>
      <c r="I225" s="804">
        <f t="shared" ref="I225:AB225" si="54">IFERROR(INDEX(hernieuwbare_energiebron_getalswaarde,MATCH(I$223,hernieuwbare_energiebron_namen,0)),"")</f>
        <v>0</v>
      </c>
      <c r="J225" s="804">
        <f t="shared" si="54"/>
        <v>0</v>
      </c>
      <c r="K225" s="804">
        <f t="shared" si="54"/>
        <v>0</v>
      </c>
      <c r="L225" s="804">
        <f t="shared" si="54"/>
        <v>0</v>
      </c>
      <c r="M225" s="804">
        <f t="shared" si="54"/>
        <v>1</v>
      </c>
      <c r="N225" s="804">
        <f t="shared" si="54"/>
        <v>0.5</v>
      </c>
      <c r="O225" s="804">
        <f t="shared" si="54"/>
        <v>0</v>
      </c>
      <c r="P225" s="804">
        <f t="shared" si="54"/>
        <v>0</v>
      </c>
      <c r="Q225" s="804">
        <f t="shared" si="54"/>
        <v>0</v>
      </c>
      <c r="R225" s="804">
        <f t="shared" si="54"/>
        <v>1</v>
      </c>
      <c r="S225" s="804" t="str">
        <f t="shared" si="54"/>
        <v>fPren;dx</v>
      </c>
      <c r="T225" s="804" t="str">
        <f t="shared" si="54"/>
        <v>fPren;dx</v>
      </c>
      <c r="U225" s="804" t="str">
        <f t="shared" si="54"/>
        <v>fPren;dx</v>
      </c>
      <c r="V225" s="804" t="str">
        <f t="shared" si="54"/>
        <v>fPren;dx</v>
      </c>
      <c r="W225" s="804">
        <f t="shared" si="54"/>
        <v>1</v>
      </c>
      <c r="X225" s="804" t="str">
        <f t="shared" si="54"/>
        <v>fPren;dx</v>
      </c>
      <c r="Y225" s="804" t="str">
        <f t="shared" si="54"/>
        <v>fPren;dx</v>
      </c>
      <c r="Z225" s="804" t="str">
        <f t="shared" si="54"/>
        <v>fPren;dx</v>
      </c>
      <c r="AA225" s="804">
        <f t="shared" si="54"/>
        <v>1.45</v>
      </c>
      <c r="AB225" s="804">
        <f t="shared" si="54"/>
        <v>0</v>
      </c>
      <c r="AC225" s="942" t="str">
        <f>IF(AC$216="","","fPren;dx")</f>
        <v>fPren;dx</v>
      </c>
      <c r="AD225" s="804" t="str">
        <f t="shared" ref="AD225:AM225" si="55">IF(AD$216="","","fPren;dx")</f>
        <v>fPren;dx</v>
      </c>
      <c r="AE225" s="804" t="str">
        <f t="shared" si="55"/>
        <v>fPren;dx</v>
      </c>
      <c r="AF225" s="804" t="str">
        <f t="shared" si="55"/>
        <v>fPren;dx</v>
      </c>
      <c r="AG225" s="804" t="str">
        <f t="shared" si="55"/>
        <v/>
      </c>
      <c r="AH225" s="804" t="str">
        <f t="shared" si="55"/>
        <v/>
      </c>
      <c r="AI225" s="804" t="str">
        <f t="shared" si="55"/>
        <v/>
      </c>
      <c r="AJ225" s="804" t="str">
        <f t="shared" si="55"/>
        <v/>
      </c>
      <c r="AK225" s="804" t="str">
        <f t="shared" si="55"/>
        <v/>
      </c>
      <c r="AL225" s="804" t="str">
        <f t="shared" si="55"/>
        <v/>
      </c>
      <c r="AM225" s="944" t="str">
        <f t="shared" si="55"/>
        <v/>
      </c>
      <c r="AN225" s="476"/>
      <c r="AO225" s="16"/>
      <c r="AP225" s="16"/>
      <c r="AQ225" s="16"/>
      <c r="AR225" s="16"/>
      <c r="AS225" s="16"/>
      <c r="AT225" s="16"/>
      <c r="AU225" s="16"/>
      <c r="AV225" s="16"/>
      <c r="AW225" s="5"/>
      <c r="AX225" s="5"/>
      <c r="AY225" s="5"/>
      <c r="AZ225" s="5"/>
      <c r="BA225" s="5"/>
      <c r="BB225" s="5"/>
      <c r="BC225" s="5"/>
      <c r="BD225" s="22"/>
      <c r="BE225" s="5"/>
      <c r="BF225" s="5"/>
      <c r="BG225" s="5"/>
      <c r="BH225" s="5"/>
      <c r="BI225" s="5"/>
    </row>
    <row r="226" spans="1:131" hidden="1">
      <c r="B226" s="1023" t="s">
        <v>738</v>
      </c>
      <c r="C226" s="723"/>
      <c r="D226" s="1002"/>
      <c r="E226" s="801" t="s">
        <v>764</v>
      </c>
      <c r="F226" s="326" t="s">
        <v>765</v>
      </c>
      <c r="G226" s="357" t="s">
        <v>68</v>
      </c>
      <c r="H226" s="476"/>
      <c r="I226" s="805"/>
      <c r="J226" s="805"/>
      <c r="K226" s="805"/>
      <c r="L226" s="805"/>
      <c r="M226" s="805"/>
      <c r="N226" s="805"/>
      <c r="O226" s="805"/>
      <c r="P226" s="805"/>
      <c r="Q226" s="805"/>
      <c r="R226" s="805"/>
      <c r="S226" s="400">
        <v>0.5</v>
      </c>
      <c r="T226" s="400">
        <v>0.9</v>
      </c>
      <c r="U226" s="400">
        <v>0</v>
      </c>
      <c r="V226" s="400">
        <v>0.5</v>
      </c>
      <c r="W226" s="400"/>
      <c r="X226" s="881" t="s">
        <v>1121</v>
      </c>
      <c r="Y226" s="881" t="s">
        <v>1121</v>
      </c>
      <c r="Z226" s="881">
        <v>1</v>
      </c>
      <c r="AA226" s="881"/>
      <c r="AB226" s="881"/>
      <c r="AC226" s="942" t="str">
        <f>IF(AC$216="","","nvt")</f>
        <v>nvt</v>
      </c>
      <c r="AD226" s="802" t="str">
        <f t="shared" ref="AD226:AM226" si="56">IF(AD$216="","","nvt")</f>
        <v>nvt</v>
      </c>
      <c r="AE226" s="802" t="str">
        <f t="shared" si="56"/>
        <v>nvt</v>
      </c>
      <c r="AF226" s="802" t="str">
        <f t="shared" si="56"/>
        <v>nvt</v>
      </c>
      <c r="AG226" s="802" t="str">
        <f t="shared" si="56"/>
        <v/>
      </c>
      <c r="AH226" s="802" t="str">
        <f t="shared" si="56"/>
        <v/>
      </c>
      <c r="AI226" s="802" t="str">
        <f t="shared" si="56"/>
        <v/>
      </c>
      <c r="AJ226" s="802" t="str">
        <f t="shared" si="56"/>
        <v/>
      </c>
      <c r="AK226" s="802" t="str">
        <f t="shared" si="56"/>
        <v/>
      </c>
      <c r="AL226" s="802" t="str">
        <f t="shared" si="56"/>
        <v/>
      </c>
      <c r="AM226" s="943" t="str">
        <f t="shared" si="56"/>
        <v/>
      </c>
      <c r="AN226" s="476"/>
      <c r="AO226" s="22"/>
      <c r="AP226" s="16"/>
      <c r="AQ226" s="16"/>
      <c r="AR226" s="16"/>
      <c r="AS226" s="16"/>
      <c r="AT226" s="16"/>
      <c r="AU226" s="16"/>
      <c r="AV226" s="16"/>
      <c r="AW226" s="5"/>
      <c r="AX226" s="5"/>
      <c r="AY226" s="5"/>
      <c r="AZ226" s="5"/>
      <c r="BA226" s="5"/>
      <c r="BB226" s="5"/>
      <c r="BC226" s="5"/>
      <c r="BD226" s="22"/>
      <c r="BE226" s="5"/>
      <c r="BF226" s="5"/>
      <c r="BG226" s="5"/>
      <c r="BH226" s="5"/>
      <c r="BI226" s="5"/>
    </row>
    <row r="227" spans="1:131" hidden="1">
      <c r="B227" s="1023" t="s">
        <v>738</v>
      </c>
      <c r="C227" s="723"/>
      <c r="D227" s="1002"/>
      <c r="E227" s="800"/>
      <c r="F227" s="326" t="s">
        <v>766</v>
      </c>
      <c r="G227" s="357" t="s">
        <v>68</v>
      </c>
      <c r="H227" s="476"/>
      <c r="I227" s="804">
        <f t="shared" ref="I227:AB227" si="57">IFERROR(IF(INDEX(hernieuwbare_energiebron_getalswaarde_bij_toestellen,MATCH(I$223,hernieuwbare_energiebron_namen,0))=0,I225,I226),"")</f>
        <v>0</v>
      </c>
      <c r="J227" s="804">
        <f t="shared" si="57"/>
        <v>0</v>
      </c>
      <c r="K227" s="804">
        <f t="shared" si="57"/>
        <v>0</v>
      </c>
      <c r="L227" s="804">
        <f t="shared" si="57"/>
        <v>0</v>
      </c>
      <c r="M227" s="804">
        <f t="shared" si="57"/>
        <v>1</v>
      </c>
      <c r="N227" s="804">
        <f t="shared" si="57"/>
        <v>0.5</v>
      </c>
      <c r="O227" s="804">
        <f t="shared" si="57"/>
        <v>0</v>
      </c>
      <c r="P227" s="804">
        <f t="shared" si="57"/>
        <v>0</v>
      </c>
      <c r="Q227" s="804">
        <f t="shared" si="57"/>
        <v>0</v>
      </c>
      <c r="R227" s="804">
        <f t="shared" si="57"/>
        <v>1</v>
      </c>
      <c r="S227" s="804">
        <f t="shared" si="57"/>
        <v>0.5</v>
      </c>
      <c r="T227" s="804">
        <f t="shared" si="57"/>
        <v>0.9</v>
      </c>
      <c r="U227" s="804">
        <f t="shared" si="57"/>
        <v>0</v>
      </c>
      <c r="V227" s="804">
        <f t="shared" ref="V227:AA227" si="58">IFERROR(IF(INDEX(hernieuwbare_energiebron_getalswaarde_bij_toestellen,MATCH(V$223,hernieuwbare_energiebron_namen,0))=0,V225,V226),"")</f>
        <v>0.5</v>
      </c>
      <c r="W227" s="804">
        <f t="shared" si="58"/>
        <v>1</v>
      </c>
      <c r="X227" s="804" t="str">
        <f t="shared" si="58"/>
        <v>0,42</v>
      </c>
      <c r="Y227" s="804" t="str">
        <f t="shared" si="58"/>
        <v>0,42</v>
      </c>
      <c r="Z227" s="804">
        <f t="shared" si="58"/>
        <v>1</v>
      </c>
      <c r="AA227" s="804">
        <f t="shared" si="58"/>
        <v>1.45</v>
      </c>
      <c r="AB227" s="804">
        <f t="shared" si="57"/>
        <v>0</v>
      </c>
      <c r="AC227" s="942">
        <f t="shared" ref="AC227:AM227" si="59">IF(AC$216="","",INDEX(warmtenetten_NL_fp_ren,MATCH(AC$216,warmtenetten_NL_namen,0)))</f>
        <v>0.63</v>
      </c>
      <c r="AD227" s="802">
        <f t="shared" si="59"/>
        <v>0.92</v>
      </c>
      <c r="AE227" s="802">
        <f t="shared" si="59"/>
        <v>0.42</v>
      </c>
      <c r="AF227" s="802">
        <f t="shared" si="59"/>
        <v>0.42</v>
      </c>
      <c r="AG227" s="802" t="str">
        <f t="shared" si="59"/>
        <v/>
      </c>
      <c r="AH227" s="802" t="str">
        <f t="shared" si="59"/>
        <v/>
      </c>
      <c r="AI227" s="802" t="str">
        <f t="shared" si="59"/>
        <v/>
      </c>
      <c r="AJ227" s="802" t="str">
        <f t="shared" si="59"/>
        <v/>
      </c>
      <c r="AK227" s="802" t="str">
        <f t="shared" si="59"/>
        <v/>
      </c>
      <c r="AL227" s="802" t="str">
        <f t="shared" si="59"/>
        <v/>
      </c>
      <c r="AM227" s="943" t="str">
        <f t="shared" si="59"/>
        <v/>
      </c>
      <c r="AN227" s="476"/>
      <c r="AO227" s="16"/>
      <c r="AP227" s="16"/>
      <c r="AQ227" s="16"/>
      <c r="AR227" s="16"/>
      <c r="AS227" s="16"/>
      <c r="AT227" s="16"/>
      <c r="AU227" s="16"/>
      <c r="AV227" s="16"/>
      <c r="AW227" s="5"/>
      <c r="AX227" s="5"/>
      <c r="AY227" s="5"/>
      <c r="AZ227" s="5"/>
      <c r="BA227" s="5"/>
      <c r="BB227" s="5"/>
      <c r="BC227" s="5"/>
      <c r="BD227" s="22"/>
      <c r="BE227" s="5"/>
      <c r="BF227" s="5"/>
      <c r="BG227" s="5"/>
      <c r="BH227" s="5"/>
      <c r="BI227" s="5"/>
    </row>
    <row r="228" spans="1:131" ht="38.25" hidden="1">
      <c r="B228" s="1023" t="s">
        <v>738</v>
      </c>
      <c r="C228" s="723"/>
      <c r="D228" s="1002"/>
      <c r="E228" s="690" t="s">
        <v>767</v>
      </c>
      <c r="F228" s="326"/>
      <c r="G228" s="357" t="s">
        <v>68</v>
      </c>
      <c r="H228" s="476"/>
      <c r="I228" s="397"/>
      <c r="J228" s="397"/>
      <c r="K228" s="397"/>
      <c r="L228" s="397"/>
      <c r="M228" s="397"/>
      <c r="N228" s="397"/>
      <c r="O228" s="397"/>
      <c r="P228" s="397"/>
      <c r="Q228" s="397"/>
      <c r="R228" s="397"/>
      <c r="S228" s="397" t="s">
        <v>768</v>
      </c>
      <c r="T228" s="397" t="s">
        <v>768</v>
      </c>
      <c r="U228" s="397" t="s">
        <v>768</v>
      </c>
      <c r="V228" s="397" t="s">
        <v>768</v>
      </c>
      <c r="W228" s="397"/>
      <c r="X228" s="882"/>
      <c r="Y228" s="882"/>
      <c r="Z228" s="882"/>
      <c r="AA228" s="882"/>
      <c r="AB228" s="882"/>
      <c r="AC228" s="940"/>
      <c r="AD228" s="457"/>
      <c r="AE228" s="457"/>
      <c r="AF228" s="457"/>
      <c r="AG228" s="457"/>
      <c r="AH228" s="457"/>
      <c r="AI228" s="457"/>
      <c r="AJ228" s="457"/>
      <c r="AK228" s="457"/>
      <c r="AL228" s="457"/>
      <c r="AM228" s="941"/>
      <c r="AN228" s="476"/>
      <c r="AO228" s="16"/>
      <c r="AP228" s="16"/>
      <c r="AQ228" s="16"/>
      <c r="AR228" s="16"/>
      <c r="AS228" s="16"/>
      <c r="AT228" s="16"/>
      <c r="AU228" s="16"/>
      <c r="AV228" s="16"/>
      <c r="AW228" s="5"/>
      <c r="AX228" s="5"/>
      <c r="AY228" s="5"/>
      <c r="AZ228" s="5"/>
      <c r="BA228" s="5"/>
      <c r="BB228" s="5"/>
      <c r="BC228" s="5"/>
      <c r="BD228" s="22"/>
      <c r="BE228" s="5"/>
      <c r="BF228" s="5"/>
      <c r="BG228" s="5"/>
      <c r="BH228" s="5"/>
      <c r="BI228" s="5"/>
    </row>
    <row r="229" spans="1:131" s="2" customFormat="1" ht="18.75" hidden="1">
      <c r="A229" s="309"/>
      <c r="B229" s="1023" t="s">
        <v>738</v>
      </c>
      <c r="C229" s="723"/>
      <c r="D229" s="1002"/>
      <c r="E229" s="382" t="s">
        <v>769</v>
      </c>
      <c r="F229" s="383"/>
      <c r="G229" s="382"/>
      <c r="H229" s="384"/>
      <c r="I229" s="385"/>
      <c r="J229" s="384"/>
      <c r="K229" s="9"/>
      <c r="L229" s="9"/>
      <c r="M229" s="9"/>
      <c r="N229" s="9"/>
      <c r="O229" s="9"/>
      <c r="P229" s="4"/>
      <c r="Q229" s="4"/>
      <c r="R229" s="4"/>
      <c r="S229" s="4"/>
      <c r="T229" s="4"/>
      <c r="U229" s="4"/>
      <c r="V229" s="4"/>
      <c r="W229" s="4"/>
      <c r="X229" s="684" t="s">
        <v>761</v>
      </c>
      <c r="Y229" s="684" t="s">
        <v>761</v>
      </c>
      <c r="Z229" s="684" t="s">
        <v>761</v>
      </c>
      <c r="AA229" s="684" t="s">
        <v>761</v>
      </c>
      <c r="AB229" s="684" t="s">
        <v>761</v>
      </c>
      <c r="AC229" s="936" t="s">
        <v>761</v>
      </c>
      <c r="AD229" s="684" t="s">
        <v>761</v>
      </c>
      <c r="AE229" s="684" t="s">
        <v>761</v>
      </c>
      <c r="AF229" s="684" t="s">
        <v>761</v>
      </c>
      <c r="AG229" s="684" t="s">
        <v>761</v>
      </c>
      <c r="AH229" s="684" t="s">
        <v>761</v>
      </c>
      <c r="AI229" s="684" t="s">
        <v>761</v>
      </c>
      <c r="AJ229" s="684" t="s">
        <v>761</v>
      </c>
      <c r="AK229" s="684" t="s">
        <v>761</v>
      </c>
      <c r="AL229" s="684" t="s">
        <v>761</v>
      </c>
      <c r="AM229" s="937" t="s">
        <v>761</v>
      </c>
      <c r="AN229" s="4"/>
      <c r="AO229" s="8"/>
      <c r="AP229" s="4"/>
      <c r="AQ229" s="4"/>
      <c r="AR229" s="4"/>
      <c r="AS229" s="4"/>
      <c r="AT229" s="4"/>
      <c r="AU229" s="4"/>
      <c r="AV229" s="4"/>
      <c r="AW229" s="4"/>
      <c r="AX229" s="4"/>
      <c r="AY229" s="4"/>
      <c r="AZ229" s="4"/>
      <c r="BA229" s="4"/>
      <c r="BB229" s="4"/>
      <c r="BC229" s="4"/>
      <c r="BD229" s="4"/>
      <c r="BE229" s="4"/>
      <c r="BF229" s="4"/>
      <c r="BG229" s="4"/>
      <c r="BH229" s="4"/>
      <c r="BI229" s="22"/>
    </row>
    <row r="230" spans="1:131" hidden="1">
      <c r="B230" s="1023" t="s">
        <v>738</v>
      </c>
      <c r="C230" s="723"/>
      <c r="D230" s="1002"/>
      <c r="E230" s="326" t="s">
        <v>770</v>
      </c>
      <c r="F230" s="326"/>
      <c r="G230" s="357"/>
      <c r="H230" s="476"/>
      <c r="I230" s="968">
        <v>1</v>
      </c>
      <c r="J230" s="968">
        <v>1</v>
      </c>
      <c r="K230" s="968">
        <v>1</v>
      </c>
      <c r="L230" s="968">
        <v>1</v>
      </c>
      <c r="M230" s="968">
        <v>1</v>
      </c>
      <c r="N230" s="968">
        <v>1</v>
      </c>
      <c r="O230" s="968">
        <v>1</v>
      </c>
      <c r="P230" s="968">
        <v>1</v>
      </c>
      <c r="Q230" s="968">
        <v>0</v>
      </c>
      <c r="R230" s="968">
        <v>1</v>
      </c>
      <c r="S230" s="518">
        <v>1</v>
      </c>
      <c r="T230" s="518">
        <v>1</v>
      </c>
      <c r="U230" s="518">
        <v>1</v>
      </c>
      <c r="V230" s="518">
        <v>1</v>
      </c>
      <c r="W230" s="518">
        <v>1</v>
      </c>
      <c r="X230" s="969">
        <v>1</v>
      </c>
      <c r="Y230" s="969">
        <v>1</v>
      </c>
      <c r="Z230" s="969">
        <v>1</v>
      </c>
      <c r="AA230" s="969">
        <v>1</v>
      </c>
      <c r="AB230" s="970">
        <v>1</v>
      </c>
      <c r="AC230" s="956">
        <f t="shared" ref="AC230:AM230" si="60">IF(AC$216="",0,INDEX(warmtenetten_NL_voor_RV,MATCH(AC$216,warmtenetten_NL_namen,0)))</f>
        <v>1</v>
      </c>
      <c r="AD230" s="957">
        <f t="shared" si="60"/>
        <v>0</v>
      </c>
      <c r="AE230" s="957">
        <f t="shared" si="60"/>
        <v>1</v>
      </c>
      <c r="AF230" s="957">
        <f t="shared" si="60"/>
        <v>1</v>
      </c>
      <c r="AG230" s="957">
        <f t="shared" si="60"/>
        <v>0</v>
      </c>
      <c r="AH230" s="957">
        <f t="shared" si="60"/>
        <v>0</v>
      </c>
      <c r="AI230" s="957">
        <f t="shared" si="60"/>
        <v>0</v>
      </c>
      <c r="AJ230" s="957">
        <f t="shared" si="60"/>
        <v>0</v>
      </c>
      <c r="AK230" s="957">
        <f t="shared" si="60"/>
        <v>0</v>
      </c>
      <c r="AL230" s="957">
        <f t="shared" si="60"/>
        <v>0</v>
      </c>
      <c r="AM230" s="958">
        <f t="shared" si="60"/>
        <v>0</v>
      </c>
      <c r="AN230" s="954"/>
      <c r="AO230" s="16"/>
      <c r="AP230" s="16"/>
      <c r="AQ230" s="16"/>
      <c r="AR230" s="16"/>
      <c r="AS230" s="16"/>
      <c r="AT230" s="16"/>
      <c r="AU230" s="16"/>
      <c r="AV230" s="16"/>
      <c r="AW230" s="5"/>
      <c r="AX230" s="5"/>
      <c r="AY230" s="5"/>
      <c r="AZ230" s="5"/>
      <c r="BA230" s="5"/>
      <c r="BB230" s="5"/>
      <c r="BC230" s="5"/>
      <c r="BD230" s="22"/>
      <c r="BE230" s="5"/>
      <c r="BF230" s="5"/>
      <c r="BG230" s="5"/>
      <c r="BH230" s="5"/>
      <c r="BI230" s="5"/>
    </row>
    <row r="231" spans="1:131" hidden="1">
      <c r="B231" s="1023" t="s">
        <v>738</v>
      </c>
      <c r="C231" s="723"/>
      <c r="D231" s="1002"/>
      <c r="E231" s="326" t="s">
        <v>771</v>
      </c>
      <c r="F231" s="326"/>
      <c r="G231" s="357"/>
      <c r="H231" s="476"/>
      <c r="I231" s="968">
        <v>1</v>
      </c>
      <c r="J231" s="968">
        <v>1</v>
      </c>
      <c r="K231" s="968">
        <v>1</v>
      </c>
      <c r="L231" s="968">
        <v>1</v>
      </c>
      <c r="M231" s="968">
        <v>1</v>
      </c>
      <c r="N231" s="968">
        <v>1</v>
      </c>
      <c r="O231" s="968">
        <v>1</v>
      </c>
      <c r="P231" s="968">
        <v>1</v>
      </c>
      <c r="Q231" s="968">
        <v>1</v>
      </c>
      <c r="R231" s="968">
        <v>1</v>
      </c>
      <c r="S231" s="518">
        <v>0</v>
      </c>
      <c r="T231" s="518">
        <v>0</v>
      </c>
      <c r="U231" s="518">
        <v>0</v>
      </c>
      <c r="V231" s="518">
        <v>0</v>
      </c>
      <c r="W231" s="518">
        <v>1</v>
      </c>
      <c r="X231" s="969">
        <v>0</v>
      </c>
      <c r="Y231" s="969">
        <v>0</v>
      </c>
      <c r="Z231" s="969">
        <v>0</v>
      </c>
      <c r="AA231" s="969">
        <v>0</v>
      </c>
      <c r="AB231" s="970">
        <v>0</v>
      </c>
      <c r="AC231" s="955">
        <f t="shared" ref="AC231:AM231" si="61">IF(AC$216="",0,INDEX(warmtenetten_NL_voor_KOEL,MATCH(AC$216,warmtenetten_NL_namen,0)))</f>
        <v>0</v>
      </c>
      <c r="AD231" s="959">
        <f t="shared" si="61"/>
        <v>1</v>
      </c>
      <c r="AE231" s="959">
        <f t="shared" si="61"/>
        <v>0</v>
      </c>
      <c r="AF231" s="959">
        <f t="shared" si="61"/>
        <v>0</v>
      </c>
      <c r="AG231" s="959">
        <f t="shared" si="61"/>
        <v>0</v>
      </c>
      <c r="AH231" s="959">
        <f t="shared" si="61"/>
        <v>0</v>
      </c>
      <c r="AI231" s="959">
        <f t="shared" si="61"/>
        <v>0</v>
      </c>
      <c r="AJ231" s="959">
        <f t="shared" si="61"/>
        <v>0</v>
      </c>
      <c r="AK231" s="959">
        <f t="shared" si="61"/>
        <v>0</v>
      </c>
      <c r="AL231" s="959">
        <f t="shared" si="61"/>
        <v>0</v>
      </c>
      <c r="AM231" s="960">
        <f t="shared" si="61"/>
        <v>0</v>
      </c>
      <c r="AN231" s="954"/>
      <c r="AO231" s="16"/>
      <c r="AP231" s="16"/>
      <c r="AQ231" s="16"/>
      <c r="AR231" s="16"/>
      <c r="AS231" s="16"/>
      <c r="AT231" s="16"/>
      <c r="AU231" s="16"/>
      <c r="AV231" s="16"/>
      <c r="AW231" s="5"/>
      <c r="AX231" s="5"/>
      <c r="AY231" s="5"/>
      <c r="AZ231" s="5"/>
      <c r="BA231" s="5"/>
      <c r="BB231" s="5"/>
      <c r="BC231" s="5"/>
      <c r="BD231" s="22"/>
      <c r="BE231" s="5"/>
      <c r="BF231" s="5"/>
      <c r="BG231" s="5"/>
      <c r="BH231" s="5"/>
      <c r="BI231" s="5"/>
    </row>
    <row r="232" spans="1:131" hidden="1">
      <c r="B232" s="1023" t="s">
        <v>738</v>
      </c>
      <c r="C232" s="723"/>
      <c r="D232" s="1002"/>
      <c r="E232" s="326" t="s">
        <v>772</v>
      </c>
      <c r="F232" s="326"/>
      <c r="G232" s="357"/>
      <c r="H232" s="476"/>
      <c r="I232" s="968">
        <v>1</v>
      </c>
      <c r="J232" s="968">
        <v>1</v>
      </c>
      <c r="K232" s="968">
        <v>1</v>
      </c>
      <c r="L232" s="968">
        <v>1</v>
      </c>
      <c r="M232" s="968">
        <v>1</v>
      </c>
      <c r="N232" s="968">
        <v>1</v>
      </c>
      <c r="O232" s="968">
        <v>1</v>
      </c>
      <c r="P232" s="968">
        <v>1</v>
      </c>
      <c r="Q232" s="968">
        <v>0</v>
      </c>
      <c r="R232" s="968">
        <v>1</v>
      </c>
      <c r="S232" s="971">
        <v>1</v>
      </c>
      <c r="T232" s="971">
        <v>1</v>
      </c>
      <c r="U232" s="971">
        <v>1</v>
      </c>
      <c r="V232" s="971">
        <v>1</v>
      </c>
      <c r="W232" s="971">
        <v>1</v>
      </c>
      <c r="X232" s="972">
        <v>1</v>
      </c>
      <c r="Y232" s="972">
        <v>1</v>
      </c>
      <c r="Z232" s="972">
        <v>1</v>
      </c>
      <c r="AA232" s="972">
        <v>1</v>
      </c>
      <c r="AB232" s="973">
        <v>1</v>
      </c>
      <c r="AC232" s="955">
        <f t="shared" ref="AC232:AM232" si="62">IF(AC$216="",0,INDEX(warmtenetten_NL_voor_TAP,MATCH(AC$216,warmtenetten_NL_namen,0)))</f>
        <v>0</v>
      </c>
      <c r="AD232" s="959">
        <f t="shared" si="62"/>
        <v>0</v>
      </c>
      <c r="AE232" s="959">
        <f t="shared" si="62"/>
        <v>0</v>
      </c>
      <c r="AF232" s="959">
        <f t="shared" si="62"/>
        <v>0</v>
      </c>
      <c r="AG232" s="959">
        <f t="shared" si="62"/>
        <v>0</v>
      </c>
      <c r="AH232" s="959">
        <f t="shared" si="62"/>
        <v>0</v>
      </c>
      <c r="AI232" s="959">
        <f t="shared" si="62"/>
        <v>0</v>
      </c>
      <c r="AJ232" s="959">
        <f t="shared" si="62"/>
        <v>0</v>
      </c>
      <c r="AK232" s="959">
        <f t="shared" si="62"/>
        <v>0</v>
      </c>
      <c r="AL232" s="959">
        <f t="shared" si="62"/>
        <v>0</v>
      </c>
      <c r="AM232" s="960">
        <f t="shared" si="62"/>
        <v>0</v>
      </c>
      <c r="AN232" s="954"/>
      <c r="AO232" s="16"/>
      <c r="AP232" s="16"/>
      <c r="AQ232" s="16"/>
      <c r="AR232" s="16"/>
      <c r="AS232" s="16"/>
      <c r="AT232" s="16"/>
      <c r="AU232" s="16"/>
      <c r="AV232" s="16"/>
      <c r="AW232" s="5"/>
      <c r="AX232" s="5"/>
      <c r="AY232" s="5"/>
      <c r="AZ232" s="5"/>
      <c r="BA232" s="5"/>
      <c r="BB232" s="5"/>
      <c r="BC232" s="5"/>
      <c r="BD232" s="22"/>
      <c r="BE232" s="5"/>
      <c r="BF232" s="5"/>
      <c r="BG232" s="5"/>
      <c r="BH232" s="5"/>
      <c r="BI232" s="5"/>
    </row>
    <row r="233" spans="1:131" ht="63.75" hidden="1">
      <c r="B233" s="1023" t="s">
        <v>738</v>
      </c>
      <c r="C233" s="723"/>
      <c r="D233" s="1002"/>
      <c r="E233" s="182" t="s">
        <v>773</v>
      </c>
      <c r="F233" s="326"/>
      <c r="G233" s="357"/>
      <c r="H233" s="476"/>
      <c r="I233" s="802" t="str">
        <f>IF(I230=1,I$216,"")</f>
        <v>nvt</v>
      </c>
      <c r="J233" s="802" t="str">
        <f t="shared" ref="J233:AM235" si="63">IF(J230=1,J$216,"")</f>
        <v>elektriciteit</v>
      </c>
      <c r="K233" s="802" t="str">
        <f t="shared" si="63"/>
        <v>aardgas</v>
      </c>
      <c r="L233" s="802" t="str">
        <f t="shared" si="63"/>
        <v>stookolie</v>
      </c>
      <c r="M233" s="802" t="str">
        <f t="shared" si="63"/>
        <v>biomassa (bmA)</v>
      </c>
      <c r="N233" s="802" t="str">
        <f t="shared" si="63"/>
        <v>biomassa (bmB)</v>
      </c>
      <c r="O233" s="802" t="str">
        <f t="shared" si="63"/>
        <v>biomassa (bmC)</v>
      </c>
      <c r="P233" s="802" t="str">
        <f t="shared" si="63"/>
        <v>externe warmte forfaitair</v>
      </c>
      <c r="Q233" s="802" t="str">
        <f t="shared" si="63"/>
        <v/>
      </c>
      <c r="R233" s="802" t="str">
        <f t="shared" si="63"/>
        <v>bio-|groen gas</v>
      </c>
      <c r="S233" s="802" t="str">
        <f t="shared" si="63"/>
        <v>aftap AVI</v>
      </c>
      <c r="T233" s="802" t="str">
        <f t="shared" si="63"/>
        <v>aftap AVI+BIO</v>
      </c>
      <c r="U233" s="802" t="str">
        <f t="shared" si="63"/>
        <v>aftap STEG</v>
      </c>
      <c r="V233" s="802" t="str">
        <f t="shared" si="63"/>
        <v>aftap STEG+BIO</v>
      </c>
      <c r="W233" s="802" t="str">
        <f t="shared" si="63"/>
        <v>bio-olie</v>
      </c>
      <c r="X233" s="802" t="str">
        <f t="shared" si="63"/>
        <v>warmtenet (primair)</v>
      </c>
      <c r="Y233" s="802" t="str">
        <f t="shared" si="63"/>
        <v>warmtenet (secundair)</v>
      </c>
      <c r="Z233" s="802" t="str">
        <f t="shared" si="63"/>
        <v>restwarmte CO2-vrij</v>
      </c>
      <c r="AA233" s="802" t="str">
        <f>IF(AA230=1,AA$216,"")</f>
        <v>waterstof (groen)</v>
      </c>
      <c r="AB233" s="802" t="str">
        <f t="shared" si="63"/>
        <v>waterstof (grijs)</v>
      </c>
      <c r="AC233" s="942" t="str">
        <f t="shared" si="63"/>
        <v>WARMTE | Amersfoort, Parkweelde | Collectief WKO</v>
      </c>
      <c r="AD233" s="802" t="str">
        <f t="shared" si="63"/>
        <v/>
      </c>
      <c r="AE233" s="802" t="str">
        <f t="shared" ref="AE233:AI235" si="64">IF(AE230=1,AE$216,"")</f>
        <v>WARMTE | Utrecht en Nieuwgein | Primair warmtenet</v>
      </c>
      <c r="AF233" s="802" t="str">
        <f t="shared" si="64"/>
        <v>WARMTE | Utrecht en Nieuwgein | Secundair warmtenet</v>
      </c>
      <c r="AG233" s="802" t="str">
        <f t="shared" si="64"/>
        <v/>
      </c>
      <c r="AH233" s="802" t="str">
        <f t="shared" si="64"/>
        <v/>
      </c>
      <c r="AI233" s="802" t="str">
        <f t="shared" si="64"/>
        <v/>
      </c>
      <c r="AJ233" s="802" t="str">
        <f t="shared" si="63"/>
        <v/>
      </c>
      <c r="AK233" s="802" t="str">
        <f t="shared" si="63"/>
        <v/>
      </c>
      <c r="AL233" s="802" t="str">
        <f t="shared" si="63"/>
        <v/>
      </c>
      <c r="AM233" s="943" t="str">
        <f t="shared" si="63"/>
        <v/>
      </c>
      <c r="AN233" s="954"/>
      <c r="AO233" s="16"/>
      <c r="AP233" s="16"/>
      <c r="AQ233" s="16"/>
      <c r="AR233" s="16"/>
      <c r="AS233" s="16"/>
      <c r="AT233" s="16"/>
      <c r="AU233" s="16"/>
      <c r="AV233" s="16"/>
      <c r="AW233" s="5"/>
      <c r="AX233" s="5"/>
      <c r="AY233" s="5"/>
      <c r="AZ233" s="5"/>
      <c r="BA233" s="5"/>
      <c r="BB233" s="5"/>
      <c r="BC233" s="5"/>
      <c r="BD233" s="22"/>
      <c r="BE233" s="5"/>
      <c r="BF233" s="5"/>
      <c r="BG233" s="5"/>
      <c r="BH233" s="5"/>
      <c r="BI233" s="5"/>
    </row>
    <row r="234" spans="1:131" ht="63.75" hidden="1">
      <c r="B234" s="1023" t="s">
        <v>738</v>
      </c>
      <c r="C234" s="723"/>
      <c r="D234" s="1002"/>
      <c r="E234" s="326" t="s">
        <v>774</v>
      </c>
      <c r="F234" s="326"/>
      <c r="G234" s="357"/>
      <c r="H234" s="476"/>
      <c r="I234" s="802" t="str">
        <f t="shared" ref="I234:X235" si="65">IF(I231=1,I$216,"")</f>
        <v>nvt</v>
      </c>
      <c r="J234" s="802" t="str">
        <f t="shared" si="65"/>
        <v>elektriciteit</v>
      </c>
      <c r="K234" s="802" t="str">
        <f t="shared" si="65"/>
        <v>aardgas</v>
      </c>
      <c r="L234" s="802" t="str">
        <f t="shared" si="65"/>
        <v>stookolie</v>
      </c>
      <c r="M234" s="802" t="str">
        <f t="shared" si="65"/>
        <v>biomassa (bmA)</v>
      </c>
      <c r="N234" s="802" t="str">
        <f t="shared" si="65"/>
        <v>biomassa (bmB)</v>
      </c>
      <c r="O234" s="802" t="str">
        <f t="shared" si="65"/>
        <v>biomassa (bmC)</v>
      </c>
      <c r="P234" s="802" t="str">
        <f t="shared" si="65"/>
        <v>externe warmte forfaitair</v>
      </c>
      <c r="Q234" s="802" t="str">
        <f t="shared" si="65"/>
        <v>externe koude forfaitair</v>
      </c>
      <c r="R234" s="802" t="str">
        <f t="shared" si="65"/>
        <v>bio-|groen gas</v>
      </c>
      <c r="S234" s="802" t="str">
        <f t="shared" si="65"/>
        <v/>
      </c>
      <c r="T234" s="802" t="str">
        <f t="shared" si="65"/>
        <v/>
      </c>
      <c r="U234" s="802" t="str">
        <f t="shared" si="65"/>
        <v/>
      </c>
      <c r="V234" s="802" t="str">
        <f t="shared" si="65"/>
        <v/>
      </c>
      <c r="W234" s="802" t="str">
        <f t="shared" si="65"/>
        <v>bio-olie</v>
      </c>
      <c r="X234" s="802" t="str">
        <f t="shared" si="65"/>
        <v/>
      </c>
      <c r="Y234" s="802" t="str">
        <f t="shared" si="63"/>
        <v/>
      </c>
      <c r="Z234" s="802" t="str">
        <f t="shared" si="63"/>
        <v/>
      </c>
      <c r="AA234" s="802" t="str">
        <f>IF(AA231=1,AA$216,"")</f>
        <v/>
      </c>
      <c r="AB234" s="802" t="str">
        <f t="shared" si="63"/>
        <v/>
      </c>
      <c r="AC234" s="942" t="str">
        <f t="shared" si="63"/>
        <v/>
      </c>
      <c r="AD234" s="802" t="str">
        <f t="shared" si="63"/>
        <v>KOUDE | Amersfoort, Parkweelde | Collectief WKO</v>
      </c>
      <c r="AE234" s="802" t="str">
        <f t="shared" si="64"/>
        <v/>
      </c>
      <c r="AF234" s="802" t="str">
        <f t="shared" si="64"/>
        <v/>
      </c>
      <c r="AG234" s="802" t="str">
        <f t="shared" si="64"/>
        <v/>
      </c>
      <c r="AH234" s="802" t="str">
        <f t="shared" si="64"/>
        <v/>
      </c>
      <c r="AI234" s="802" t="str">
        <f t="shared" si="64"/>
        <v/>
      </c>
      <c r="AJ234" s="802" t="str">
        <f t="shared" si="63"/>
        <v/>
      </c>
      <c r="AK234" s="802" t="str">
        <f t="shared" si="63"/>
        <v/>
      </c>
      <c r="AL234" s="802" t="str">
        <f t="shared" si="63"/>
        <v/>
      </c>
      <c r="AM234" s="943" t="str">
        <f t="shared" si="63"/>
        <v/>
      </c>
      <c r="AN234" s="954"/>
      <c r="AO234" s="16"/>
      <c r="AP234" s="16"/>
      <c r="AQ234" s="16"/>
      <c r="AR234" s="16"/>
      <c r="AS234" s="16"/>
      <c r="AT234" s="16"/>
      <c r="AU234" s="16"/>
      <c r="AV234" s="16"/>
      <c r="AW234" s="5"/>
      <c r="AX234" s="5"/>
      <c r="AY234" s="5"/>
      <c r="AZ234" s="5"/>
      <c r="BA234" s="5"/>
      <c r="BB234" s="5"/>
      <c r="BC234" s="5"/>
      <c r="BD234" s="22"/>
      <c r="BE234" s="5"/>
      <c r="BF234" s="5"/>
      <c r="BG234" s="5"/>
      <c r="BH234" s="5"/>
      <c r="BI234" s="5"/>
    </row>
    <row r="235" spans="1:131" ht="38.25" hidden="1">
      <c r="B235" s="1023" t="s">
        <v>738</v>
      </c>
      <c r="C235" s="723"/>
      <c r="D235" s="1002"/>
      <c r="E235" s="326" t="s">
        <v>775</v>
      </c>
      <c r="F235" s="326"/>
      <c r="G235" s="357"/>
      <c r="H235" s="476"/>
      <c r="I235" s="802" t="str">
        <f t="shared" si="65"/>
        <v>nvt</v>
      </c>
      <c r="J235" s="802" t="str">
        <f t="shared" si="63"/>
        <v>elektriciteit</v>
      </c>
      <c r="K235" s="802" t="str">
        <f t="shared" si="63"/>
        <v>aardgas</v>
      </c>
      <c r="L235" s="802" t="str">
        <f t="shared" si="63"/>
        <v>stookolie</v>
      </c>
      <c r="M235" s="802" t="str">
        <f t="shared" si="63"/>
        <v>biomassa (bmA)</v>
      </c>
      <c r="N235" s="802" t="str">
        <f t="shared" si="63"/>
        <v>biomassa (bmB)</v>
      </c>
      <c r="O235" s="802" t="str">
        <f t="shared" si="63"/>
        <v>biomassa (bmC)</v>
      </c>
      <c r="P235" s="802" t="str">
        <f t="shared" si="63"/>
        <v>externe warmte forfaitair</v>
      </c>
      <c r="Q235" s="802" t="str">
        <f t="shared" si="63"/>
        <v/>
      </c>
      <c r="R235" s="802" t="str">
        <f t="shared" si="63"/>
        <v>bio-|groen gas</v>
      </c>
      <c r="S235" s="802" t="str">
        <f t="shared" si="63"/>
        <v>aftap AVI</v>
      </c>
      <c r="T235" s="802" t="str">
        <f t="shared" si="63"/>
        <v>aftap AVI+BIO</v>
      </c>
      <c r="U235" s="802" t="str">
        <f t="shared" si="63"/>
        <v>aftap STEG</v>
      </c>
      <c r="V235" s="802" t="str">
        <f t="shared" si="63"/>
        <v>aftap STEG+BIO</v>
      </c>
      <c r="W235" s="802" t="str">
        <f t="shared" si="63"/>
        <v>bio-olie</v>
      </c>
      <c r="X235" s="802" t="str">
        <f t="shared" si="63"/>
        <v>warmtenet (primair)</v>
      </c>
      <c r="Y235" s="802" t="str">
        <f t="shared" si="63"/>
        <v>warmtenet (secundair)</v>
      </c>
      <c r="Z235" s="802" t="str">
        <f t="shared" si="63"/>
        <v>restwarmte CO2-vrij</v>
      </c>
      <c r="AA235" s="802" t="str">
        <f>IF(AA232=1,AA$216,"")</f>
        <v>waterstof (groen)</v>
      </c>
      <c r="AB235" s="802" t="str">
        <f t="shared" si="63"/>
        <v>waterstof (grijs)</v>
      </c>
      <c r="AC235" s="942" t="str">
        <f t="shared" si="63"/>
        <v/>
      </c>
      <c r="AD235" s="802" t="str">
        <f t="shared" si="63"/>
        <v/>
      </c>
      <c r="AE235" s="802" t="str">
        <f t="shared" si="64"/>
        <v/>
      </c>
      <c r="AF235" s="802" t="str">
        <f t="shared" si="64"/>
        <v/>
      </c>
      <c r="AG235" s="802" t="str">
        <f t="shared" si="64"/>
        <v/>
      </c>
      <c r="AH235" s="802" t="str">
        <f t="shared" si="64"/>
        <v/>
      </c>
      <c r="AI235" s="802" t="str">
        <f t="shared" si="64"/>
        <v/>
      </c>
      <c r="AJ235" s="802" t="str">
        <f t="shared" si="63"/>
        <v/>
      </c>
      <c r="AK235" s="802" t="str">
        <f t="shared" si="63"/>
        <v/>
      </c>
      <c r="AL235" s="802" t="str">
        <f t="shared" si="63"/>
        <v/>
      </c>
      <c r="AM235" s="943" t="str">
        <f t="shared" si="63"/>
        <v/>
      </c>
      <c r="AN235" s="954"/>
      <c r="AO235" s="16"/>
      <c r="AP235" s="16"/>
      <c r="AQ235" s="16"/>
      <c r="AR235" s="16"/>
      <c r="AS235" s="16"/>
      <c r="AT235" s="16"/>
      <c r="AU235" s="16"/>
      <c r="AV235" s="16"/>
      <c r="AW235" s="5"/>
      <c r="AX235" s="5"/>
      <c r="AY235" s="5"/>
      <c r="AZ235" s="5"/>
      <c r="BA235" s="5"/>
      <c r="BB235" s="5"/>
      <c r="BC235" s="5"/>
      <c r="BD235" s="22"/>
      <c r="BE235" s="5"/>
      <c r="BF235" s="5"/>
      <c r="BG235" s="5"/>
      <c r="BH235" s="5"/>
      <c r="BI235" s="5"/>
    </row>
    <row r="236" spans="1:131" s="2" customFormat="1" hidden="1">
      <c r="A236" s="309"/>
      <c r="B236" s="1023" t="s">
        <v>738</v>
      </c>
      <c r="C236" s="723"/>
      <c r="D236" s="1002"/>
      <c r="E236" s="460" t="s">
        <v>736</v>
      </c>
      <c r="F236" s="471"/>
      <c r="G236" s="460"/>
      <c r="H236" s="459"/>
      <c r="I236" s="457"/>
      <c r="J236" s="457"/>
      <c r="K236" s="457"/>
      <c r="L236" s="457"/>
      <c r="M236" s="457"/>
      <c r="N236" s="457"/>
      <c r="O236" s="457"/>
      <c r="P236" s="457"/>
      <c r="Q236" s="457"/>
      <c r="R236" s="457"/>
      <c r="S236" s="457"/>
      <c r="T236" s="457"/>
      <c r="U236" s="457"/>
      <c r="V236" s="457"/>
      <c r="W236" s="457"/>
      <c r="X236" s="457"/>
      <c r="Y236" s="457"/>
      <c r="Z236" s="457"/>
      <c r="AA236" s="457"/>
      <c r="AB236" s="457"/>
      <c r="AC236" s="945"/>
      <c r="AD236" s="946"/>
      <c r="AE236" s="946"/>
      <c r="AF236" s="946"/>
      <c r="AG236" s="946"/>
      <c r="AH236" s="946"/>
      <c r="AI236" s="946"/>
      <c r="AJ236" s="946"/>
      <c r="AK236" s="946"/>
      <c r="AL236" s="946"/>
      <c r="AM236" s="947"/>
      <c r="AN236" s="459"/>
      <c r="AO236" s="394"/>
      <c r="AP236" s="394"/>
      <c r="AQ236" s="9"/>
      <c r="AR236" s="9"/>
      <c r="AS236" s="9"/>
      <c r="AT236" s="9"/>
      <c r="AU236" s="9"/>
      <c r="AV236" s="9"/>
      <c r="AW236" s="4"/>
      <c r="AX236" s="4"/>
      <c r="AY236" s="4"/>
      <c r="AZ236" s="4"/>
      <c r="BA236" s="4"/>
      <c r="BB236" s="4"/>
      <c r="BC236" s="4"/>
      <c r="BD236" s="22"/>
      <c r="BE236" s="4"/>
      <c r="BF236" s="4"/>
      <c r="BG236" s="4"/>
      <c r="BH236" s="4"/>
      <c r="BI236" s="4"/>
    </row>
    <row r="237" spans="1:131" ht="15" hidden="1">
      <c r="B237" s="1023" t="s">
        <v>738</v>
      </c>
      <c r="C237" s="723"/>
      <c r="D237" s="999"/>
      <c r="E237" s="5"/>
      <c r="F237" s="5"/>
      <c r="G237" s="5"/>
      <c r="H237" s="16"/>
      <c r="I237" s="16"/>
      <c r="J237" s="16"/>
      <c r="K237" s="16"/>
      <c r="L237" s="16"/>
      <c r="M237" s="16"/>
      <c r="N237" s="16"/>
      <c r="O237" s="16"/>
      <c r="P237" s="16"/>
      <c r="Q237" s="16"/>
      <c r="R237" s="16"/>
      <c r="S237" s="16"/>
      <c r="T237" s="16"/>
      <c r="U237" s="301"/>
      <c r="V237" s="16"/>
      <c r="W237" s="16"/>
      <c r="X237" s="16"/>
      <c r="Y237" s="20"/>
      <c r="Z237" s="5"/>
      <c r="AA237" s="5"/>
      <c r="AB237" s="5"/>
      <c r="AC237" s="5"/>
      <c r="AD237" s="5"/>
      <c r="AE237" s="5"/>
      <c r="AF237" s="5"/>
      <c r="AG237" s="5"/>
      <c r="AH237" s="5"/>
      <c r="AI237" s="5"/>
      <c r="AJ237" s="5"/>
      <c r="AK237" s="5"/>
      <c r="AL237" s="5"/>
      <c r="AM237" s="5"/>
      <c r="AN237" s="5"/>
      <c r="AO237" s="5"/>
      <c r="AP237" s="5"/>
      <c r="AQ237" s="5"/>
      <c r="AR237" s="5"/>
      <c r="AS237" s="22"/>
    </row>
    <row r="238" spans="1:131" hidden="1">
      <c r="B238" s="1023" t="s">
        <v>2019</v>
      </c>
      <c r="C238" s="723"/>
      <c r="D238" s="1000"/>
      <c r="E238" s="5"/>
      <c r="F238" s="5"/>
      <c r="G238" s="5"/>
      <c r="H238" s="5"/>
      <c r="I238" s="5"/>
      <c r="J238" s="5"/>
      <c r="K238" s="5"/>
      <c r="L238" s="5"/>
      <c r="M238" s="5"/>
      <c r="N238" s="5"/>
      <c r="O238" s="5"/>
      <c r="P238" s="5"/>
      <c r="Q238" s="5"/>
      <c r="R238" s="5"/>
      <c r="S238" s="5"/>
      <c r="T238" s="5"/>
      <c r="U238" s="16"/>
      <c r="V238" s="16"/>
      <c r="W238" s="16"/>
      <c r="X238" s="16"/>
      <c r="Y238" s="20"/>
      <c r="Z238" s="16"/>
      <c r="AA238" s="5"/>
      <c r="AB238" s="5"/>
      <c r="AC238" s="5"/>
      <c r="AD238" s="5"/>
      <c r="AE238" s="5"/>
      <c r="AF238" s="5"/>
      <c r="AG238" s="5"/>
      <c r="AH238" s="5"/>
      <c r="AI238" s="5"/>
      <c r="AJ238" s="5"/>
      <c r="AK238" s="5"/>
      <c r="AL238" s="5"/>
      <c r="AM238" s="5"/>
      <c r="AN238" s="5"/>
      <c r="AO238" s="5"/>
      <c r="AP238" s="5"/>
      <c r="AQ238" s="5"/>
      <c r="AR238" s="5"/>
      <c r="AS238" s="22"/>
    </row>
    <row r="239" spans="1:131" ht="21" hidden="1">
      <c r="B239" s="1023" t="s">
        <v>2019</v>
      </c>
      <c r="C239" s="723"/>
      <c r="D239" s="999"/>
      <c r="E239" s="215" t="s">
        <v>2020</v>
      </c>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215"/>
      <c r="BP239" s="215"/>
      <c r="BQ239" s="215"/>
      <c r="BR239" s="215"/>
      <c r="BS239" s="215"/>
      <c r="BT239" s="215"/>
      <c r="BU239" s="215"/>
      <c r="BV239" s="215"/>
      <c r="BW239" s="215"/>
      <c r="BX239" s="215"/>
      <c r="BY239" s="215"/>
      <c r="BZ239" s="215"/>
      <c r="CA239" s="215"/>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c r="CV239" s="215"/>
      <c r="CW239" s="215"/>
      <c r="CX239" s="215"/>
      <c r="CY239" s="215"/>
      <c r="CZ239" s="215"/>
      <c r="DA239" s="215"/>
      <c r="DB239" s="215"/>
      <c r="DC239" s="215"/>
      <c r="DD239" s="215"/>
      <c r="DE239" s="215"/>
      <c r="DF239" s="20"/>
      <c r="DG239" s="5"/>
      <c r="DH239" s="5"/>
      <c r="DI239" s="5"/>
      <c r="DJ239" s="5"/>
      <c r="DK239" s="5"/>
      <c r="DL239" s="5"/>
      <c r="DM239" s="5"/>
      <c r="DN239" s="5"/>
      <c r="DO239" s="5"/>
      <c r="DP239" s="5"/>
      <c r="DQ239" s="5"/>
      <c r="DR239" s="5"/>
      <c r="DS239" s="5"/>
      <c r="DT239" s="5"/>
      <c r="DU239" s="5"/>
      <c r="DV239" s="5"/>
      <c r="DW239" s="5"/>
      <c r="DX239" s="5"/>
      <c r="DY239" s="5"/>
      <c r="DZ239" s="22"/>
    </row>
    <row r="240" spans="1:131" hidden="1">
      <c r="B240" s="1023" t="s">
        <v>2019</v>
      </c>
      <c r="C240" s="723"/>
      <c r="D240" s="1000"/>
      <c r="E240" s="299" t="s">
        <v>483</v>
      </c>
      <c r="F240" s="299"/>
      <c r="G240" s="299" t="s">
        <v>420</v>
      </c>
      <c r="H240" s="300"/>
      <c r="I240" s="300">
        <f t="shared" ref="I240:AN240" ca="1" si="66">OFFSET(I240,0,-1)+1</f>
        <v>1</v>
      </c>
      <c r="J240" s="300">
        <f t="shared" ca="1" si="66"/>
        <v>2</v>
      </c>
      <c r="K240" s="300">
        <f t="shared" ca="1" si="66"/>
        <v>3</v>
      </c>
      <c r="L240" s="300">
        <f t="shared" ca="1" si="66"/>
        <v>4</v>
      </c>
      <c r="M240" s="300">
        <f t="shared" ca="1" si="66"/>
        <v>5</v>
      </c>
      <c r="N240" s="300">
        <f t="shared" ca="1" si="66"/>
        <v>6</v>
      </c>
      <c r="O240" s="300">
        <f t="shared" ca="1" si="66"/>
        <v>7</v>
      </c>
      <c r="P240" s="300">
        <f t="shared" ca="1" si="66"/>
        <v>8</v>
      </c>
      <c r="Q240" s="300">
        <f t="shared" ca="1" si="66"/>
        <v>9</v>
      </c>
      <c r="R240" s="300">
        <f t="shared" ca="1" si="66"/>
        <v>10</v>
      </c>
      <c r="S240" s="300">
        <f t="shared" ca="1" si="66"/>
        <v>11</v>
      </c>
      <c r="T240" s="300">
        <f t="shared" ca="1" si="66"/>
        <v>12</v>
      </c>
      <c r="U240" s="300">
        <f t="shared" ca="1" si="66"/>
        <v>13</v>
      </c>
      <c r="V240" s="300">
        <f t="shared" ca="1" si="66"/>
        <v>14</v>
      </c>
      <c r="W240" s="300">
        <f t="shared" ca="1" si="66"/>
        <v>15</v>
      </c>
      <c r="X240" s="300">
        <f t="shared" ca="1" si="66"/>
        <v>16</v>
      </c>
      <c r="Y240" s="300">
        <f t="shared" ca="1" si="66"/>
        <v>17</v>
      </c>
      <c r="Z240" s="300">
        <f t="shared" ca="1" si="66"/>
        <v>18</v>
      </c>
      <c r="AA240" s="300">
        <f t="shared" ca="1" si="66"/>
        <v>19</v>
      </c>
      <c r="AB240" s="300">
        <f t="shared" ca="1" si="66"/>
        <v>20</v>
      </c>
      <c r="AC240" s="300">
        <f t="shared" ca="1" si="66"/>
        <v>21</v>
      </c>
      <c r="AD240" s="300">
        <f t="shared" ca="1" si="66"/>
        <v>22</v>
      </c>
      <c r="AE240" s="300">
        <f t="shared" ca="1" si="66"/>
        <v>23</v>
      </c>
      <c r="AF240" s="300">
        <f t="shared" ca="1" si="66"/>
        <v>24</v>
      </c>
      <c r="AG240" s="300">
        <f t="shared" ca="1" si="66"/>
        <v>25</v>
      </c>
      <c r="AH240" s="300">
        <f t="shared" ca="1" si="66"/>
        <v>26</v>
      </c>
      <c r="AI240" s="300">
        <f t="shared" ca="1" si="66"/>
        <v>27</v>
      </c>
      <c r="AJ240" s="300">
        <f t="shared" ca="1" si="66"/>
        <v>28</v>
      </c>
      <c r="AK240" s="300">
        <f t="shared" ca="1" si="66"/>
        <v>29</v>
      </c>
      <c r="AL240" s="300">
        <f t="shared" ca="1" si="66"/>
        <v>30</v>
      </c>
      <c r="AM240" s="300">
        <f t="shared" ca="1" si="66"/>
        <v>31</v>
      </c>
      <c r="AN240" s="300">
        <f t="shared" ca="1" si="66"/>
        <v>32</v>
      </c>
      <c r="AO240" s="300">
        <f t="shared" ref="AO240:BT240" ca="1" si="67">OFFSET(AO240,0,-1)+1</f>
        <v>33</v>
      </c>
      <c r="AP240" s="300">
        <f t="shared" ca="1" si="67"/>
        <v>34</v>
      </c>
      <c r="AQ240" s="300">
        <f t="shared" ca="1" si="67"/>
        <v>35</v>
      </c>
      <c r="AR240" s="300">
        <f t="shared" ca="1" si="67"/>
        <v>36</v>
      </c>
      <c r="AS240" s="300">
        <f t="shared" ca="1" si="67"/>
        <v>37</v>
      </c>
      <c r="AT240" s="300">
        <f t="shared" ca="1" si="67"/>
        <v>38</v>
      </c>
      <c r="AU240" s="300">
        <f t="shared" ca="1" si="67"/>
        <v>39</v>
      </c>
      <c r="AV240" s="300">
        <f t="shared" ca="1" si="67"/>
        <v>40</v>
      </c>
      <c r="AW240" s="300">
        <f t="shared" ca="1" si="67"/>
        <v>41</v>
      </c>
      <c r="AX240" s="300">
        <f t="shared" ca="1" si="67"/>
        <v>42</v>
      </c>
      <c r="AY240" s="300">
        <f t="shared" ca="1" si="67"/>
        <v>43</v>
      </c>
      <c r="AZ240" s="300">
        <f t="shared" ca="1" si="67"/>
        <v>44</v>
      </c>
      <c r="BA240" s="300">
        <f t="shared" ca="1" si="67"/>
        <v>45</v>
      </c>
      <c r="BB240" s="300">
        <f t="shared" ca="1" si="67"/>
        <v>46</v>
      </c>
      <c r="BC240" s="300">
        <f t="shared" ca="1" si="67"/>
        <v>47</v>
      </c>
      <c r="BD240" s="300">
        <f t="shared" ca="1" si="67"/>
        <v>48</v>
      </c>
      <c r="BE240" s="300">
        <f t="shared" ca="1" si="67"/>
        <v>49</v>
      </c>
      <c r="BF240" s="300">
        <f t="shared" ca="1" si="67"/>
        <v>50</v>
      </c>
      <c r="BG240" s="300">
        <f t="shared" ca="1" si="67"/>
        <v>51</v>
      </c>
      <c r="BH240" s="300">
        <f t="shared" ca="1" si="67"/>
        <v>52</v>
      </c>
      <c r="BI240" s="300">
        <f t="shared" ca="1" si="67"/>
        <v>53</v>
      </c>
      <c r="BJ240" s="300">
        <f t="shared" ca="1" si="67"/>
        <v>54</v>
      </c>
      <c r="BK240" s="300">
        <f t="shared" ca="1" si="67"/>
        <v>55</v>
      </c>
      <c r="BL240" s="300">
        <f t="shared" ca="1" si="67"/>
        <v>56</v>
      </c>
      <c r="BM240" s="300">
        <f t="shared" ca="1" si="67"/>
        <v>57</v>
      </c>
      <c r="BN240" s="300">
        <f t="shared" ca="1" si="67"/>
        <v>58</v>
      </c>
      <c r="BO240" s="300">
        <f t="shared" ca="1" si="67"/>
        <v>59</v>
      </c>
      <c r="BP240" s="300">
        <f t="shared" ca="1" si="67"/>
        <v>60</v>
      </c>
      <c r="BQ240" s="300">
        <f t="shared" ca="1" si="67"/>
        <v>61</v>
      </c>
      <c r="BR240" s="300">
        <f t="shared" ca="1" si="67"/>
        <v>62</v>
      </c>
      <c r="BS240" s="300">
        <f t="shared" ca="1" si="67"/>
        <v>63</v>
      </c>
      <c r="BT240" s="300">
        <f t="shared" ca="1" si="67"/>
        <v>64</v>
      </c>
      <c r="BU240" s="300">
        <f t="shared" ref="BU240:DD240" ca="1" si="68">OFFSET(BU240,0,-1)+1</f>
        <v>65</v>
      </c>
      <c r="BV240" s="300">
        <f t="shared" ca="1" si="68"/>
        <v>66</v>
      </c>
      <c r="BW240" s="300">
        <f t="shared" ca="1" si="68"/>
        <v>67</v>
      </c>
      <c r="BX240" s="300">
        <f t="shared" ca="1" si="68"/>
        <v>68</v>
      </c>
      <c r="BY240" s="300">
        <f t="shared" ca="1" si="68"/>
        <v>69</v>
      </c>
      <c r="BZ240" s="300">
        <f t="shared" ca="1" si="68"/>
        <v>70</v>
      </c>
      <c r="CA240" s="300">
        <f t="shared" ca="1" si="68"/>
        <v>71</v>
      </c>
      <c r="CB240" s="300">
        <f t="shared" ca="1" si="68"/>
        <v>72</v>
      </c>
      <c r="CC240" s="300">
        <f t="shared" ca="1" si="68"/>
        <v>73</v>
      </c>
      <c r="CD240" s="300">
        <f t="shared" ca="1" si="68"/>
        <v>74</v>
      </c>
      <c r="CE240" s="300">
        <f t="shared" ca="1" si="68"/>
        <v>75</v>
      </c>
      <c r="CF240" s="300">
        <f t="shared" ca="1" si="68"/>
        <v>76</v>
      </c>
      <c r="CG240" s="300">
        <f t="shared" ca="1" si="68"/>
        <v>77</v>
      </c>
      <c r="CH240" s="300">
        <f t="shared" ca="1" si="68"/>
        <v>78</v>
      </c>
      <c r="CI240" s="300">
        <f t="shared" ca="1" si="68"/>
        <v>79</v>
      </c>
      <c r="CJ240" s="300">
        <f t="shared" ca="1" si="68"/>
        <v>80</v>
      </c>
      <c r="CK240" s="300">
        <f t="shared" ca="1" si="68"/>
        <v>81</v>
      </c>
      <c r="CL240" s="300">
        <f t="shared" ca="1" si="68"/>
        <v>82</v>
      </c>
      <c r="CM240" s="300">
        <f t="shared" ca="1" si="68"/>
        <v>83</v>
      </c>
      <c r="CN240" s="300">
        <f t="shared" ca="1" si="68"/>
        <v>84</v>
      </c>
      <c r="CO240" s="300">
        <f t="shared" ca="1" si="68"/>
        <v>85</v>
      </c>
      <c r="CP240" s="300">
        <f t="shared" ca="1" si="68"/>
        <v>86</v>
      </c>
      <c r="CQ240" s="300">
        <f t="shared" ca="1" si="68"/>
        <v>87</v>
      </c>
      <c r="CR240" s="300">
        <f t="shared" ca="1" si="68"/>
        <v>88</v>
      </c>
      <c r="CS240" s="300">
        <f t="shared" ca="1" si="68"/>
        <v>89</v>
      </c>
      <c r="CT240" s="300">
        <f t="shared" ca="1" si="68"/>
        <v>90</v>
      </c>
      <c r="CU240" s="300">
        <f t="shared" ca="1" si="68"/>
        <v>91</v>
      </c>
      <c r="CV240" s="300">
        <f t="shared" ca="1" si="68"/>
        <v>92</v>
      </c>
      <c r="CW240" s="300">
        <f t="shared" ca="1" si="68"/>
        <v>93</v>
      </c>
      <c r="CX240" s="300">
        <f t="shared" ca="1" si="68"/>
        <v>94</v>
      </c>
      <c r="CY240" s="300">
        <f t="shared" ca="1" si="68"/>
        <v>95</v>
      </c>
      <c r="CZ240" s="300">
        <f t="shared" ca="1" si="68"/>
        <v>96</v>
      </c>
      <c r="DA240" s="300">
        <f t="shared" ca="1" si="68"/>
        <v>97</v>
      </c>
      <c r="DB240" s="300">
        <f t="shared" ca="1" si="68"/>
        <v>98</v>
      </c>
      <c r="DC240" s="300">
        <f t="shared" ca="1" si="68"/>
        <v>99</v>
      </c>
      <c r="DD240" s="300">
        <f t="shared" ca="1" si="68"/>
        <v>100</v>
      </c>
      <c r="DE240" s="300"/>
      <c r="DF240" s="5"/>
      <c r="DG240" s="20"/>
      <c r="DH240" s="5"/>
      <c r="DI240" s="5"/>
      <c r="DJ240" s="5"/>
      <c r="DK240" s="5"/>
      <c r="DL240" s="5"/>
      <c r="DM240" s="5"/>
      <c r="DN240" s="5"/>
      <c r="DO240" s="5"/>
      <c r="DP240" s="5"/>
      <c r="DQ240" s="5"/>
      <c r="DR240" s="5"/>
      <c r="DS240" s="5"/>
      <c r="DT240" s="5"/>
      <c r="DU240" s="5"/>
      <c r="DV240" s="5"/>
      <c r="DW240" s="5"/>
      <c r="DX240" s="5"/>
      <c r="DY240" s="5"/>
      <c r="DZ240" s="22"/>
      <c r="EA240" s="209"/>
    </row>
    <row r="241" spans="1:131" s="2" customFormat="1" ht="18.75" hidden="1">
      <c r="A241" s="309"/>
      <c r="B241" s="1023" t="s">
        <v>2019</v>
      </c>
      <c r="C241" s="723"/>
      <c r="D241" s="1004"/>
      <c r="E241" s="382" t="s">
        <v>2021</v>
      </c>
      <c r="F241" s="383"/>
      <c r="G241" s="1091"/>
      <c r="H241" s="384"/>
      <c r="I241" s="1089"/>
      <c r="J241" s="1090"/>
      <c r="K241" s="1087"/>
      <c r="L241" s="1087"/>
      <c r="M241" s="1087"/>
      <c r="N241" s="1087"/>
      <c r="O241" s="1087"/>
      <c r="P241" s="1088"/>
      <c r="Q241" s="1088"/>
      <c r="R241" s="1088"/>
      <c r="S241" s="1088"/>
      <c r="T241" s="1088"/>
      <c r="U241" s="1088"/>
      <c r="V241" s="1088"/>
      <c r="W241" s="1088"/>
      <c r="X241" s="1089"/>
      <c r="Y241" s="1090"/>
      <c r="Z241" s="1087"/>
      <c r="AA241" s="1087"/>
      <c r="AB241" s="1087"/>
      <c r="AC241" s="1087"/>
      <c r="AD241" s="1087"/>
      <c r="AE241" s="1087"/>
      <c r="AF241" s="1087"/>
      <c r="AG241" s="1087"/>
      <c r="AH241" s="1087"/>
      <c r="AI241" s="1087"/>
      <c r="AJ241" s="1088"/>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8"/>
      <c r="BE241" s="1088"/>
      <c r="BF241" s="1088"/>
      <c r="BG241" s="1088"/>
      <c r="BH241" s="1088"/>
      <c r="BI241" s="1088"/>
      <c r="BJ241" s="1086"/>
      <c r="BK241" s="1086"/>
      <c r="BL241" s="1086"/>
      <c r="BM241" s="1086"/>
      <c r="BN241" s="1086"/>
      <c r="BO241" s="1086"/>
      <c r="BP241" s="1086"/>
      <c r="BQ241" s="1086"/>
      <c r="BR241" s="684"/>
      <c r="BS241" s="684"/>
      <c r="BT241" s="684"/>
      <c r="BU241" s="684"/>
      <c r="BV241" s="684"/>
      <c r="BW241" s="684"/>
      <c r="BX241" s="684"/>
      <c r="BY241" s="684"/>
      <c r="BZ241" s="684"/>
      <c r="CA241" s="684"/>
      <c r="CB241" s="684"/>
      <c r="CC241" s="684"/>
      <c r="CD241" s="684"/>
      <c r="CE241" s="684"/>
      <c r="CF241" s="684"/>
      <c r="CG241" s="684"/>
      <c r="CH241" s="684"/>
      <c r="CI241" s="684"/>
      <c r="CJ241" s="684"/>
      <c r="CK241" s="684"/>
      <c r="CL241" s="684"/>
      <c r="CM241" s="684"/>
      <c r="CN241" s="684"/>
      <c r="CO241" s="684"/>
      <c r="CP241" s="684"/>
      <c r="CQ241" s="684"/>
      <c r="CR241" s="684"/>
      <c r="CS241" s="684"/>
      <c r="CT241" s="684"/>
      <c r="CU241" s="684"/>
      <c r="CV241" s="684"/>
      <c r="CW241" s="684"/>
      <c r="CX241" s="684"/>
      <c r="CY241" s="684"/>
      <c r="CZ241" s="684"/>
      <c r="DA241" s="684"/>
      <c r="DB241" s="684"/>
      <c r="DC241" s="684"/>
      <c r="DD241" s="684"/>
      <c r="DE241" s="4"/>
      <c r="DF241" s="8"/>
      <c r="DG241" s="4"/>
      <c r="DH241" s="4"/>
      <c r="DI241" s="4"/>
      <c r="DJ241" s="4"/>
      <c r="DK241" s="4"/>
      <c r="DL241" s="4"/>
      <c r="DM241" s="4"/>
      <c r="DN241" s="4"/>
      <c r="DO241" s="4"/>
      <c r="DP241" s="4"/>
      <c r="DQ241" s="4"/>
      <c r="DR241" s="4"/>
      <c r="DS241" s="4"/>
      <c r="DT241" s="4"/>
      <c r="DU241" s="4"/>
      <c r="DV241" s="4"/>
      <c r="DW241" s="4"/>
      <c r="DX241" s="4"/>
      <c r="DY241" s="4"/>
      <c r="DZ241" s="22"/>
    </row>
    <row r="242" spans="1:131" ht="76.5" hidden="1">
      <c r="B242" s="1023" t="s">
        <v>2019</v>
      </c>
      <c r="C242" s="723"/>
      <c r="D242" s="999"/>
      <c r="E242" s="357" t="s">
        <v>776</v>
      </c>
      <c r="F242" s="326"/>
      <c r="G242" s="357" t="s">
        <v>68</v>
      </c>
      <c r="H242" s="476"/>
      <c r="I242" s="948" t="s">
        <v>598</v>
      </c>
      <c r="J242" s="948" t="s">
        <v>748</v>
      </c>
      <c r="K242" s="948" t="s">
        <v>777</v>
      </c>
      <c r="L242" s="948" t="s">
        <v>778</v>
      </c>
      <c r="M242" s="948" t="s">
        <v>779</v>
      </c>
      <c r="N242" s="948" t="s">
        <v>780</v>
      </c>
      <c r="O242" s="948" t="s">
        <v>781</v>
      </c>
      <c r="P242" s="949" t="s">
        <v>782</v>
      </c>
      <c r="Q242" s="949" t="s">
        <v>783</v>
      </c>
      <c r="R242" s="949" t="s">
        <v>784</v>
      </c>
      <c r="S242" s="591" t="s">
        <v>785</v>
      </c>
      <c r="T242" s="591" t="s">
        <v>786</v>
      </c>
      <c r="U242" s="591" t="s">
        <v>787</v>
      </c>
      <c r="V242" s="591" t="s">
        <v>788</v>
      </c>
      <c r="W242" s="591" t="s">
        <v>789</v>
      </c>
      <c r="X242" s="948" t="s">
        <v>790</v>
      </c>
      <c r="Y242" s="948" t="s">
        <v>791</v>
      </c>
      <c r="Z242" s="949" t="s">
        <v>792</v>
      </c>
      <c r="AA242" s="949" t="s">
        <v>793</v>
      </c>
      <c r="AB242" s="949" t="s">
        <v>1997</v>
      </c>
      <c r="AC242" s="949" t="s">
        <v>1996</v>
      </c>
      <c r="AD242" s="949" t="s">
        <v>794</v>
      </c>
      <c r="AE242" s="949" t="s">
        <v>795</v>
      </c>
      <c r="AF242" s="949" t="s">
        <v>796</v>
      </c>
      <c r="AG242" s="949" t="s">
        <v>797</v>
      </c>
      <c r="AH242" s="949" t="s">
        <v>798</v>
      </c>
      <c r="AI242" s="949" t="s">
        <v>799</v>
      </c>
      <c r="AJ242" s="949" t="s">
        <v>800</v>
      </c>
      <c r="AK242" s="591" t="s">
        <v>801</v>
      </c>
      <c r="AL242" s="591" t="s">
        <v>802</v>
      </c>
      <c r="AM242" s="591" t="s">
        <v>803</v>
      </c>
      <c r="AN242" s="591" t="s">
        <v>2004</v>
      </c>
      <c r="AO242" s="591" t="s">
        <v>2003</v>
      </c>
      <c r="AP242" s="591" t="s">
        <v>804</v>
      </c>
      <c r="AQ242" s="591" t="s">
        <v>805</v>
      </c>
      <c r="AR242" s="591" t="s">
        <v>806</v>
      </c>
      <c r="AS242" s="591" t="s">
        <v>807</v>
      </c>
      <c r="AT242" s="591" t="s">
        <v>808</v>
      </c>
      <c r="AU242" s="591" t="s">
        <v>809</v>
      </c>
      <c r="AV242" s="591" t="s">
        <v>810</v>
      </c>
      <c r="AW242" s="591" t="s">
        <v>811</v>
      </c>
      <c r="AX242" s="591" t="s">
        <v>812</v>
      </c>
      <c r="AY242" s="591" t="s">
        <v>813</v>
      </c>
      <c r="AZ242" s="591" t="s">
        <v>814</v>
      </c>
      <c r="BA242" s="591" t="s">
        <v>815</v>
      </c>
      <c r="BB242" s="591" t="s">
        <v>816</v>
      </c>
      <c r="BC242" s="591" t="s">
        <v>817</v>
      </c>
      <c r="BD242" s="591" t="s">
        <v>818</v>
      </c>
      <c r="BE242" s="591" t="s">
        <v>1981</v>
      </c>
      <c r="BF242" s="591" t="s">
        <v>1982</v>
      </c>
      <c r="BG242" s="591" t="s">
        <v>1986</v>
      </c>
      <c r="BH242" s="591" t="s">
        <v>1987</v>
      </c>
      <c r="BI242" s="591" t="s">
        <v>1983</v>
      </c>
      <c r="BJ242" s="591"/>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c r="CG242" s="591"/>
      <c r="CH242" s="591"/>
      <c r="CI242" s="591"/>
      <c r="CJ242" s="591"/>
      <c r="CK242" s="591"/>
      <c r="CL242" s="591"/>
      <c r="CM242" s="591"/>
      <c r="CN242" s="591"/>
      <c r="CO242" s="591"/>
      <c r="CP242" s="591"/>
      <c r="CQ242" s="591"/>
      <c r="CR242" s="591"/>
      <c r="CS242" s="591"/>
      <c r="CT242" s="591"/>
      <c r="CU242" s="591"/>
      <c r="CV242" s="591"/>
      <c r="CW242" s="591"/>
      <c r="CX242" s="591"/>
      <c r="CY242" s="591"/>
      <c r="CZ242" s="591"/>
      <c r="DA242" s="591"/>
      <c r="DB242" s="591"/>
      <c r="DC242" s="591"/>
      <c r="DD242" s="591"/>
      <c r="DE242" s="476"/>
      <c r="DF242" s="22"/>
      <c r="DG242" s="20"/>
      <c r="DH242" s="16"/>
      <c r="DI242" s="16"/>
      <c r="DJ242" s="16"/>
      <c r="DK242" s="5"/>
      <c r="DL242" s="5"/>
      <c r="DM242" s="5"/>
      <c r="DN242" s="5"/>
      <c r="DO242" s="5"/>
      <c r="DP242" s="5"/>
      <c r="DQ242" s="5"/>
      <c r="DR242" s="5"/>
      <c r="DS242" s="5"/>
      <c r="DT242" s="5"/>
      <c r="DU242" s="5"/>
      <c r="DV242" s="5"/>
      <c r="DW242" s="5"/>
      <c r="DX242" s="5"/>
      <c r="DY242" s="5"/>
      <c r="EA242" s="209"/>
    </row>
    <row r="243" spans="1:131" hidden="1">
      <c r="B243" s="1023" t="s">
        <v>2019</v>
      </c>
      <c r="C243" s="723"/>
      <c r="D243" s="999"/>
      <c r="E243" s="357" t="s">
        <v>770</v>
      </c>
      <c r="F243" s="326"/>
      <c r="G243" s="357" t="s">
        <v>68</v>
      </c>
      <c r="H243" s="476"/>
      <c r="I243" s="952">
        <v>1</v>
      </c>
      <c r="J243" s="952">
        <v>0</v>
      </c>
      <c r="K243" s="952">
        <v>0</v>
      </c>
      <c r="L243" s="952">
        <v>1</v>
      </c>
      <c r="M243" s="952">
        <v>0</v>
      </c>
      <c r="N243" s="952">
        <v>1</v>
      </c>
      <c r="O243" s="952">
        <v>0</v>
      </c>
      <c r="P243" s="952">
        <v>1</v>
      </c>
      <c r="Q243" s="952">
        <v>1</v>
      </c>
      <c r="R243" s="952">
        <v>0</v>
      </c>
      <c r="S243" s="953">
        <v>1</v>
      </c>
      <c r="T243" s="953">
        <v>1</v>
      </c>
      <c r="U243" s="953">
        <v>1</v>
      </c>
      <c r="V243" s="953">
        <v>0</v>
      </c>
      <c r="W243" s="953">
        <v>1</v>
      </c>
      <c r="X243" s="952">
        <v>0</v>
      </c>
      <c r="Y243" s="952">
        <v>0</v>
      </c>
      <c r="Z243" s="952">
        <v>1</v>
      </c>
      <c r="AA243" s="952">
        <v>1</v>
      </c>
      <c r="AB243" s="952">
        <v>1</v>
      </c>
      <c r="AC243" s="952">
        <v>1</v>
      </c>
      <c r="AD243" s="952">
        <v>1</v>
      </c>
      <c r="AE243" s="952">
        <v>1</v>
      </c>
      <c r="AF243" s="952">
        <v>1</v>
      </c>
      <c r="AG243" s="952">
        <v>1</v>
      </c>
      <c r="AH243" s="952">
        <v>1</v>
      </c>
      <c r="AI243" s="952">
        <v>1</v>
      </c>
      <c r="AJ243" s="952">
        <v>1</v>
      </c>
      <c r="AK243" s="953">
        <v>1</v>
      </c>
      <c r="AL243" s="953">
        <v>1</v>
      </c>
      <c r="AM243" s="953">
        <v>0</v>
      </c>
      <c r="AN243" s="953">
        <v>1</v>
      </c>
      <c r="AO243" s="953">
        <v>0</v>
      </c>
      <c r="AP243" s="953">
        <v>1</v>
      </c>
      <c r="AQ243" s="953">
        <v>1</v>
      </c>
      <c r="AR243" s="953">
        <v>1</v>
      </c>
      <c r="AS243" s="953">
        <v>1</v>
      </c>
      <c r="AT243" s="953">
        <v>1</v>
      </c>
      <c r="AU243" s="953">
        <v>1</v>
      </c>
      <c r="AV243" s="953">
        <v>1</v>
      </c>
      <c r="AW243" s="953">
        <v>1</v>
      </c>
      <c r="AX243" s="953">
        <v>1</v>
      </c>
      <c r="AY243" s="953">
        <v>1</v>
      </c>
      <c r="AZ243" s="953">
        <v>1</v>
      </c>
      <c r="BA243" s="953">
        <v>1</v>
      </c>
      <c r="BB243" s="953">
        <v>1</v>
      </c>
      <c r="BC243" s="953">
        <v>1</v>
      </c>
      <c r="BD243" s="953">
        <v>1</v>
      </c>
      <c r="BE243" s="953">
        <v>1</v>
      </c>
      <c r="BF243" s="953">
        <v>1</v>
      </c>
      <c r="BG243" s="953">
        <v>0</v>
      </c>
      <c r="BH243" s="953">
        <v>1</v>
      </c>
      <c r="BI243" s="953">
        <v>1</v>
      </c>
      <c r="BJ243" s="953"/>
      <c r="BK243" s="953"/>
      <c r="BL243" s="953"/>
      <c r="BM243" s="953"/>
      <c r="BN243" s="953"/>
      <c r="BO243" s="953"/>
      <c r="BP243" s="953"/>
      <c r="BQ243" s="953"/>
      <c r="BR243" s="953"/>
      <c r="BS243" s="953"/>
      <c r="BT243" s="953"/>
      <c r="BU243" s="953"/>
      <c r="BV243" s="953"/>
      <c r="BW243" s="953"/>
      <c r="BX243" s="953"/>
      <c r="BY243" s="953"/>
      <c r="BZ243" s="953"/>
      <c r="CA243" s="953"/>
      <c r="CB243" s="953"/>
      <c r="CC243" s="953"/>
      <c r="CD243" s="953"/>
      <c r="CE243" s="953"/>
      <c r="CF243" s="953"/>
      <c r="CG243" s="953"/>
      <c r="CH243" s="953"/>
      <c r="CI243" s="953"/>
      <c r="CJ243" s="953"/>
      <c r="CK243" s="953"/>
      <c r="CL243" s="953"/>
      <c r="CM243" s="953"/>
      <c r="CN243" s="953"/>
      <c r="CO243" s="953"/>
      <c r="CP243" s="953"/>
      <c r="CQ243" s="953"/>
      <c r="CR243" s="953"/>
      <c r="CS243" s="953"/>
      <c r="CT243" s="953"/>
      <c r="CU243" s="953"/>
      <c r="CV243" s="953"/>
      <c r="CW243" s="953"/>
      <c r="CX243" s="953"/>
      <c r="CY243" s="953"/>
      <c r="CZ243" s="953"/>
      <c r="DA243" s="953"/>
      <c r="DB243" s="953"/>
      <c r="DC243" s="953"/>
      <c r="DD243" s="953"/>
      <c r="DE243" s="476"/>
      <c r="DF243" s="22"/>
      <c r="DG243" s="20"/>
      <c r="DH243" s="16"/>
      <c r="DI243" s="16"/>
      <c r="DJ243" s="16"/>
      <c r="DK243" s="5"/>
      <c r="DL243" s="5"/>
      <c r="DM243" s="5"/>
      <c r="DN243" s="5"/>
      <c r="DO243" s="5"/>
      <c r="DP243" s="5"/>
      <c r="DQ243" s="5"/>
      <c r="DR243" s="5"/>
      <c r="DS243" s="5"/>
      <c r="DT243" s="5"/>
      <c r="DU243" s="5"/>
      <c r="DV243" s="5"/>
      <c r="DW243" s="5"/>
      <c r="DX243" s="5"/>
      <c r="DY243" s="5"/>
      <c r="EA243" s="209"/>
    </row>
    <row r="244" spans="1:131" hidden="1">
      <c r="B244" s="1023" t="s">
        <v>2019</v>
      </c>
      <c r="C244" s="723"/>
      <c r="D244" s="999"/>
      <c r="E244" s="357" t="s">
        <v>771</v>
      </c>
      <c r="F244" s="326"/>
      <c r="G244" s="357" t="s">
        <v>68</v>
      </c>
      <c r="H244" s="476"/>
      <c r="I244" s="952">
        <v>0</v>
      </c>
      <c r="J244" s="952">
        <v>1</v>
      </c>
      <c r="K244" s="952">
        <v>0</v>
      </c>
      <c r="L244" s="952">
        <v>0</v>
      </c>
      <c r="M244" s="952">
        <v>1</v>
      </c>
      <c r="N244" s="952">
        <v>0</v>
      </c>
      <c r="O244" s="952">
        <v>1</v>
      </c>
      <c r="P244" s="952">
        <v>0</v>
      </c>
      <c r="Q244" s="952">
        <v>0</v>
      </c>
      <c r="R244" s="952">
        <v>1</v>
      </c>
      <c r="S244" s="953">
        <v>0</v>
      </c>
      <c r="T244" s="953">
        <v>0</v>
      </c>
      <c r="U244" s="953">
        <v>0</v>
      </c>
      <c r="V244" s="953">
        <v>1</v>
      </c>
      <c r="W244" s="953">
        <v>0</v>
      </c>
      <c r="X244" s="952">
        <v>1</v>
      </c>
      <c r="Y244" s="952">
        <v>1</v>
      </c>
      <c r="Z244" s="952">
        <v>0</v>
      </c>
      <c r="AA244" s="952">
        <v>0</v>
      </c>
      <c r="AB244" s="952">
        <v>0</v>
      </c>
      <c r="AC244" s="952">
        <v>0</v>
      </c>
      <c r="AD244" s="952">
        <v>0</v>
      </c>
      <c r="AE244" s="952">
        <v>0</v>
      </c>
      <c r="AF244" s="952">
        <v>0</v>
      </c>
      <c r="AG244" s="952">
        <v>0</v>
      </c>
      <c r="AH244" s="952">
        <v>0</v>
      </c>
      <c r="AI244" s="952">
        <v>0</v>
      </c>
      <c r="AJ244" s="952">
        <v>0</v>
      </c>
      <c r="AK244" s="953">
        <v>0</v>
      </c>
      <c r="AL244" s="953">
        <v>0</v>
      </c>
      <c r="AM244" s="953">
        <v>1</v>
      </c>
      <c r="AN244" s="953">
        <v>0</v>
      </c>
      <c r="AO244" s="953">
        <v>0</v>
      </c>
      <c r="AP244" s="953">
        <v>0</v>
      </c>
      <c r="AQ244" s="953">
        <v>0</v>
      </c>
      <c r="AR244" s="953">
        <v>0</v>
      </c>
      <c r="AS244" s="953">
        <v>0</v>
      </c>
      <c r="AT244" s="953">
        <v>0</v>
      </c>
      <c r="AU244" s="953">
        <v>0</v>
      </c>
      <c r="AV244" s="953">
        <v>0</v>
      </c>
      <c r="AW244" s="953">
        <v>0</v>
      </c>
      <c r="AX244" s="953">
        <v>0</v>
      </c>
      <c r="AY244" s="953">
        <v>0</v>
      </c>
      <c r="AZ244" s="953">
        <v>0</v>
      </c>
      <c r="BA244" s="953">
        <v>0</v>
      </c>
      <c r="BB244" s="953">
        <v>0</v>
      </c>
      <c r="BC244" s="953">
        <v>0</v>
      </c>
      <c r="BD244" s="953">
        <v>0</v>
      </c>
      <c r="BE244" s="953">
        <v>0</v>
      </c>
      <c r="BF244" s="953">
        <v>0</v>
      </c>
      <c r="BG244" s="953">
        <v>1</v>
      </c>
      <c r="BH244" s="953">
        <v>0</v>
      </c>
      <c r="BI244" s="953">
        <v>0</v>
      </c>
      <c r="BJ244" s="953"/>
      <c r="BK244" s="953"/>
      <c r="BL244" s="953"/>
      <c r="BM244" s="953"/>
      <c r="BN244" s="953"/>
      <c r="BO244" s="953"/>
      <c r="BP244" s="953"/>
      <c r="BQ244" s="953"/>
      <c r="BR244" s="953"/>
      <c r="BS244" s="953"/>
      <c r="BT244" s="953"/>
      <c r="BU244" s="953"/>
      <c r="BV244" s="953"/>
      <c r="BW244" s="953"/>
      <c r="BX244" s="953"/>
      <c r="BY244" s="953"/>
      <c r="BZ244" s="953"/>
      <c r="CA244" s="953"/>
      <c r="CB244" s="953"/>
      <c r="CC244" s="953"/>
      <c r="CD244" s="953"/>
      <c r="CE244" s="953"/>
      <c r="CF244" s="953"/>
      <c r="CG244" s="953"/>
      <c r="CH244" s="953"/>
      <c r="CI244" s="953"/>
      <c r="CJ244" s="953"/>
      <c r="CK244" s="953"/>
      <c r="CL244" s="953"/>
      <c r="CM244" s="953"/>
      <c r="CN244" s="953"/>
      <c r="CO244" s="953"/>
      <c r="CP244" s="953"/>
      <c r="CQ244" s="953"/>
      <c r="CR244" s="953"/>
      <c r="CS244" s="953"/>
      <c r="CT244" s="953"/>
      <c r="CU244" s="953"/>
      <c r="CV244" s="953"/>
      <c r="CW244" s="953"/>
      <c r="CX244" s="953"/>
      <c r="CY244" s="953"/>
      <c r="CZ244" s="953"/>
      <c r="DA244" s="953"/>
      <c r="DB244" s="953"/>
      <c r="DC244" s="953"/>
      <c r="DD244" s="953"/>
      <c r="DE244" s="476"/>
      <c r="DF244" s="22"/>
      <c r="DG244" s="20"/>
      <c r="DH244" s="16"/>
      <c r="DI244" s="16"/>
      <c r="DJ244" s="16"/>
      <c r="DK244" s="5"/>
      <c r="DL244" s="5"/>
      <c r="DM244" s="5"/>
      <c r="DN244" s="5"/>
      <c r="DO244" s="5"/>
      <c r="DP244" s="5"/>
      <c r="DQ244" s="5"/>
      <c r="DR244" s="5"/>
      <c r="DS244" s="5"/>
      <c r="DT244" s="5"/>
      <c r="DU244" s="5"/>
      <c r="DV244" s="5"/>
      <c r="DW244" s="5"/>
      <c r="DX244" s="5"/>
      <c r="DY244" s="5"/>
      <c r="EA244" s="209"/>
    </row>
    <row r="245" spans="1:131" hidden="1">
      <c r="B245" s="1023" t="s">
        <v>2019</v>
      </c>
      <c r="C245" s="723"/>
      <c r="D245" s="999"/>
      <c r="E245" s="357" t="s">
        <v>772</v>
      </c>
      <c r="F245" s="326"/>
      <c r="G245" s="357" t="s">
        <v>68</v>
      </c>
      <c r="H245" s="476"/>
      <c r="I245" s="952">
        <v>0</v>
      </c>
      <c r="J245" s="952">
        <v>0</v>
      </c>
      <c r="K245" s="952">
        <v>1</v>
      </c>
      <c r="L245" s="952">
        <v>0</v>
      </c>
      <c r="M245" s="952">
        <v>0</v>
      </c>
      <c r="N245" s="952">
        <v>0</v>
      </c>
      <c r="O245" s="952">
        <v>0</v>
      </c>
      <c r="P245" s="952">
        <v>0</v>
      </c>
      <c r="Q245" s="952">
        <v>0</v>
      </c>
      <c r="R245" s="952">
        <v>0</v>
      </c>
      <c r="S245" s="953">
        <v>0</v>
      </c>
      <c r="T245" s="953">
        <v>0</v>
      </c>
      <c r="U245" s="953">
        <v>0</v>
      </c>
      <c r="V245" s="953">
        <v>0</v>
      </c>
      <c r="W245" s="953">
        <v>0</v>
      </c>
      <c r="X245" s="952">
        <v>0</v>
      </c>
      <c r="Y245" s="952">
        <v>0</v>
      </c>
      <c r="Z245" s="952">
        <v>0</v>
      </c>
      <c r="AA245" s="952">
        <v>0</v>
      </c>
      <c r="AB245" s="952">
        <v>0</v>
      </c>
      <c r="AC245" s="952">
        <v>0</v>
      </c>
      <c r="AD245" s="952">
        <v>0</v>
      </c>
      <c r="AE245" s="952">
        <v>0</v>
      </c>
      <c r="AF245" s="952">
        <v>0</v>
      </c>
      <c r="AG245" s="952">
        <v>0</v>
      </c>
      <c r="AH245" s="952">
        <v>0</v>
      </c>
      <c r="AI245" s="952">
        <v>0</v>
      </c>
      <c r="AJ245" s="952">
        <v>0</v>
      </c>
      <c r="AK245" s="953">
        <v>0</v>
      </c>
      <c r="AL245" s="953">
        <v>0</v>
      </c>
      <c r="AM245" s="953">
        <v>0</v>
      </c>
      <c r="AN245" s="953">
        <v>0</v>
      </c>
      <c r="AO245" s="953">
        <v>1</v>
      </c>
      <c r="AP245" s="953">
        <v>0</v>
      </c>
      <c r="AQ245" s="953">
        <v>0</v>
      </c>
      <c r="AR245" s="953">
        <v>0</v>
      </c>
      <c r="AS245" s="953">
        <v>0</v>
      </c>
      <c r="AT245" s="953">
        <v>0</v>
      </c>
      <c r="AU245" s="953">
        <v>0</v>
      </c>
      <c r="AV245" s="953">
        <v>0</v>
      </c>
      <c r="AW245" s="953">
        <v>0</v>
      </c>
      <c r="AX245" s="953">
        <v>0</v>
      </c>
      <c r="AY245" s="953">
        <v>0</v>
      </c>
      <c r="AZ245" s="953">
        <v>0</v>
      </c>
      <c r="BA245" s="953">
        <v>0</v>
      </c>
      <c r="BB245" s="953">
        <v>0</v>
      </c>
      <c r="BC245" s="953">
        <v>0</v>
      </c>
      <c r="BD245" s="953">
        <v>0</v>
      </c>
      <c r="BE245" s="953">
        <v>0</v>
      </c>
      <c r="BF245" s="953">
        <v>0</v>
      </c>
      <c r="BG245" s="953">
        <v>0</v>
      </c>
      <c r="BH245" s="953">
        <v>1</v>
      </c>
      <c r="BI245" s="953">
        <v>0</v>
      </c>
      <c r="BJ245" s="953"/>
      <c r="BK245" s="953"/>
      <c r="BL245" s="953"/>
      <c r="BM245" s="953"/>
      <c r="BN245" s="953"/>
      <c r="BO245" s="953"/>
      <c r="BP245" s="953"/>
      <c r="BQ245" s="953"/>
      <c r="BR245" s="953"/>
      <c r="BS245" s="953"/>
      <c r="BT245" s="953"/>
      <c r="BU245" s="953"/>
      <c r="BV245" s="953"/>
      <c r="BW245" s="953"/>
      <c r="BX245" s="953"/>
      <c r="BY245" s="953"/>
      <c r="BZ245" s="953"/>
      <c r="CA245" s="953"/>
      <c r="CB245" s="953"/>
      <c r="CC245" s="953"/>
      <c r="CD245" s="953"/>
      <c r="CE245" s="953"/>
      <c r="CF245" s="953"/>
      <c r="CG245" s="953"/>
      <c r="CH245" s="953"/>
      <c r="CI245" s="953"/>
      <c r="CJ245" s="953"/>
      <c r="CK245" s="953"/>
      <c r="CL245" s="953"/>
      <c r="CM245" s="953"/>
      <c r="CN245" s="953"/>
      <c r="CO245" s="953"/>
      <c r="CP245" s="953"/>
      <c r="CQ245" s="953"/>
      <c r="CR245" s="953"/>
      <c r="CS245" s="953"/>
      <c r="CT245" s="953"/>
      <c r="CU245" s="953"/>
      <c r="CV245" s="953"/>
      <c r="CW245" s="953"/>
      <c r="CX245" s="953"/>
      <c r="CY245" s="953"/>
      <c r="CZ245" s="953"/>
      <c r="DA245" s="953"/>
      <c r="DB245" s="953"/>
      <c r="DC245" s="953"/>
      <c r="DD245" s="953"/>
      <c r="DE245" s="476"/>
      <c r="DF245" s="22"/>
      <c r="DG245" s="20"/>
      <c r="DH245" s="16"/>
      <c r="DI245" s="16"/>
      <c r="DJ245" s="16"/>
      <c r="DK245" s="5"/>
      <c r="DL245" s="5"/>
      <c r="DM245" s="5"/>
      <c r="DN245" s="5"/>
      <c r="DO245" s="5"/>
      <c r="DP245" s="5"/>
      <c r="DQ245" s="5"/>
      <c r="DR245" s="5"/>
      <c r="DS245" s="5"/>
      <c r="DT245" s="5"/>
      <c r="DU245" s="5"/>
      <c r="DV245" s="5"/>
      <c r="DW245" s="5"/>
      <c r="DX245" s="5"/>
      <c r="DY245" s="5"/>
      <c r="EA245" s="209"/>
    </row>
    <row r="246" spans="1:131" hidden="1">
      <c r="B246" s="1023" t="s">
        <v>2019</v>
      </c>
      <c r="C246" s="723"/>
      <c r="D246" s="999"/>
      <c r="E246" s="357" t="s">
        <v>819</v>
      </c>
      <c r="F246" s="326"/>
      <c r="G246" s="357" t="s">
        <v>68</v>
      </c>
      <c r="H246" s="476"/>
      <c r="I246" s="948" t="s">
        <v>820</v>
      </c>
      <c r="J246" s="948" t="s">
        <v>820</v>
      </c>
      <c r="K246" s="948" t="s">
        <v>820</v>
      </c>
      <c r="L246" s="949" t="s">
        <v>1990</v>
      </c>
      <c r="M246" s="949" t="s">
        <v>1990</v>
      </c>
      <c r="N246" s="949" t="s">
        <v>821</v>
      </c>
      <c r="O246" s="949" t="s">
        <v>821</v>
      </c>
      <c r="P246" s="949" t="s">
        <v>822</v>
      </c>
      <c r="Q246" s="949" t="s">
        <v>1991</v>
      </c>
      <c r="R246" s="949" t="s">
        <v>1991</v>
      </c>
      <c r="S246" s="591" t="s">
        <v>1992</v>
      </c>
      <c r="T246" s="591" t="s">
        <v>823</v>
      </c>
      <c r="U246" s="591" t="s">
        <v>823</v>
      </c>
      <c r="V246" s="591" t="s">
        <v>823</v>
      </c>
      <c r="W246" s="591" t="s">
        <v>1993</v>
      </c>
      <c r="X246" s="948" t="s">
        <v>1994</v>
      </c>
      <c r="Y246" s="948" t="s">
        <v>824</v>
      </c>
      <c r="Z246" s="949" t="s">
        <v>825</v>
      </c>
      <c r="AA246" s="949" t="s">
        <v>826</v>
      </c>
      <c r="AB246" s="949" t="s">
        <v>1995</v>
      </c>
      <c r="AC246" s="949" t="s">
        <v>1995</v>
      </c>
      <c r="AD246" s="949" t="s">
        <v>827</v>
      </c>
      <c r="AE246" s="949" t="s">
        <v>828</v>
      </c>
      <c r="AF246" s="949" t="s">
        <v>828</v>
      </c>
      <c r="AG246" s="949" t="s">
        <v>1998</v>
      </c>
      <c r="AH246" s="949" t="s">
        <v>829</v>
      </c>
      <c r="AI246" s="949" t="s">
        <v>829</v>
      </c>
      <c r="AJ246" s="949" t="s">
        <v>1999</v>
      </c>
      <c r="AK246" s="591" t="s">
        <v>2000</v>
      </c>
      <c r="AL246" s="591" t="s">
        <v>2001</v>
      </c>
      <c r="AM246" s="591" t="s">
        <v>2002</v>
      </c>
      <c r="AN246" s="591" t="s">
        <v>2002</v>
      </c>
      <c r="AO246" s="591" t="s">
        <v>2002</v>
      </c>
      <c r="AP246" s="591" t="s">
        <v>2005</v>
      </c>
      <c r="AQ246" s="591" t="s">
        <v>2006</v>
      </c>
      <c r="AR246" s="591" t="s">
        <v>2006</v>
      </c>
      <c r="AS246" s="591" t="s">
        <v>830</v>
      </c>
      <c r="AT246" s="591" t="s">
        <v>830</v>
      </c>
      <c r="AU246" s="591" t="s">
        <v>2007</v>
      </c>
      <c r="AV246" s="591" t="s">
        <v>2007</v>
      </c>
      <c r="AW246" s="591" t="s">
        <v>2008</v>
      </c>
      <c r="AX246" s="591" t="s">
        <v>2008</v>
      </c>
      <c r="AY246" s="591" t="s">
        <v>2009</v>
      </c>
      <c r="AZ246" s="591" t="s">
        <v>2009</v>
      </c>
      <c r="BA246" s="591" t="s">
        <v>831</v>
      </c>
      <c r="BB246" s="591" t="s">
        <v>831</v>
      </c>
      <c r="BC246" s="591" t="s">
        <v>831</v>
      </c>
      <c r="BD246" s="591" t="s">
        <v>831</v>
      </c>
      <c r="BE246" s="591" t="s">
        <v>1984</v>
      </c>
      <c r="BF246" s="591" t="s">
        <v>1985</v>
      </c>
      <c r="BG246" s="591" t="s">
        <v>1985</v>
      </c>
      <c r="BH246" s="591" t="s">
        <v>1988</v>
      </c>
      <c r="BI246" s="591" t="s">
        <v>1989</v>
      </c>
      <c r="BJ246" s="591"/>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c r="CG246" s="591"/>
      <c r="CH246" s="591"/>
      <c r="CI246" s="591"/>
      <c r="CJ246" s="591"/>
      <c r="CK246" s="591"/>
      <c r="CL246" s="591"/>
      <c r="CM246" s="591"/>
      <c r="CN246" s="591"/>
      <c r="CO246" s="591"/>
      <c r="CP246" s="591"/>
      <c r="CQ246" s="591"/>
      <c r="CR246" s="591"/>
      <c r="CS246" s="591"/>
      <c r="CT246" s="591"/>
      <c r="CU246" s="591"/>
      <c r="CV246" s="591"/>
      <c r="CW246" s="591"/>
      <c r="CX246" s="591"/>
      <c r="CY246" s="591"/>
      <c r="CZ246" s="591"/>
      <c r="DA246" s="591"/>
      <c r="DB246" s="591"/>
      <c r="DC246" s="591"/>
      <c r="DD246" s="591"/>
      <c r="DE246" s="476"/>
      <c r="DF246" s="22"/>
      <c r="DG246" s="20"/>
      <c r="DH246" s="16"/>
      <c r="DI246" s="16"/>
      <c r="DJ246" s="16"/>
      <c r="DK246" s="5"/>
      <c r="DL246" s="5"/>
      <c r="DM246" s="5"/>
      <c r="DN246" s="5"/>
      <c r="DO246" s="5"/>
      <c r="DP246" s="5"/>
      <c r="DQ246" s="5"/>
      <c r="DR246" s="5"/>
      <c r="DS246" s="5"/>
      <c r="DT246" s="5"/>
      <c r="DU246" s="5"/>
      <c r="DV246" s="5"/>
      <c r="DW246" s="5"/>
      <c r="DX246" s="5"/>
      <c r="DY246" s="5"/>
      <c r="EA246" s="209"/>
    </row>
    <row r="247" spans="1:131" hidden="1">
      <c r="B247" s="1023" t="s">
        <v>2019</v>
      </c>
      <c r="C247" s="723"/>
      <c r="D247" s="999"/>
      <c r="E247" s="357" t="s">
        <v>832</v>
      </c>
      <c r="F247" s="326"/>
      <c r="G247" s="357" t="s">
        <v>68</v>
      </c>
      <c r="H247" s="476"/>
      <c r="I247" s="950">
        <v>0.55000000000000004</v>
      </c>
      <c r="J247" s="950">
        <v>0.12</v>
      </c>
      <c r="K247" s="950">
        <v>0.68</v>
      </c>
      <c r="L247" s="950">
        <v>0.49</v>
      </c>
      <c r="M247" s="950">
        <v>0.62</v>
      </c>
      <c r="N247" s="950">
        <v>0.84</v>
      </c>
      <c r="O247" s="950">
        <v>0.09</v>
      </c>
      <c r="P247" s="950">
        <v>0.32</v>
      </c>
      <c r="Q247" s="951">
        <v>0.37</v>
      </c>
      <c r="R247" s="951">
        <v>0.12</v>
      </c>
      <c r="S247" s="951">
        <v>0.2</v>
      </c>
      <c r="T247" s="951">
        <v>0.39</v>
      </c>
      <c r="U247" s="951">
        <v>0.69</v>
      </c>
      <c r="V247" s="951">
        <v>0.11</v>
      </c>
      <c r="W247" s="951">
        <v>0.15</v>
      </c>
      <c r="X247" s="950">
        <v>0.2</v>
      </c>
      <c r="Y247" s="950">
        <v>0.16</v>
      </c>
      <c r="Z247" s="950">
        <v>0.5</v>
      </c>
      <c r="AA247" s="950">
        <v>0.28000000000000003</v>
      </c>
      <c r="AB247" s="950">
        <v>0.25</v>
      </c>
      <c r="AC247" s="950">
        <v>0.26</v>
      </c>
      <c r="AD247" s="950">
        <v>0.66</v>
      </c>
      <c r="AE247" s="950">
        <v>0.28000000000000003</v>
      </c>
      <c r="AF247" s="950">
        <v>0.31</v>
      </c>
      <c r="AG247" s="950">
        <v>0.2</v>
      </c>
      <c r="AH247" s="950">
        <v>0.35</v>
      </c>
      <c r="AI247" s="950">
        <v>0.45</v>
      </c>
      <c r="AJ247" s="950">
        <v>0.59</v>
      </c>
      <c r="AK247" s="951">
        <v>0.16</v>
      </c>
      <c r="AL247" s="951">
        <v>0.18</v>
      </c>
      <c r="AM247" s="951">
        <v>0.05</v>
      </c>
      <c r="AN247" s="951">
        <v>0.41</v>
      </c>
      <c r="AO247" s="951">
        <v>0.69</v>
      </c>
      <c r="AP247" s="951">
        <v>0.27</v>
      </c>
      <c r="AQ247" s="951">
        <v>0.23</v>
      </c>
      <c r="AR247" s="951">
        <v>0.31</v>
      </c>
      <c r="AS247" s="951">
        <v>0.16</v>
      </c>
      <c r="AT247" s="951">
        <v>0.21</v>
      </c>
      <c r="AU247" s="951">
        <v>0.19</v>
      </c>
      <c r="AV247" s="951">
        <v>0.21</v>
      </c>
      <c r="AW247" s="951">
        <v>0.33</v>
      </c>
      <c r="AX247" s="951">
        <v>0.43</v>
      </c>
      <c r="AY247" s="951">
        <v>0.39</v>
      </c>
      <c r="AZ247" s="951">
        <v>0.53</v>
      </c>
      <c r="BA247" s="951">
        <v>0.44</v>
      </c>
      <c r="BB247" s="951">
        <v>0.56999999999999995</v>
      </c>
      <c r="BC247" s="951">
        <v>0.49</v>
      </c>
      <c r="BD247" s="951">
        <v>0.61</v>
      </c>
      <c r="BE247" s="951">
        <v>0.69</v>
      </c>
      <c r="BF247" s="951">
        <v>0.35</v>
      </c>
      <c r="BG247" s="951">
        <v>0.83</v>
      </c>
      <c r="BH247" s="951">
        <v>0.28000000000000003</v>
      </c>
      <c r="BI247" s="951">
        <v>0.12</v>
      </c>
      <c r="BJ247" s="951"/>
      <c r="BK247" s="951"/>
      <c r="BL247" s="951"/>
      <c r="BM247" s="951"/>
      <c r="BN247" s="951"/>
      <c r="BO247" s="951"/>
      <c r="BP247" s="951"/>
      <c r="BQ247" s="951"/>
      <c r="BR247" s="951"/>
      <c r="BS247" s="951"/>
      <c r="BT247" s="951"/>
      <c r="BU247" s="951"/>
      <c r="BV247" s="951"/>
      <c r="BW247" s="951"/>
      <c r="BX247" s="951"/>
      <c r="BY247" s="951"/>
      <c r="BZ247" s="951"/>
      <c r="CA247" s="951"/>
      <c r="CB247" s="951"/>
      <c r="CC247" s="951"/>
      <c r="CD247" s="951"/>
      <c r="CE247" s="951"/>
      <c r="CF247" s="951"/>
      <c r="CG247" s="951"/>
      <c r="CH247" s="951"/>
      <c r="CI247" s="951"/>
      <c r="CJ247" s="951"/>
      <c r="CK247" s="951"/>
      <c r="CL247" s="951"/>
      <c r="CM247" s="951"/>
      <c r="CN247" s="951"/>
      <c r="CO247" s="951"/>
      <c r="CP247" s="951"/>
      <c r="CQ247" s="951"/>
      <c r="CR247" s="951"/>
      <c r="CS247" s="951"/>
      <c r="CT247" s="951"/>
      <c r="CU247" s="951"/>
      <c r="CV247" s="951"/>
      <c r="CW247" s="951"/>
      <c r="CX247" s="951"/>
      <c r="CY247" s="951"/>
      <c r="CZ247" s="951"/>
      <c r="DA247" s="951"/>
      <c r="DB247" s="951"/>
      <c r="DC247" s="951"/>
      <c r="DD247" s="951"/>
      <c r="DE247" s="476"/>
      <c r="DF247" s="22"/>
      <c r="DG247" s="20"/>
      <c r="DH247" s="16"/>
      <c r="DI247" s="16"/>
      <c r="DJ247" s="16"/>
      <c r="DK247" s="5"/>
      <c r="DL247" s="5"/>
      <c r="DM247" s="5"/>
      <c r="DN247" s="5"/>
      <c r="DO247" s="5"/>
      <c r="DP247" s="5"/>
      <c r="DQ247" s="5"/>
      <c r="DR247" s="5"/>
      <c r="DS247" s="5"/>
      <c r="DT247" s="5"/>
      <c r="DU247" s="5"/>
      <c r="DV247" s="5"/>
      <c r="DW247" s="5"/>
      <c r="DX247" s="5"/>
      <c r="DY247" s="5"/>
      <c r="EA247" s="209"/>
    </row>
    <row r="248" spans="1:131" hidden="1">
      <c r="B248" s="1023" t="s">
        <v>2019</v>
      </c>
      <c r="C248" s="723"/>
      <c r="D248" s="999"/>
      <c r="E248" s="357" t="s">
        <v>833</v>
      </c>
      <c r="F248" s="326"/>
      <c r="G248" s="357" t="s">
        <v>68</v>
      </c>
      <c r="H248" s="476"/>
      <c r="I248" s="950">
        <v>0.63</v>
      </c>
      <c r="J248" s="950">
        <v>0.92</v>
      </c>
      <c r="K248" s="950">
        <v>0.61</v>
      </c>
      <c r="L248" s="950">
        <v>0.62</v>
      </c>
      <c r="M248" s="950">
        <v>0.92</v>
      </c>
      <c r="N248" s="950">
        <v>0.54</v>
      </c>
      <c r="O248" s="950">
        <v>1</v>
      </c>
      <c r="P248" s="950">
        <v>0.78</v>
      </c>
      <c r="Q248" s="951">
        <v>0.54</v>
      </c>
      <c r="R248" s="951">
        <v>0.89</v>
      </c>
      <c r="S248" s="951">
        <v>0.88</v>
      </c>
      <c r="T248" s="951">
        <v>0.7</v>
      </c>
      <c r="U248" s="951">
        <v>0.56999999999999995</v>
      </c>
      <c r="V248" s="951">
        <v>1</v>
      </c>
      <c r="W248" s="951">
        <v>0.89</v>
      </c>
      <c r="X248" s="950">
        <v>0.7</v>
      </c>
      <c r="Y248" s="950">
        <v>0.57999999999999996</v>
      </c>
      <c r="Z248" s="950">
        <v>0.65</v>
      </c>
      <c r="AA248" s="950">
        <v>0.78</v>
      </c>
      <c r="AB248" s="950">
        <v>0.78</v>
      </c>
      <c r="AC248" s="950">
        <v>0.77</v>
      </c>
      <c r="AD248" s="950">
        <v>0.49</v>
      </c>
      <c r="AE248" s="950">
        <v>0.55000000000000004</v>
      </c>
      <c r="AF248" s="950">
        <v>0.55000000000000004</v>
      </c>
      <c r="AG248" s="950">
        <v>0.82</v>
      </c>
      <c r="AH248" s="950">
        <v>0.6</v>
      </c>
      <c r="AI248" s="950">
        <v>0.6</v>
      </c>
      <c r="AJ248" s="950">
        <v>0.67</v>
      </c>
      <c r="AK248" s="951">
        <v>0.88</v>
      </c>
      <c r="AL248" s="951">
        <v>0.87</v>
      </c>
      <c r="AM248" s="951">
        <v>1</v>
      </c>
      <c r="AN248" s="951">
        <v>0.69</v>
      </c>
      <c r="AO248" s="951">
        <v>0.61</v>
      </c>
      <c r="AP248" s="951">
        <v>0.8</v>
      </c>
      <c r="AQ248" s="951">
        <v>0.73</v>
      </c>
      <c r="AR248" s="951">
        <v>0.73</v>
      </c>
      <c r="AS248" s="951">
        <v>0.81</v>
      </c>
      <c r="AT248" s="951">
        <v>0.81</v>
      </c>
      <c r="AU248" s="951">
        <v>0.79</v>
      </c>
      <c r="AV248" s="951">
        <v>0.79</v>
      </c>
      <c r="AW248" s="951">
        <v>0.47</v>
      </c>
      <c r="AX248" s="951">
        <v>0.47</v>
      </c>
      <c r="AY248" s="951">
        <v>0.68</v>
      </c>
      <c r="AZ248" s="951">
        <v>0.68</v>
      </c>
      <c r="BA248" s="951">
        <v>0.42</v>
      </c>
      <c r="BB248" s="951">
        <v>0.42</v>
      </c>
      <c r="BC248" s="951">
        <v>0.32</v>
      </c>
      <c r="BD248" s="951">
        <v>0.32</v>
      </c>
      <c r="BE248" s="951">
        <v>0.51</v>
      </c>
      <c r="BF248" s="951">
        <v>0.75</v>
      </c>
      <c r="BG248" s="951">
        <v>0</v>
      </c>
      <c r="BH248" s="951">
        <v>0.72</v>
      </c>
      <c r="BI248" s="951">
        <v>0.88</v>
      </c>
      <c r="BJ248" s="951"/>
      <c r="BK248" s="951"/>
      <c r="BL248" s="951"/>
      <c r="BM248" s="951"/>
      <c r="BN248" s="951"/>
      <c r="BO248" s="951"/>
      <c r="BP248" s="951"/>
      <c r="BQ248" s="951"/>
      <c r="BR248" s="951"/>
      <c r="BS248" s="951"/>
      <c r="BT248" s="951"/>
      <c r="BU248" s="951"/>
      <c r="BV248" s="951"/>
      <c r="BW248" s="951"/>
      <c r="BX248" s="951"/>
      <c r="BY248" s="951"/>
      <c r="BZ248" s="951"/>
      <c r="CA248" s="951"/>
      <c r="CB248" s="951"/>
      <c r="CC248" s="951"/>
      <c r="CD248" s="951"/>
      <c r="CE248" s="951"/>
      <c r="CF248" s="951"/>
      <c r="CG248" s="951"/>
      <c r="CH248" s="951"/>
      <c r="CI248" s="951"/>
      <c r="CJ248" s="951"/>
      <c r="CK248" s="951"/>
      <c r="CL248" s="951"/>
      <c r="CM248" s="951"/>
      <c r="CN248" s="951"/>
      <c r="CO248" s="951"/>
      <c r="CP248" s="951"/>
      <c r="CQ248" s="951"/>
      <c r="CR248" s="951"/>
      <c r="CS248" s="951"/>
      <c r="CT248" s="951"/>
      <c r="CU248" s="951"/>
      <c r="CV248" s="951"/>
      <c r="CW248" s="951"/>
      <c r="CX248" s="951"/>
      <c r="CY248" s="951"/>
      <c r="CZ248" s="951"/>
      <c r="DA248" s="951"/>
      <c r="DB248" s="951"/>
      <c r="DC248" s="951"/>
      <c r="DD248" s="951"/>
      <c r="DE248" s="476"/>
      <c r="DF248" s="22"/>
      <c r="DG248" s="20"/>
      <c r="DH248" s="16"/>
      <c r="DI248" s="16"/>
      <c r="DJ248" s="16"/>
      <c r="DK248" s="5"/>
      <c r="DL248" s="5"/>
      <c r="DM248" s="5"/>
      <c r="DN248" s="5"/>
      <c r="DO248" s="5"/>
      <c r="DP248" s="5"/>
      <c r="DQ248" s="5"/>
      <c r="DR248" s="5"/>
      <c r="DS248" s="5"/>
      <c r="DT248" s="5"/>
      <c r="DU248" s="5"/>
      <c r="DV248" s="5"/>
      <c r="DW248" s="5"/>
      <c r="DX248" s="5"/>
      <c r="DY248" s="5"/>
      <c r="EA248" s="209"/>
    </row>
    <row r="249" spans="1:131" hidden="1">
      <c r="B249" s="1023" t="s">
        <v>2019</v>
      </c>
      <c r="C249" s="723"/>
      <c r="D249" s="999"/>
      <c r="E249" s="357" t="s">
        <v>222</v>
      </c>
      <c r="F249" s="326"/>
      <c r="G249" s="357" t="s">
        <v>834</v>
      </c>
      <c r="H249" s="476"/>
      <c r="I249" s="950">
        <v>0.13</v>
      </c>
      <c r="J249" s="950">
        <v>0.03</v>
      </c>
      <c r="K249" s="950">
        <v>0.16</v>
      </c>
      <c r="L249" s="950">
        <v>0.17599999999999999</v>
      </c>
      <c r="M249" s="950">
        <v>1.7999999999999999E-2</v>
      </c>
      <c r="N249" s="950">
        <v>0.19</v>
      </c>
      <c r="O249" s="950">
        <v>2.1000000000000001E-2</v>
      </c>
      <c r="P249" s="950">
        <v>5.5E-2</v>
      </c>
      <c r="Q249" s="951">
        <v>0.15</v>
      </c>
      <c r="R249" s="951">
        <v>0.03</v>
      </c>
      <c r="S249" s="951">
        <v>0.04</v>
      </c>
      <c r="T249" s="951">
        <v>0.09</v>
      </c>
      <c r="U249" s="951">
        <v>0.17</v>
      </c>
      <c r="V249" s="951">
        <v>0.03</v>
      </c>
      <c r="W249" s="951">
        <v>2.5999999999999999E-2</v>
      </c>
      <c r="X249" s="950">
        <v>4.5999999999999999E-2</v>
      </c>
      <c r="Y249" s="950">
        <v>0.17</v>
      </c>
      <c r="Z249" s="950">
        <v>0.1</v>
      </c>
      <c r="AA249" s="950">
        <v>7.0000000000000007E-2</v>
      </c>
      <c r="AB249" s="950">
        <v>0.05</v>
      </c>
      <c r="AC249" s="950">
        <v>0.05</v>
      </c>
      <c r="AD249" s="950">
        <v>0.107</v>
      </c>
      <c r="AE249" s="950">
        <v>6.2E-2</v>
      </c>
      <c r="AF249" s="950">
        <v>6.8000000000000005E-2</v>
      </c>
      <c r="AG249" s="950">
        <v>3.5999999999999997E-2</v>
      </c>
      <c r="AH249" s="950">
        <v>6.8000000000000005E-2</v>
      </c>
      <c r="AI249" s="950">
        <v>0.09</v>
      </c>
      <c r="AJ249" s="950">
        <v>0.11</v>
      </c>
      <c r="AK249" s="951">
        <v>3.5999999999999997E-2</v>
      </c>
      <c r="AL249" s="951">
        <v>0.04</v>
      </c>
      <c r="AM249" s="951">
        <v>0.01</v>
      </c>
      <c r="AN249" s="951">
        <v>0.09</v>
      </c>
      <c r="AO249" s="951">
        <v>0.15</v>
      </c>
      <c r="AP249" s="951">
        <v>0.06</v>
      </c>
      <c r="AQ249" s="951">
        <v>0.17</v>
      </c>
      <c r="AR249" s="951">
        <v>0.17</v>
      </c>
      <c r="AS249" s="951">
        <v>0.17</v>
      </c>
      <c r="AT249" s="951">
        <v>0.17</v>
      </c>
      <c r="AU249" s="951">
        <v>0.17</v>
      </c>
      <c r="AV249" s="951">
        <v>0.17</v>
      </c>
      <c r="AW249" s="951">
        <v>8.2000000000000003E-2</v>
      </c>
      <c r="AX249" s="951">
        <v>8.2000000000000003E-2</v>
      </c>
      <c r="AY249" s="951">
        <v>0.08</v>
      </c>
      <c r="AZ249" s="951">
        <v>0.1</v>
      </c>
      <c r="BA249" s="951">
        <v>0.17</v>
      </c>
      <c r="BB249" s="951">
        <v>0.17</v>
      </c>
      <c r="BC249" s="951">
        <v>0.17</v>
      </c>
      <c r="BD249" s="951">
        <v>0.17</v>
      </c>
      <c r="BE249" s="951">
        <v>0.13</v>
      </c>
      <c r="BF249" s="951">
        <v>6.4000000000000001E-2</v>
      </c>
      <c r="BG249" s="951">
        <v>0.111</v>
      </c>
      <c r="BH249" s="951">
        <v>0.05</v>
      </c>
      <c r="BI249" s="951">
        <v>2.8000000000000001E-2</v>
      </c>
      <c r="BJ249" s="951"/>
      <c r="BK249" s="951"/>
      <c r="BL249" s="951"/>
      <c r="BM249" s="951"/>
      <c r="BN249" s="951"/>
      <c r="BO249" s="951"/>
      <c r="BP249" s="951"/>
      <c r="BQ249" s="951"/>
      <c r="BR249" s="951"/>
      <c r="BS249" s="951"/>
      <c r="BT249" s="951"/>
      <c r="BU249" s="951"/>
      <c r="BV249" s="951"/>
      <c r="BW249" s="951"/>
      <c r="BX249" s="951"/>
      <c r="BY249" s="951"/>
      <c r="BZ249" s="951"/>
      <c r="CA249" s="951"/>
      <c r="CB249" s="951"/>
      <c r="CC249" s="951"/>
      <c r="CD249" s="951"/>
      <c r="CE249" s="951"/>
      <c r="CF249" s="951"/>
      <c r="CG249" s="951"/>
      <c r="CH249" s="951"/>
      <c r="CI249" s="951"/>
      <c r="CJ249" s="951"/>
      <c r="CK249" s="951"/>
      <c r="CL249" s="951"/>
      <c r="CM249" s="951"/>
      <c r="CN249" s="951"/>
      <c r="CO249" s="951"/>
      <c r="CP249" s="951"/>
      <c r="CQ249" s="951"/>
      <c r="CR249" s="951"/>
      <c r="CS249" s="951"/>
      <c r="CT249" s="951"/>
      <c r="CU249" s="951"/>
      <c r="CV249" s="951"/>
      <c r="CW249" s="951"/>
      <c r="CX249" s="951"/>
      <c r="CY249" s="951"/>
      <c r="CZ249" s="951"/>
      <c r="DA249" s="951"/>
      <c r="DB249" s="951"/>
      <c r="DC249" s="951"/>
      <c r="DD249" s="951"/>
      <c r="DE249" s="476"/>
      <c r="DF249" s="22"/>
      <c r="DG249" s="20"/>
      <c r="DH249" s="16"/>
      <c r="DI249" s="16"/>
      <c r="DJ249" s="16"/>
      <c r="DK249" s="5"/>
      <c r="DL249" s="5"/>
      <c r="DM249" s="5"/>
      <c r="DN249" s="5"/>
      <c r="DO249" s="5"/>
      <c r="DP249" s="5"/>
      <c r="DQ249" s="5"/>
      <c r="DR249" s="5"/>
      <c r="DS249" s="5"/>
      <c r="DT249" s="5"/>
      <c r="DU249" s="5"/>
      <c r="DV249" s="5"/>
      <c r="DW249" s="5"/>
      <c r="DX249" s="5"/>
      <c r="DY249" s="5"/>
      <c r="EA249" s="209"/>
    </row>
    <row r="250" spans="1:131" hidden="1">
      <c r="B250" s="1023" t="s">
        <v>2019</v>
      </c>
      <c r="C250" s="723"/>
      <c r="D250" s="999"/>
      <c r="E250" s="357" t="s">
        <v>1975</v>
      </c>
      <c r="F250" s="326"/>
      <c r="G250" s="357" t="s">
        <v>68</v>
      </c>
      <c r="H250" s="476"/>
      <c r="I250" s="1083" t="str">
        <f>LEFT(I$246,4)</f>
        <v>2021</v>
      </c>
      <c r="J250" s="1083" t="str">
        <f t="shared" ref="J250:BI250" si="69">LEFT(J$246,4)</f>
        <v>2021</v>
      </c>
      <c r="K250" s="1083" t="str">
        <f t="shared" si="69"/>
        <v>2021</v>
      </c>
      <c r="L250" s="1083" t="str">
        <f t="shared" si="69"/>
        <v>2024</v>
      </c>
      <c r="M250" s="1083" t="str">
        <f t="shared" si="69"/>
        <v>2024</v>
      </c>
      <c r="N250" s="1083" t="str">
        <f t="shared" si="69"/>
        <v>2021</v>
      </c>
      <c r="O250" s="1083" t="str">
        <f t="shared" si="69"/>
        <v>2021</v>
      </c>
      <c r="P250" s="1083" t="str">
        <f t="shared" si="69"/>
        <v>2021</v>
      </c>
      <c r="Q250" s="1083" t="str">
        <f t="shared" si="69"/>
        <v>2022</v>
      </c>
      <c r="R250" s="1083" t="str">
        <f t="shared" si="69"/>
        <v>2022</v>
      </c>
      <c r="S250" s="1083" t="str">
        <f t="shared" si="69"/>
        <v>2021</v>
      </c>
      <c r="T250" s="1083" t="str">
        <f t="shared" si="69"/>
        <v>2021</v>
      </c>
      <c r="U250" s="1083" t="str">
        <f t="shared" si="69"/>
        <v>2021</v>
      </c>
      <c r="V250" s="1083" t="str">
        <f t="shared" si="69"/>
        <v>2021</v>
      </c>
      <c r="W250" s="1083" t="str">
        <f t="shared" si="69"/>
        <v>2024</v>
      </c>
      <c r="X250" s="1083" t="str">
        <f t="shared" si="69"/>
        <v>2025</v>
      </c>
      <c r="Y250" s="1083" t="str">
        <f t="shared" si="69"/>
        <v>2021</v>
      </c>
      <c r="Z250" s="1083" t="str">
        <f t="shared" si="69"/>
        <v>2021</v>
      </c>
      <c r="AA250" s="1083" t="str">
        <f t="shared" si="69"/>
        <v>2021</v>
      </c>
      <c r="AB250" s="1083" t="str">
        <f t="shared" si="69"/>
        <v>2024</v>
      </c>
      <c r="AC250" s="1083" t="str">
        <f t="shared" si="69"/>
        <v>2024</v>
      </c>
      <c r="AD250" s="1083" t="str">
        <f t="shared" si="69"/>
        <v>2021</v>
      </c>
      <c r="AE250" s="1083" t="str">
        <f t="shared" si="69"/>
        <v>2020</v>
      </c>
      <c r="AF250" s="1083" t="str">
        <f t="shared" si="69"/>
        <v>2020</v>
      </c>
      <c r="AG250" s="1083" t="str">
        <f t="shared" si="69"/>
        <v>2022</v>
      </c>
      <c r="AH250" s="1083" t="str">
        <f t="shared" si="69"/>
        <v>2020</v>
      </c>
      <c r="AI250" s="1083" t="str">
        <f t="shared" si="69"/>
        <v>2020</v>
      </c>
      <c r="AJ250" s="1083" t="str">
        <f t="shared" si="69"/>
        <v>2022</v>
      </c>
      <c r="AK250" s="1083" t="str">
        <f t="shared" si="69"/>
        <v>2024</v>
      </c>
      <c r="AL250" s="1083" t="str">
        <f t="shared" si="69"/>
        <v>2023</v>
      </c>
      <c r="AM250" s="1083" t="str">
        <f t="shared" si="69"/>
        <v>2022</v>
      </c>
      <c r="AN250" s="1083" t="str">
        <f t="shared" si="69"/>
        <v>2022</v>
      </c>
      <c r="AO250" s="1083" t="str">
        <f t="shared" si="69"/>
        <v>2022</v>
      </c>
      <c r="AP250" s="1083" t="str">
        <f t="shared" si="69"/>
        <v>2023</v>
      </c>
      <c r="AQ250" s="1083" t="str">
        <f t="shared" si="69"/>
        <v>2022</v>
      </c>
      <c r="AR250" s="1083" t="str">
        <f t="shared" si="69"/>
        <v>2022</v>
      </c>
      <c r="AS250" s="1083" t="str">
        <f t="shared" si="69"/>
        <v>2020</v>
      </c>
      <c r="AT250" s="1083" t="str">
        <f t="shared" si="69"/>
        <v>2020</v>
      </c>
      <c r="AU250" s="1083" t="str">
        <f t="shared" si="69"/>
        <v>2022</v>
      </c>
      <c r="AV250" s="1083" t="str">
        <f t="shared" si="69"/>
        <v>2022</v>
      </c>
      <c r="AW250" s="1083" t="str">
        <f t="shared" si="69"/>
        <v>2024</v>
      </c>
      <c r="AX250" s="1083" t="str">
        <f t="shared" si="69"/>
        <v>2024</v>
      </c>
      <c r="AY250" s="1083" t="str">
        <f t="shared" si="69"/>
        <v>2023</v>
      </c>
      <c r="AZ250" s="1083" t="str">
        <f t="shared" si="69"/>
        <v>2023</v>
      </c>
      <c r="BA250" s="1083" t="str">
        <f t="shared" si="69"/>
        <v>2020</v>
      </c>
      <c r="BB250" s="1083" t="str">
        <f t="shared" si="69"/>
        <v>2020</v>
      </c>
      <c r="BC250" s="1083" t="str">
        <f t="shared" si="69"/>
        <v>2020</v>
      </c>
      <c r="BD250" s="1083" t="str">
        <f t="shared" si="69"/>
        <v>2020</v>
      </c>
      <c r="BE250" s="1083" t="str">
        <f t="shared" si="69"/>
        <v>2022</v>
      </c>
      <c r="BF250" s="1083" t="str">
        <f t="shared" si="69"/>
        <v>2021</v>
      </c>
      <c r="BG250" s="1083" t="str">
        <f t="shared" si="69"/>
        <v>2021</v>
      </c>
      <c r="BH250" s="1083" t="str">
        <f t="shared" si="69"/>
        <v>2023</v>
      </c>
      <c r="BI250" s="1083" t="str">
        <f t="shared" si="69"/>
        <v>2025</v>
      </c>
      <c r="BJ250" s="1084"/>
      <c r="BK250" s="1084"/>
      <c r="BL250" s="1084"/>
      <c r="BM250" s="1084"/>
      <c r="BN250" s="1084"/>
      <c r="BO250" s="1084"/>
      <c r="BP250" s="1084"/>
      <c r="BQ250" s="1084"/>
      <c r="BR250" s="1084"/>
      <c r="BS250" s="1084"/>
      <c r="BT250" s="1084"/>
      <c r="BU250" s="1084"/>
      <c r="BV250" s="1084"/>
      <c r="BW250" s="1084"/>
      <c r="BX250" s="1084"/>
      <c r="BY250" s="1084"/>
      <c r="BZ250" s="1084"/>
      <c r="CA250" s="1084"/>
      <c r="CB250" s="1084"/>
      <c r="CC250" s="1084"/>
      <c r="CD250" s="1084"/>
      <c r="CE250" s="1084"/>
      <c r="CF250" s="1084"/>
      <c r="CG250" s="1084"/>
      <c r="CH250" s="1084"/>
      <c r="CI250" s="1084"/>
      <c r="CJ250" s="1084"/>
      <c r="CK250" s="1084"/>
      <c r="CL250" s="1084"/>
      <c r="CM250" s="1084"/>
      <c r="CN250" s="1084"/>
      <c r="CO250" s="1084"/>
      <c r="CP250" s="1084"/>
      <c r="CQ250" s="1084"/>
      <c r="CR250" s="1084"/>
      <c r="CS250" s="1084"/>
      <c r="CT250" s="1084"/>
      <c r="CU250" s="1084"/>
      <c r="CV250" s="1084"/>
      <c r="CW250" s="1084"/>
      <c r="CX250" s="1084"/>
      <c r="CY250" s="1084"/>
      <c r="CZ250" s="1084"/>
      <c r="DA250" s="1084"/>
      <c r="DB250" s="1084"/>
      <c r="DC250" s="1084"/>
      <c r="DD250" s="1084"/>
      <c r="DE250" s="476"/>
      <c r="DF250" s="22"/>
      <c r="DG250" s="20"/>
      <c r="DH250" s="16"/>
      <c r="DI250" s="16"/>
      <c r="DJ250" s="16"/>
      <c r="DK250" s="5"/>
      <c r="DL250" s="5"/>
      <c r="DM250" s="5"/>
      <c r="DN250" s="5"/>
      <c r="DO250" s="5"/>
      <c r="DP250" s="5"/>
      <c r="DQ250" s="5"/>
      <c r="DR250" s="5"/>
      <c r="DS250" s="5"/>
      <c r="DT250" s="5"/>
      <c r="DU250" s="5"/>
      <c r="DV250" s="5"/>
      <c r="DW250" s="5"/>
      <c r="DX250" s="5"/>
      <c r="DY250" s="5"/>
      <c r="EA250" s="209"/>
    </row>
    <row r="251" spans="1:131" s="2" customFormat="1" hidden="1">
      <c r="A251" s="309"/>
      <c r="B251" s="1023" t="s">
        <v>2019</v>
      </c>
      <c r="C251" s="723"/>
      <c r="D251" s="1002"/>
      <c r="E251" s="1100" t="s">
        <v>835</v>
      </c>
      <c r="F251" s="471"/>
      <c r="G251" s="460"/>
      <c r="H251" s="459"/>
      <c r="I251" s="1099" t="str">
        <f t="shared" ref="I251:O251" si="70">HYPERLINK(_xlfn.CONCAT("https://mijn.bcrg.nl/media/documents/",LEFT(I246,4),"/GK/",I246,".pdf"),I246)</f>
        <v>20210502GK</v>
      </c>
      <c r="J251" s="1099" t="str">
        <f t="shared" si="70"/>
        <v>20210502GK</v>
      </c>
      <c r="K251" s="1099" t="str">
        <f t="shared" si="70"/>
        <v>20210502GK</v>
      </c>
      <c r="L251" s="1099" t="str">
        <f t="shared" si="70"/>
        <v>20240129GK</v>
      </c>
      <c r="M251" s="1099" t="str">
        <f t="shared" si="70"/>
        <v>20240129GK</v>
      </c>
      <c r="N251" s="1099" t="str">
        <f t="shared" si="70"/>
        <v>20210474GK</v>
      </c>
      <c r="O251" s="1099" t="str">
        <f t="shared" si="70"/>
        <v>20210474GK</v>
      </c>
      <c r="P251" s="1099" t="str">
        <f t="shared" ref="P251:BI251" si="71">HYPERLINK(_xlfn.CONCAT("https://mijn.bcrg.nl/media/documents/",LEFT(P246,4),"/GK/",P246,".pdf"),P246)</f>
        <v>20210403GK</v>
      </c>
      <c r="Q251" s="1099" t="str">
        <f t="shared" si="71"/>
        <v>20220183GK</v>
      </c>
      <c r="R251" s="1099" t="str">
        <f t="shared" si="71"/>
        <v>20220183GK</v>
      </c>
      <c r="S251" s="1099" t="str">
        <f t="shared" si="71"/>
        <v>20210574GK</v>
      </c>
      <c r="T251" s="1099" t="str">
        <f t="shared" si="71"/>
        <v>20210313GK</v>
      </c>
      <c r="U251" s="1099" t="str">
        <f t="shared" si="71"/>
        <v>20210313GK</v>
      </c>
      <c r="V251" s="1099" t="str">
        <f t="shared" si="71"/>
        <v>20210313GK</v>
      </c>
      <c r="W251" s="1099" t="str">
        <f t="shared" si="71"/>
        <v>20240242GK</v>
      </c>
      <c r="X251" s="1099" t="str">
        <f t="shared" si="71"/>
        <v>20250074GK</v>
      </c>
      <c r="Y251" s="1099" t="str">
        <f t="shared" si="71"/>
        <v>20210282GK</v>
      </c>
      <c r="Z251" s="1099" t="str">
        <f t="shared" si="71"/>
        <v>20210202GK</v>
      </c>
      <c r="AA251" s="1099" t="str">
        <f t="shared" si="71"/>
        <v>20210124GK</v>
      </c>
      <c r="AB251" s="1099" t="str">
        <f t="shared" si="71"/>
        <v>20240308GK</v>
      </c>
      <c r="AC251" s="1099" t="str">
        <f t="shared" si="71"/>
        <v>20240308GK</v>
      </c>
      <c r="AD251" s="1099" t="str">
        <f t="shared" si="71"/>
        <v>20210002GK</v>
      </c>
      <c r="AE251" s="1099" t="str">
        <f t="shared" si="71"/>
        <v>20201882GK</v>
      </c>
      <c r="AF251" s="1099" t="str">
        <f t="shared" si="71"/>
        <v>20201882GK</v>
      </c>
      <c r="AG251" s="1099" t="str">
        <f t="shared" si="71"/>
        <v>20220307GK</v>
      </c>
      <c r="AH251" s="1099" t="str">
        <f t="shared" si="71"/>
        <v>20201880GK</v>
      </c>
      <c r="AI251" s="1099" t="str">
        <f t="shared" si="71"/>
        <v>20201880GK</v>
      </c>
      <c r="AJ251" s="1099" t="str">
        <f t="shared" si="71"/>
        <v>20220291GK</v>
      </c>
      <c r="AK251" s="1099" t="str">
        <f t="shared" si="71"/>
        <v>20240216GK</v>
      </c>
      <c r="AL251" s="1099" t="str">
        <f t="shared" si="71"/>
        <v>20230105GK</v>
      </c>
      <c r="AM251" s="1099" t="str">
        <f t="shared" si="71"/>
        <v>20220326GK</v>
      </c>
      <c r="AN251" s="1099" t="str">
        <f t="shared" si="71"/>
        <v>20220326GK</v>
      </c>
      <c r="AO251" s="1099" t="str">
        <f t="shared" si="71"/>
        <v>20220326GK</v>
      </c>
      <c r="AP251" s="1099" t="str">
        <f t="shared" si="71"/>
        <v>20230220GK</v>
      </c>
      <c r="AQ251" s="1099" t="str">
        <f t="shared" si="71"/>
        <v>20220295GK</v>
      </c>
      <c r="AR251" s="1099" t="str">
        <f t="shared" si="71"/>
        <v>20220295GK</v>
      </c>
      <c r="AS251" s="1099" t="str">
        <f t="shared" si="71"/>
        <v>20201670GK</v>
      </c>
      <c r="AT251" s="1099" t="str">
        <f t="shared" si="71"/>
        <v>20201670GK</v>
      </c>
      <c r="AU251" s="1099" t="str">
        <f t="shared" si="71"/>
        <v>20220337GK</v>
      </c>
      <c r="AV251" s="1099" t="str">
        <f t="shared" si="71"/>
        <v>20220337GK</v>
      </c>
      <c r="AW251" s="1099" t="str">
        <f t="shared" si="71"/>
        <v>20240131GK</v>
      </c>
      <c r="AX251" s="1099" t="str">
        <f t="shared" si="71"/>
        <v>20240131GK</v>
      </c>
      <c r="AY251" s="1099" t="str">
        <f t="shared" si="71"/>
        <v>20230167GK</v>
      </c>
      <c r="AZ251" s="1099" t="str">
        <f t="shared" si="71"/>
        <v>20230167GK</v>
      </c>
      <c r="BA251" s="1099" t="str">
        <f t="shared" si="71"/>
        <v>20201595GK</v>
      </c>
      <c r="BB251" s="1099" t="str">
        <f t="shared" si="71"/>
        <v>20201595GK</v>
      </c>
      <c r="BC251" s="1099" t="str">
        <f t="shared" si="71"/>
        <v>20201595GK</v>
      </c>
      <c r="BD251" s="1099" t="str">
        <f t="shared" si="71"/>
        <v>20201595GK</v>
      </c>
      <c r="BE251" s="1099" t="str">
        <f t="shared" si="71"/>
        <v>20220229GK</v>
      </c>
      <c r="BF251" s="1099" t="str">
        <f t="shared" si="71"/>
        <v>20210624GK</v>
      </c>
      <c r="BG251" s="1099" t="str">
        <f t="shared" si="71"/>
        <v>20210624GK</v>
      </c>
      <c r="BH251" s="1099" t="str">
        <f t="shared" si="71"/>
        <v>20230156GK</v>
      </c>
      <c r="BI251" s="1099" t="str">
        <f t="shared" si="71"/>
        <v>20250072GK</v>
      </c>
      <c r="BJ251" s="457"/>
      <c r="BK251" s="457"/>
      <c r="BL251" s="457"/>
      <c r="BM251" s="457"/>
      <c r="BN251" s="457"/>
      <c r="BO251" s="457"/>
      <c r="BP251" s="457"/>
      <c r="BQ251" s="457"/>
      <c r="BR251" s="457"/>
      <c r="BS251" s="457"/>
      <c r="BT251" s="457"/>
      <c r="BU251" s="457"/>
      <c r="BV251" s="457"/>
      <c r="BW251" s="457"/>
      <c r="BX251" s="457"/>
      <c r="BY251" s="457"/>
      <c r="BZ251" s="457"/>
      <c r="CA251" s="457"/>
      <c r="CB251" s="457"/>
      <c r="CC251" s="457"/>
      <c r="CD251" s="457"/>
      <c r="CE251" s="457"/>
      <c r="CF251" s="457"/>
      <c r="CG251" s="457"/>
      <c r="CH251" s="457"/>
      <c r="CI251" s="457"/>
      <c r="CJ251" s="457"/>
      <c r="CK251" s="457"/>
      <c r="CL251" s="457"/>
      <c r="CM251" s="457"/>
      <c r="CN251" s="457"/>
      <c r="CO251" s="457"/>
      <c r="CP251" s="457"/>
      <c r="CQ251" s="457"/>
      <c r="CR251" s="457"/>
      <c r="CS251" s="457"/>
      <c r="CT251" s="457"/>
      <c r="CU251" s="457"/>
      <c r="CV251" s="457"/>
      <c r="CW251" s="457"/>
      <c r="CX251" s="457"/>
      <c r="CY251" s="457"/>
      <c r="CZ251" s="457"/>
      <c r="DA251" s="457"/>
      <c r="DB251" s="457"/>
      <c r="DC251" s="457"/>
      <c r="DD251" s="457"/>
      <c r="DE251" s="457"/>
    </row>
    <row r="252" spans="1:131" hidden="1">
      <c r="B252" s="1023" t="s">
        <v>2019</v>
      </c>
      <c r="C252" s="723"/>
      <c r="D252" s="999"/>
      <c r="E252" s="5"/>
      <c r="F252" s="5"/>
      <c r="G252" s="5"/>
      <c r="H252" s="5"/>
      <c r="I252" s="5"/>
      <c r="J252" s="5"/>
      <c r="K252" s="5"/>
      <c r="L252" s="5"/>
      <c r="M252" s="5"/>
      <c r="N252" s="5"/>
      <c r="O252" s="5"/>
      <c r="P252" s="5"/>
      <c r="Q252" s="5"/>
      <c r="R252" s="5"/>
      <c r="S252" s="5"/>
      <c r="T252" s="5"/>
      <c r="U252" s="16"/>
      <c r="V252" s="16"/>
      <c r="W252" s="16"/>
      <c r="X252" s="16"/>
      <c r="Y252" s="20"/>
      <c r="Z252" s="5"/>
      <c r="AA252" s="5"/>
      <c r="AB252" s="5"/>
      <c r="AC252" s="5"/>
      <c r="AD252" s="5"/>
      <c r="AE252" s="5"/>
      <c r="AF252" s="5"/>
      <c r="AG252" s="5"/>
      <c r="AH252" s="5"/>
      <c r="AI252" s="5"/>
      <c r="AJ252" s="5"/>
      <c r="AK252" s="5"/>
      <c r="AL252" s="5"/>
      <c r="AM252" s="5"/>
      <c r="AN252" s="5"/>
      <c r="AO252" s="5"/>
      <c r="AP252" s="5"/>
      <c r="AQ252" s="5"/>
      <c r="AR252" s="5"/>
      <c r="AS252" s="22"/>
    </row>
    <row r="253" spans="1:131" hidden="1">
      <c r="B253" s="1023" t="s">
        <v>836</v>
      </c>
      <c r="C253" s="723"/>
      <c r="D253" s="999"/>
      <c r="E253" s="5"/>
      <c r="F253" s="5"/>
      <c r="G253" s="5"/>
      <c r="H253" s="5"/>
      <c r="I253" s="5"/>
      <c r="J253" s="5"/>
      <c r="K253" s="5"/>
      <c r="L253" s="5"/>
      <c r="M253" s="5"/>
      <c r="N253" s="5"/>
      <c r="O253" s="5"/>
      <c r="P253" s="5"/>
      <c r="Q253" s="5"/>
      <c r="R253" s="5"/>
      <c r="S253" s="5"/>
      <c r="T253" s="5"/>
      <c r="U253" s="16"/>
      <c r="V253" s="16"/>
      <c r="W253" s="16"/>
      <c r="X253" s="16"/>
      <c r="Y253" s="20"/>
      <c r="Z253" s="5"/>
      <c r="AA253" s="5"/>
      <c r="AB253" s="5"/>
      <c r="AC253" s="5"/>
      <c r="AD253" s="5"/>
      <c r="AE253" s="5"/>
      <c r="AF253" s="5"/>
      <c r="AG253" s="5"/>
      <c r="AH253" s="5"/>
      <c r="AI253" s="5"/>
      <c r="AJ253" s="5"/>
      <c r="AK253" s="5"/>
      <c r="AL253" s="5"/>
      <c r="AM253" s="5"/>
      <c r="AN253" s="5"/>
      <c r="AO253" s="5"/>
      <c r="AP253" s="5"/>
      <c r="AQ253" s="5"/>
      <c r="AR253" s="5"/>
      <c r="AS253" s="22"/>
    </row>
    <row r="254" spans="1:131" ht="21" hidden="1">
      <c r="B254" s="1023" t="s">
        <v>836</v>
      </c>
      <c r="C254" s="723"/>
      <c r="D254" s="999"/>
      <c r="E254" s="215" t="s">
        <v>837</v>
      </c>
      <c r="F254" s="215"/>
      <c r="G254" s="215"/>
      <c r="H254" s="215"/>
      <c r="I254" s="215"/>
      <c r="J254" s="215"/>
      <c r="K254" s="215"/>
      <c r="L254" s="215"/>
      <c r="M254" s="215"/>
      <c r="N254" s="215"/>
      <c r="O254" s="215"/>
      <c r="P254" s="215"/>
      <c r="Q254" s="215"/>
      <c r="R254" s="215"/>
      <c r="S254" s="215"/>
      <c r="T254" s="61"/>
      <c r="U254" s="61"/>
      <c r="V254" s="61"/>
      <c r="W254" s="61"/>
      <c r="X254" s="61"/>
      <c r="Y254" s="61"/>
      <c r="Z254" s="5"/>
      <c r="AA254" s="20"/>
      <c r="AB254" s="5"/>
      <c r="AC254" s="5"/>
      <c r="AD254" s="5"/>
      <c r="AE254" s="5"/>
      <c r="AF254" s="5"/>
      <c r="AG254" s="5"/>
      <c r="AH254" s="5"/>
      <c r="AI254" s="5"/>
      <c r="AJ254" s="5"/>
      <c r="AK254" s="5"/>
      <c r="AL254" s="5"/>
      <c r="AM254" s="5"/>
      <c r="AN254" s="5"/>
      <c r="AO254" s="5"/>
      <c r="AP254" s="5"/>
      <c r="AQ254" s="5"/>
      <c r="AR254" s="5"/>
      <c r="AS254" s="437"/>
      <c r="AT254" s="5"/>
      <c r="AU254" s="209"/>
      <c r="AX254" s="274"/>
    </row>
    <row r="255" spans="1:131" hidden="1">
      <c r="B255" s="1023" t="s">
        <v>836</v>
      </c>
      <c r="C255" s="723"/>
      <c r="D255" s="1000"/>
      <c r="E255" s="299" t="s">
        <v>483</v>
      </c>
      <c r="F255" s="299"/>
      <c r="G255" s="299" t="s">
        <v>420</v>
      </c>
      <c r="H255" s="300"/>
      <c r="I255" s="300">
        <f t="shared" ref="I255:R255" ca="1" si="72">OFFSET(I255,0,-1)+1</f>
        <v>1</v>
      </c>
      <c r="J255" s="300">
        <f t="shared" ca="1" si="72"/>
        <v>2</v>
      </c>
      <c r="K255" s="300">
        <f t="shared" ca="1" si="72"/>
        <v>3</v>
      </c>
      <c r="L255" s="300">
        <f t="shared" ca="1" si="72"/>
        <v>4</v>
      </c>
      <c r="M255" s="300">
        <f t="shared" ca="1" si="72"/>
        <v>5</v>
      </c>
      <c r="N255" s="300">
        <f t="shared" ca="1" si="72"/>
        <v>6</v>
      </c>
      <c r="O255" s="300">
        <f t="shared" ca="1" si="72"/>
        <v>7</v>
      </c>
      <c r="P255" s="300">
        <f t="shared" ca="1" si="72"/>
        <v>8</v>
      </c>
      <c r="Q255" s="300">
        <f t="shared" ca="1" si="72"/>
        <v>9</v>
      </c>
      <c r="R255" s="300">
        <f t="shared" ca="1" si="72"/>
        <v>10</v>
      </c>
      <c r="S255" s="300"/>
      <c r="T255" s="61"/>
      <c r="U255" s="61"/>
      <c r="V255" s="61"/>
      <c r="W255" s="61"/>
      <c r="X255" s="61"/>
      <c r="Y255" s="61"/>
      <c r="Z255" s="61"/>
      <c r="AA255" s="60"/>
      <c r="AB255" s="5"/>
      <c r="AC255" s="5"/>
      <c r="AD255" s="5"/>
      <c r="AE255" s="5"/>
      <c r="AF255" s="5"/>
      <c r="AG255" s="5"/>
      <c r="AH255" s="5"/>
      <c r="AI255" s="5"/>
      <c r="AJ255" s="5"/>
      <c r="AK255" s="5"/>
      <c r="AL255" s="5"/>
      <c r="AM255" s="5"/>
      <c r="AN255" s="5"/>
      <c r="AO255" s="5"/>
      <c r="AP255" s="5"/>
      <c r="AQ255" s="5"/>
      <c r="AR255" s="5"/>
      <c r="AS255" s="5"/>
      <c r="AT255" s="5"/>
      <c r="AU255" s="209"/>
      <c r="AX255" s="274"/>
    </row>
    <row r="256" spans="1:131" s="2" customFormat="1" ht="18.75" hidden="1">
      <c r="A256" s="309"/>
      <c r="B256" s="1023" t="s">
        <v>836</v>
      </c>
      <c r="C256" s="723"/>
      <c r="D256" s="1004"/>
      <c r="E256" s="382" t="s">
        <v>838</v>
      </c>
      <c r="F256" s="383"/>
      <c r="G256" s="382"/>
      <c r="H256" s="384"/>
      <c r="I256" s="385"/>
      <c r="J256" s="384"/>
      <c r="K256" s="9"/>
      <c r="L256" s="684"/>
      <c r="M256" s="684" t="s">
        <v>761</v>
      </c>
      <c r="N256" s="684" t="s">
        <v>761</v>
      </c>
      <c r="O256" s="684" t="s">
        <v>761</v>
      </c>
      <c r="P256" s="684" t="s">
        <v>761</v>
      </c>
      <c r="Q256" s="684" t="s">
        <v>761</v>
      </c>
      <c r="R256" s="684" t="s">
        <v>761</v>
      </c>
      <c r="S256" s="4"/>
      <c r="T256" s="4"/>
      <c r="AC256" s="4"/>
      <c r="AD256" s="8"/>
      <c r="AE256" s="4"/>
      <c r="AF256" s="4"/>
      <c r="AG256" s="4"/>
      <c r="AH256" s="4"/>
      <c r="AI256" s="4"/>
      <c r="AJ256" s="4"/>
      <c r="AK256" s="4"/>
      <c r="AL256" s="4"/>
      <c r="AM256" s="4"/>
      <c r="AN256" s="4"/>
      <c r="AO256" s="4"/>
      <c r="AP256" s="4"/>
      <c r="AQ256" s="4"/>
      <c r="AR256" s="4"/>
      <c r="AS256" s="4"/>
      <c r="AT256" s="4"/>
      <c r="AU256" s="4"/>
      <c r="AV256" s="4"/>
      <c r="AW256" s="4"/>
      <c r="AX256" s="22"/>
    </row>
    <row r="257" spans="1:50" hidden="1">
      <c r="B257" s="1023" t="s">
        <v>836</v>
      </c>
      <c r="C257" s="723"/>
      <c r="D257" s="1000"/>
      <c r="E257" s="220" t="s">
        <v>839</v>
      </c>
      <c r="F257" s="328"/>
      <c r="G257" s="220" t="s">
        <v>68</v>
      </c>
      <c r="H257" s="398"/>
      <c r="I257" s="399" t="s">
        <v>97</v>
      </c>
      <c r="J257" s="333" t="s">
        <v>840</v>
      </c>
      <c r="K257" s="333" t="s">
        <v>1052</v>
      </c>
      <c r="L257" s="593"/>
      <c r="M257" s="593"/>
      <c r="N257" s="593"/>
      <c r="O257" s="593"/>
      <c r="P257" s="593"/>
      <c r="Q257" s="593"/>
      <c r="R257" s="593"/>
      <c r="S257" s="398"/>
      <c r="T257" s="20"/>
      <c r="U257" s="24"/>
      <c r="V257" s="24"/>
      <c r="W257" s="24"/>
      <c r="X257" s="16"/>
      <c r="Y257" s="16"/>
      <c r="Z257" s="16"/>
      <c r="AA257" s="20"/>
      <c r="AB257" s="16"/>
      <c r="AC257" s="16"/>
      <c r="AD257" s="16"/>
      <c r="AE257" s="16"/>
      <c r="AF257" s="16"/>
      <c r="AG257" s="5"/>
      <c r="AH257" s="5"/>
      <c r="AI257" s="5"/>
      <c r="AJ257" s="5"/>
      <c r="AK257" s="5"/>
      <c r="AL257" s="5"/>
      <c r="AM257" s="5"/>
      <c r="AN257" s="5"/>
      <c r="AO257" s="5"/>
      <c r="AP257" s="5"/>
      <c r="AQ257" s="5"/>
      <c r="AR257" s="5"/>
      <c r="AS257" s="5"/>
      <c r="AT257" s="5"/>
      <c r="AU257" s="209"/>
      <c r="AX257" s="274"/>
    </row>
    <row r="258" spans="1:50" hidden="1">
      <c r="B258" s="1023" t="s">
        <v>836</v>
      </c>
      <c r="C258" s="723"/>
      <c r="D258" s="1000"/>
      <c r="E258" s="220" t="s">
        <v>841</v>
      </c>
      <c r="F258" s="328"/>
      <c r="G258" s="220" t="s">
        <v>68</v>
      </c>
      <c r="H258" s="398"/>
      <c r="I258" s="538">
        <v>1.45</v>
      </c>
      <c r="J258" s="538">
        <f>1/2.35</f>
        <v>0.42553191489361702</v>
      </c>
      <c r="K258" s="538">
        <f>1/2.906</f>
        <v>0.34411562284927733</v>
      </c>
      <c r="L258" s="592"/>
      <c r="M258" s="592"/>
      <c r="N258" s="592"/>
      <c r="O258" s="592"/>
      <c r="P258" s="592"/>
      <c r="Q258" s="592"/>
      <c r="R258" s="592"/>
      <c r="S258" s="398"/>
      <c r="T258" s="20"/>
      <c r="U258" s="16"/>
      <c r="V258" s="25"/>
      <c r="W258" s="24"/>
      <c r="X258" s="16"/>
      <c r="Y258" s="16"/>
      <c r="Z258" s="16"/>
      <c r="AA258" s="20"/>
      <c r="AB258" s="16"/>
      <c r="AC258" s="16"/>
      <c r="AD258" s="16"/>
      <c r="AE258" s="16"/>
      <c r="AF258" s="16"/>
      <c r="AG258" s="5"/>
      <c r="AH258" s="5"/>
      <c r="AI258" s="5"/>
      <c r="AJ258" s="5"/>
      <c r="AK258" s="5"/>
      <c r="AL258" s="5"/>
      <c r="AM258" s="5"/>
      <c r="AN258" s="5"/>
      <c r="AO258" s="5"/>
      <c r="AP258" s="5"/>
      <c r="AQ258" s="5"/>
      <c r="AR258" s="5"/>
      <c r="AS258" s="5"/>
      <c r="AT258" s="5"/>
      <c r="AU258" s="209"/>
      <c r="AX258" s="274"/>
    </row>
    <row r="259" spans="1:50" hidden="1">
      <c r="B259" s="1023" t="s">
        <v>836</v>
      </c>
      <c r="C259" s="723"/>
      <c r="D259" s="999"/>
      <c r="E259" s="220" t="s">
        <v>842</v>
      </c>
      <c r="F259" s="326"/>
      <c r="G259" s="357" t="s">
        <v>68</v>
      </c>
      <c r="H259" s="476"/>
      <c r="I259" s="397">
        <f>I258</f>
        <v>1.45</v>
      </c>
      <c r="J259" s="538">
        <f t="shared" ref="J259:K259" si="73">J258</f>
        <v>0.42553191489361702</v>
      </c>
      <c r="K259" s="538">
        <f t="shared" si="73"/>
        <v>0.34411562284927733</v>
      </c>
      <c r="L259" s="594"/>
      <c r="M259" s="594"/>
      <c r="N259" s="594"/>
      <c r="O259" s="594"/>
      <c r="P259" s="594"/>
      <c r="Q259" s="594"/>
      <c r="R259" s="594"/>
      <c r="S259" s="476"/>
      <c r="T259" s="28"/>
      <c r="U259" s="16"/>
      <c r="V259" s="16"/>
      <c r="W259" s="24"/>
      <c r="X259" s="24"/>
      <c r="Y259" s="24"/>
      <c r="Z259" s="16"/>
      <c r="AA259" s="20"/>
      <c r="AB259" s="16"/>
      <c r="AC259" s="16"/>
      <c r="AD259" s="16"/>
      <c r="AE259" s="16"/>
      <c r="AF259" s="16"/>
      <c r="AG259" s="16"/>
      <c r="AH259" s="16"/>
      <c r="AI259" s="5"/>
      <c r="AJ259" s="5"/>
      <c r="AK259" s="5"/>
      <c r="AL259" s="5"/>
      <c r="AM259" s="5"/>
      <c r="AN259" s="5"/>
      <c r="AO259" s="5"/>
      <c r="AP259" s="5"/>
      <c r="AQ259" s="5"/>
      <c r="AR259" s="5"/>
      <c r="AS259" s="5"/>
      <c r="AT259" s="5"/>
      <c r="AU259" s="209"/>
      <c r="AX259" s="274"/>
    </row>
    <row r="260" spans="1:50" hidden="1">
      <c r="B260" s="1023" t="s">
        <v>836</v>
      </c>
      <c r="C260" s="723"/>
      <c r="D260" s="1000"/>
      <c r="E260" s="220" t="s">
        <v>843</v>
      </c>
      <c r="F260" s="328"/>
      <c r="G260" s="220" t="s">
        <v>752</v>
      </c>
      <c r="H260" s="398"/>
      <c r="I260" s="399">
        <v>0.34</v>
      </c>
      <c r="J260" s="399">
        <v>0.1</v>
      </c>
      <c r="K260" s="399">
        <v>7.0000000000000007E-2</v>
      </c>
      <c r="L260" s="592"/>
      <c r="M260" s="592"/>
      <c r="N260" s="592"/>
      <c r="O260" s="592"/>
      <c r="P260" s="592"/>
      <c r="Q260" s="592"/>
      <c r="R260" s="592"/>
      <c r="S260" s="398"/>
      <c r="T260" s="20"/>
      <c r="U260" s="17"/>
      <c r="V260" s="25"/>
      <c r="W260" s="24"/>
      <c r="X260" s="16"/>
      <c r="Y260" s="16"/>
      <c r="Z260" s="16"/>
      <c r="AA260" s="20"/>
      <c r="AB260" s="16"/>
      <c r="AC260" s="16"/>
      <c r="AD260" s="16"/>
      <c r="AE260" s="16"/>
      <c r="AF260" s="16"/>
      <c r="AG260" s="5"/>
      <c r="AH260" s="5"/>
      <c r="AI260" s="5"/>
      <c r="AJ260" s="5"/>
      <c r="AK260" s="5"/>
      <c r="AL260" s="5"/>
      <c r="AM260" s="5"/>
      <c r="AN260" s="5"/>
      <c r="AO260" s="5"/>
      <c r="AP260" s="5"/>
      <c r="AQ260" s="5"/>
      <c r="AR260" s="5"/>
      <c r="AS260" s="5"/>
      <c r="AT260" s="5"/>
      <c r="AU260" s="209"/>
      <c r="AX260" s="274"/>
    </row>
    <row r="261" spans="1:50" ht="15" hidden="1">
      <c r="B261" s="1023" t="s">
        <v>836</v>
      </c>
      <c r="C261" s="723"/>
      <c r="D261" s="999"/>
      <c r="E261" s="220" t="s">
        <v>844</v>
      </c>
      <c r="F261" s="326"/>
      <c r="G261" s="220" t="s">
        <v>752</v>
      </c>
      <c r="H261" s="476"/>
      <c r="I261" s="400">
        <f>I260</f>
        <v>0.34</v>
      </c>
      <c r="J261" s="400">
        <f>J260</f>
        <v>0.1</v>
      </c>
      <c r="K261" s="400">
        <f>K260</f>
        <v>7.0000000000000007E-2</v>
      </c>
      <c r="L261" s="594"/>
      <c r="M261" s="594"/>
      <c r="N261" s="594"/>
      <c r="O261" s="594"/>
      <c r="P261" s="594"/>
      <c r="Q261" s="594"/>
      <c r="R261" s="594"/>
      <c r="S261" s="476"/>
      <c r="T261" s="29"/>
      <c r="U261" s="16"/>
      <c r="V261" s="16"/>
      <c r="W261" s="301"/>
      <c r="X261" s="24"/>
      <c r="Y261" s="86"/>
      <c r="Z261" s="16"/>
      <c r="AA261" s="20"/>
      <c r="AB261" s="16"/>
      <c r="AC261" s="16"/>
      <c r="AD261" s="16"/>
      <c r="AE261" s="16"/>
      <c r="AF261" s="16"/>
      <c r="AG261" s="16"/>
      <c r="AH261" s="16"/>
      <c r="AI261" s="5"/>
      <c r="AJ261" s="5"/>
      <c r="AK261" s="5"/>
      <c r="AL261" s="5"/>
      <c r="AM261" s="5"/>
      <c r="AN261" s="5"/>
      <c r="AO261" s="5"/>
      <c r="AP261" s="5"/>
      <c r="AQ261" s="5"/>
      <c r="AR261" s="5"/>
      <c r="AS261" s="5"/>
      <c r="AT261" s="5"/>
      <c r="AU261" s="209"/>
      <c r="AX261" s="274"/>
    </row>
    <row r="262" spans="1:50" ht="63.75" hidden="1">
      <c r="B262" s="1023" t="s">
        <v>836</v>
      </c>
      <c r="C262" s="723"/>
      <c r="D262" s="999"/>
      <c r="E262" s="539" t="s">
        <v>845</v>
      </c>
      <c r="F262" s="539"/>
      <c r="G262" s="540"/>
      <c r="H262" s="541"/>
      <c r="I262" s="542" t="s">
        <v>846</v>
      </c>
      <c r="J262" s="1099" t="str">
        <f>HYPERLINK("https://www.pbl.nl/downloads/pbl-2024-tabellenbijlage-klimaat-en-energieverkenning-2024-5492ods","Tabellenbijlage 'Klimaat- en Energieverkenning 2024', tabel 27a")</f>
        <v>Tabellenbijlage 'Klimaat- en Energieverkenning 2024', tabel 27a</v>
      </c>
      <c r="K262" s="1099" t="str">
        <f>HYPERLINK("https://www.pbl.nl/downloads/pbl-2024-tabellenbijlage-klimaat-en-energieverkenning-2024-5492ods","Tabellenbijlage 'Klimaat- en Energieverkenning 2024', tabel 27a")</f>
        <v>Tabellenbijlage 'Klimaat- en Energieverkenning 2024', tabel 27a</v>
      </c>
      <c r="L262" s="542"/>
      <c r="M262" s="542"/>
      <c r="N262" s="542"/>
      <c r="O262" s="542"/>
      <c r="P262" s="542"/>
      <c r="Q262" s="542"/>
      <c r="R262" s="542"/>
      <c r="S262" s="541"/>
      <c r="T262" s="29"/>
      <c r="U262" s="16"/>
      <c r="V262" s="16"/>
      <c r="W262" s="301"/>
      <c r="X262" s="16"/>
      <c r="Y262" s="24"/>
      <c r="Z262" s="24"/>
      <c r="AA262" s="25"/>
      <c r="AB262" s="24"/>
      <c r="AC262" s="16"/>
      <c r="AD262" s="16"/>
      <c r="AE262" s="16"/>
      <c r="AF262" s="16"/>
      <c r="AG262" s="16"/>
      <c r="AH262" s="16"/>
      <c r="AI262" s="5"/>
      <c r="AJ262" s="5"/>
      <c r="AK262" s="5"/>
      <c r="AL262" s="5"/>
      <c r="AM262" s="5"/>
      <c r="AN262" s="5"/>
      <c r="AO262" s="5"/>
      <c r="AP262" s="5"/>
      <c r="AQ262" s="5"/>
      <c r="AR262" s="5"/>
      <c r="AS262" s="5"/>
      <c r="AT262" s="5"/>
      <c r="AU262" s="209"/>
      <c r="AX262" s="274"/>
    </row>
    <row r="263" spans="1:50" ht="15" hidden="1">
      <c r="B263" s="1023" t="s">
        <v>836</v>
      </c>
      <c r="C263" s="723"/>
      <c r="D263" s="999"/>
      <c r="E263" s="5"/>
      <c r="F263" s="5"/>
      <c r="G263" s="5"/>
      <c r="H263" s="16"/>
      <c r="I263" s="16"/>
      <c r="J263" s="16"/>
      <c r="K263" s="16"/>
      <c r="L263" s="16"/>
      <c r="M263" s="16"/>
      <c r="N263" s="16"/>
      <c r="O263" s="16"/>
      <c r="P263" s="16"/>
      <c r="Q263" s="16"/>
      <c r="R263" s="16"/>
      <c r="S263" s="16"/>
      <c r="T263" s="16"/>
      <c r="U263" s="301"/>
      <c r="V263" s="16"/>
      <c r="W263" s="16"/>
      <c r="X263" s="16"/>
      <c r="Y263" s="20"/>
      <c r="Z263" s="16"/>
      <c r="AA263" s="16"/>
      <c r="AB263" s="16"/>
      <c r="AC263" s="16"/>
      <c r="AD263" s="5"/>
      <c r="AE263" s="5"/>
      <c r="AF263" s="5"/>
      <c r="AG263" s="5"/>
      <c r="AH263" s="5"/>
      <c r="AI263" s="5"/>
      <c r="AJ263" s="5"/>
      <c r="AK263" s="5"/>
      <c r="AL263" s="5"/>
      <c r="AM263" s="5"/>
      <c r="AN263" s="5"/>
      <c r="AO263" s="5"/>
      <c r="AP263" s="5"/>
      <c r="AQ263" s="5"/>
      <c r="AR263" s="5"/>
      <c r="AS263" s="22"/>
    </row>
    <row r="264" spans="1:50" ht="15" hidden="1">
      <c r="B264" s="1023" t="s">
        <v>847</v>
      </c>
      <c r="C264" s="723"/>
      <c r="D264" s="999"/>
      <c r="E264" s="5"/>
      <c r="F264" s="5"/>
      <c r="G264" s="5"/>
      <c r="H264" s="16"/>
      <c r="I264" s="16"/>
      <c r="J264" s="16"/>
      <c r="K264" s="16"/>
      <c r="L264" s="16"/>
      <c r="M264" s="16"/>
      <c r="N264" s="16"/>
      <c r="O264" s="16"/>
      <c r="P264" s="16"/>
      <c r="Q264" s="16"/>
      <c r="R264" s="16"/>
      <c r="S264" s="16"/>
      <c r="T264" s="16"/>
      <c r="U264" s="301"/>
      <c r="V264" s="16"/>
      <c r="W264" s="16"/>
      <c r="X264" s="16"/>
      <c r="Y264" s="20"/>
      <c r="Z264" s="5"/>
      <c r="AA264" s="5"/>
      <c r="AB264" s="5"/>
      <c r="AC264" s="5"/>
      <c r="AD264" s="5"/>
      <c r="AE264" s="5"/>
      <c r="AF264" s="5"/>
      <c r="AG264" s="5"/>
      <c r="AH264" s="5"/>
      <c r="AI264" s="5"/>
      <c r="AJ264" s="5"/>
      <c r="AK264" s="5"/>
      <c r="AL264" s="5"/>
      <c r="AM264" s="5"/>
      <c r="AN264" s="5"/>
      <c r="AO264" s="5"/>
      <c r="AP264" s="5"/>
      <c r="AQ264" s="5"/>
      <c r="AR264" s="5"/>
      <c r="AS264" s="22"/>
    </row>
    <row r="265" spans="1:50" ht="21" hidden="1">
      <c r="B265" s="1023" t="s">
        <v>847</v>
      </c>
      <c r="C265" s="723"/>
      <c r="D265" s="999"/>
      <c r="E265" s="215" t="s">
        <v>847</v>
      </c>
      <c r="F265" s="215"/>
      <c r="G265" s="215"/>
      <c r="H265" s="215"/>
      <c r="I265" s="215"/>
      <c r="J265" s="215"/>
      <c r="K265" s="215"/>
      <c r="L265" s="215"/>
      <c r="M265" s="215"/>
      <c r="N265" s="215"/>
      <c r="O265" s="215"/>
      <c r="P265" s="215"/>
      <c r="Q265" s="215"/>
      <c r="R265" s="215"/>
      <c r="S265" s="215"/>
      <c r="T265" s="215"/>
      <c r="U265" s="215"/>
      <c r="V265" s="16"/>
      <c r="W265" s="61"/>
      <c r="X265" s="5"/>
      <c r="Y265" s="20"/>
      <c r="Z265" s="5"/>
      <c r="AA265" s="5"/>
      <c r="AB265" s="5"/>
      <c r="AC265" s="5"/>
      <c r="AD265" s="5"/>
      <c r="AE265" s="5"/>
      <c r="AF265" s="5"/>
      <c r="AG265" s="5"/>
      <c r="AH265" s="5"/>
      <c r="AI265" s="5"/>
      <c r="AJ265" s="5"/>
      <c r="AK265" s="5"/>
      <c r="AL265" s="5"/>
      <c r="AM265" s="5"/>
      <c r="AN265" s="5"/>
      <c r="AO265" s="5"/>
      <c r="AP265" s="5"/>
      <c r="AQ265" s="5"/>
      <c r="AR265" s="5"/>
      <c r="AS265" s="22"/>
    </row>
    <row r="266" spans="1:50" hidden="1">
      <c r="B266" s="1023" t="s">
        <v>847</v>
      </c>
      <c r="C266" s="723"/>
      <c r="D266" s="1000"/>
      <c r="E266" s="299" t="s">
        <v>483</v>
      </c>
      <c r="F266" s="299"/>
      <c r="G266" s="299" t="s">
        <v>420</v>
      </c>
      <c r="H266" s="300"/>
      <c r="I266" s="300">
        <f t="shared" ref="I266:T266" ca="1" si="74">OFFSET(I266,0,-1)+1</f>
        <v>1</v>
      </c>
      <c r="J266" s="300">
        <f t="shared" ca="1" si="74"/>
        <v>2</v>
      </c>
      <c r="K266" s="300">
        <f t="shared" ca="1" si="74"/>
        <v>3</v>
      </c>
      <c r="L266" s="300">
        <f t="shared" ca="1" si="74"/>
        <v>4</v>
      </c>
      <c r="M266" s="300">
        <f t="shared" ca="1" si="74"/>
        <v>5</v>
      </c>
      <c r="N266" s="300">
        <f t="shared" ca="1" si="74"/>
        <v>6</v>
      </c>
      <c r="O266" s="300">
        <f t="shared" ca="1" si="74"/>
        <v>7</v>
      </c>
      <c r="P266" s="300">
        <f t="shared" ca="1" si="74"/>
        <v>8</v>
      </c>
      <c r="Q266" s="300">
        <f t="shared" ca="1" si="74"/>
        <v>9</v>
      </c>
      <c r="R266" s="300">
        <f t="shared" ca="1" si="74"/>
        <v>10</v>
      </c>
      <c r="S266" s="300">
        <f t="shared" ca="1" si="74"/>
        <v>11</v>
      </c>
      <c r="T266" s="300">
        <f t="shared" ca="1" si="74"/>
        <v>12</v>
      </c>
      <c r="U266" s="300"/>
      <c r="V266" s="61"/>
      <c r="W266" s="61"/>
      <c r="X266" s="61"/>
      <c r="Y266" s="20"/>
      <c r="Z266" s="5"/>
      <c r="AA266" s="5"/>
      <c r="AB266" s="5"/>
      <c r="AC266" s="5"/>
      <c r="AD266" s="5"/>
      <c r="AE266" s="5"/>
      <c r="AF266" s="5"/>
      <c r="AG266" s="5"/>
      <c r="AH266" s="5"/>
      <c r="AI266" s="5"/>
      <c r="AJ266" s="5"/>
      <c r="AK266" s="5"/>
      <c r="AL266" s="5"/>
      <c r="AM266" s="5"/>
      <c r="AN266" s="5"/>
      <c r="AO266" s="5"/>
      <c r="AP266" s="5"/>
      <c r="AQ266" s="5"/>
      <c r="AR266" s="5"/>
      <c r="AS266" s="22"/>
    </row>
    <row r="267" spans="1:50" s="2" customFormat="1" ht="18.75" hidden="1">
      <c r="A267" s="309"/>
      <c r="B267" s="1023" t="s">
        <v>847</v>
      </c>
      <c r="C267" s="723"/>
      <c r="D267" s="1004"/>
      <c r="E267" s="382" t="s">
        <v>848</v>
      </c>
      <c r="F267" s="383"/>
      <c r="G267" s="382"/>
      <c r="H267" s="384"/>
      <c r="I267" s="385"/>
      <c r="J267" s="384"/>
      <c r="K267" s="9"/>
      <c r="L267" s="9"/>
      <c r="M267" s="9"/>
      <c r="N267" s="9"/>
      <c r="O267" s="9"/>
      <c r="P267" s="9"/>
      <c r="Q267" s="9"/>
      <c r="R267" s="9"/>
      <c r="S267" s="4"/>
      <c r="T267" s="4"/>
      <c r="AC267" s="4"/>
      <c r="AD267" s="8"/>
      <c r="AE267" s="4"/>
      <c r="AF267" s="4"/>
      <c r="AG267" s="4"/>
      <c r="AH267" s="4"/>
      <c r="AI267" s="4"/>
      <c r="AJ267" s="4"/>
      <c r="AK267" s="4"/>
      <c r="AL267" s="4"/>
      <c r="AM267" s="4"/>
      <c r="AN267" s="4"/>
      <c r="AO267" s="4"/>
      <c r="AP267" s="4"/>
      <c r="AQ267" s="4"/>
      <c r="AR267" s="4"/>
      <c r="AS267" s="4"/>
      <c r="AT267" s="4"/>
      <c r="AU267" s="4"/>
      <c r="AV267" s="4"/>
      <c r="AW267" s="4"/>
      <c r="AX267" s="22"/>
    </row>
    <row r="268" spans="1:50" hidden="1">
      <c r="B268" s="1023" t="s">
        <v>847</v>
      </c>
      <c r="C268" s="723"/>
      <c r="D268" s="999"/>
      <c r="E268" s="357" t="s">
        <v>122</v>
      </c>
      <c r="F268" s="326"/>
      <c r="G268" s="357" t="s">
        <v>68</v>
      </c>
      <c r="H268" s="476"/>
      <c r="I268" s="477" t="s">
        <v>462</v>
      </c>
      <c r="J268" s="477" t="s">
        <v>1127</v>
      </c>
      <c r="K268" s="477" t="s">
        <v>1129</v>
      </c>
      <c r="L268" s="477" t="s">
        <v>464</v>
      </c>
      <c r="M268" s="477" t="s">
        <v>1131</v>
      </c>
      <c r="N268" s="477" t="s">
        <v>1130</v>
      </c>
      <c r="O268" s="477" t="s">
        <v>466</v>
      </c>
      <c r="P268" s="477" t="s">
        <v>465</v>
      </c>
      <c r="Q268" s="477" t="s">
        <v>463</v>
      </c>
      <c r="R268" s="477" t="s">
        <v>1128</v>
      </c>
      <c r="S268" s="477" t="s">
        <v>460</v>
      </c>
      <c r="T268" s="477" t="s">
        <v>461</v>
      </c>
      <c r="U268" s="476"/>
      <c r="V268" s="20"/>
      <c r="W268" s="16"/>
      <c r="X268" s="16"/>
      <c r="Y268" s="20"/>
      <c r="Z268" s="5"/>
      <c r="AA268" s="5"/>
      <c r="AB268" s="5"/>
      <c r="AC268" s="5"/>
      <c r="AD268" s="5"/>
      <c r="AE268" s="5"/>
      <c r="AF268" s="5"/>
      <c r="AG268" s="5"/>
      <c r="AH268" s="5"/>
      <c r="AI268" s="5"/>
      <c r="AJ268" s="5"/>
      <c r="AK268" s="5"/>
      <c r="AL268" s="5"/>
      <c r="AM268" s="5"/>
      <c r="AN268" s="5"/>
      <c r="AO268" s="5"/>
      <c r="AP268" s="5"/>
      <c r="AQ268" s="5"/>
      <c r="AR268" s="5"/>
      <c r="AS268" s="22"/>
    </row>
    <row r="269" spans="1:50" hidden="1">
      <c r="B269" s="1023" t="s">
        <v>847</v>
      </c>
      <c r="C269" s="723"/>
      <c r="D269" s="999"/>
      <c r="E269" s="357" t="s">
        <v>1875</v>
      </c>
      <c r="F269" s="326"/>
      <c r="G269" s="357" t="s">
        <v>68</v>
      </c>
      <c r="H269" s="476"/>
      <c r="I269" s="477" t="s">
        <v>462</v>
      </c>
      <c r="J269" s="477" t="s">
        <v>1127</v>
      </c>
      <c r="K269" s="477" t="s">
        <v>1129</v>
      </c>
      <c r="L269" s="477" t="s">
        <v>464</v>
      </c>
      <c r="M269" s="477" t="s">
        <v>1131</v>
      </c>
      <c r="N269" s="477" t="s">
        <v>1130</v>
      </c>
      <c r="O269" s="477" t="s">
        <v>466</v>
      </c>
      <c r="P269" s="477" t="s">
        <v>465</v>
      </c>
      <c r="Q269" s="477" t="s">
        <v>463</v>
      </c>
      <c r="R269" s="477" t="s">
        <v>1128</v>
      </c>
      <c r="S269" s="477" t="s">
        <v>460</v>
      </c>
      <c r="T269" s="477" t="s">
        <v>460</v>
      </c>
      <c r="U269" s="476"/>
      <c r="V269" s="20"/>
      <c r="W269" s="16"/>
      <c r="X269" s="16"/>
      <c r="Y269" s="20"/>
      <c r="Z269" s="5"/>
      <c r="AA269" s="5"/>
      <c r="AB269" s="5"/>
      <c r="AC269" s="5"/>
      <c r="AD269" s="5"/>
      <c r="AE269" s="5"/>
      <c r="AF269" s="5"/>
      <c r="AG269" s="5"/>
      <c r="AH269" s="5"/>
      <c r="AI269" s="5"/>
      <c r="AJ269" s="5"/>
      <c r="AK269" s="5"/>
      <c r="AL269" s="5"/>
      <c r="AM269" s="5"/>
      <c r="AN269" s="5"/>
      <c r="AO269" s="5"/>
      <c r="AP269" s="5"/>
      <c r="AQ269" s="5"/>
      <c r="AR269" s="5"/>
      <c r="AS269" s="22"/>
    </row>
    <row r="270" spans="1:50" hidden="1">
      <c r="B270" s="1023" t="s">
        <v>847</v>
      </c>
      <c r="C270" s="723"/>
      <c r="D270" s="999"/>
      <c r="E270" s="5"/>
      <c r="F270" s="5"/>
      <c r="G270" s="5"/>
      <c r="H270" s="16"/>
      <c r="I270" s="16"/>
      <c r="J270" s="16"/>
      <c r="K270" s="16"/>
      <c r="L270" s="16"/>
      <c r="M270" s="16"/>
      <c r="N270" s="16"/>
      <c r="O270" s="16"/>
      <c r="P270" s="16"/>
      <c r="Q270" s="16"/>
      <c r="R270" s="16"/>
      <c r="S270" s="16"/>
      <c r="T270" s="16"/>
      <c r="U270" s="16"/>
      <c r="V270" s="16"/>
      <c r="W270" s="16"/>
      <c r="X270" s="16"/>
      <c r="Y270" s="20"/>
      <c r="Z270" s="5"/>
      <c r="AA270" s="5"/>
      <c r="AB270" s="5"/>
      <c r="AC270" s="5"/>
      <c r="AD270" s="5"/>
      <c r="AE270" s="5"/>
      <c r="AF270" s="5"/>
      <c r="AG270" s="5"/>
      <c r="AH270" s="5"/>
      <c r="AI270" s="5"/>
      <c r="AJ270" s="5"/>
      <c r="AK270" s="5"/>
      <c r="AL270" s="5"/>
      <c r="AM270" s="5"/>
      <c r="AN270" s="5"/>
      <c r="AO270" s="5"/>
      <c r="AP270" s="5"/>
      <c r="AQ270" s="5"/>
      <c r="AR270" s="5"/>
      <c r="AS270" s="22"/>
    </row>
    <row r="271" spans="1:50" hidden="1">
      <c r="B271" s="1023" t="s">
        <v>849</v>
      </c>
      <c r="C271" s="723"/>
      <c r="D271" s="999"/>
      <c r="E271" s="5"/>
      <c r="F271" s="5"/>
      <c r="G271" s="5"/>
      <c r="H271" s="16"/>
      <c r="I271" s="16"/>
      <c r="J271" s="16"/>
      <c r="K271" s="16"/>
      <c r="L271" s="16"/>
      <c r="M271" s="16"/>
      <c r="N271" s="16"/>
      <c r="O271" s="16"/>
      <c r="P271" s="16"/>
      <c r="Q271" s="16"/>
      <c r="R271" s="16"/>
      <c r="S271" s="16"/>
      <c r="T271" s="16"/>
      <c r="U271" s="16"/>
      <c r="V271" s="16"/>
      <c r="W271" s="16"/>
      <c r="X271" s="16"/>
      <c r="Y271" s="20"/>
      <c r="Z271" s="5"/>
      <c r="AA271" s="5"/>
      <c r="AB271" s="5"/>
      <c r="AC271" s="5"/>
      <c r="AD271" s="5"/>
      <c r="AE271" s="5"/>
      <c r="AF271" s="5"/>
      <c r="AG271" s="5"/>
      <c r="AH271" s="5"/>
      <c r="AI271" s="5"/>
      <c r="AJ271" s="5"/>
      <c r="AK271" s="5"/>
      <c r="AL271" s="5"/>
      <c r="AM271" s="5"/>
      <c r="AN271" s="5"/>
      <c r="AO271" s="5"/>
      <c r="AP271" s="5"/>
      <c r="AQ271" s="5"/>
      <c r="AR271" s="5"/>
      <c r="AS271" s="22"/>
    </row>
    <row r="272" spans="1:50" ht="21" hidden="1">
      <c r="B272" s="1023" t="s">
        <v>849</v>
      </c>
      <c r="C272" s="723"/>
      <c r="D272" s="999"/>
      <c r="E272" s="215" t="s">
        <v>1053</v>
      </c>
      <c r="F272" s="215"/>
      <c r="G272" s="215"/>
      <c r="H272" s="215"/>
      <c r="I272" s="215"/>
      <c r="J272" s="215"/>
      <c r="K272" s="215"/>
      <c r="L272" s="215"/>
      <c r="M272" s="215"/>
      <c r="N272" s="215"/>
      <c r="O272" s="215"/>
      <c r="P272" s="215"/>
      <c r="Q272" s="215"/>
      <c r="R272" s="215"/>
      <c r="S272" s="215"/>
      <c r="T272" s="215"/>
      <c r="U272" s="215"/>
      <c r="V272" s="5"/>
      <c r="W272" s="5"/>
      <c r="X272" s="5"/>
      <c r="Y272" s="20"/>
      <c r="Z272" s="5"/>
      <c r="AA272" s="5"/>
      <c r="AB272" s="5"/>
      <c r="AC272" s="5"/>
      <c r="AD272" s="209"/>
      <c r="AE272" s="5"/>
      <c r="AF272" s="5"/>
      <c r="AG272" s="5"/>
      <c r="AH272" s="5"/>
      <c r="AI272" s="5"/>
      <c r="AJ272" s="5"/>
      <c r="AK272" s="5"/>
      <c r="AL272" s="5"/>
      <c r="AM272" s="5"/>
      <c r="AN272" s="5"/>
      <c r="AO272" s="5"/>
      <c r="AP272" s="5"/>
      <c r="AQ272" s="5"/>
      <c r="AR272" s="5"/>
      <c r="AS272" s="209"/>
    </row>
    <row r="273" spans="1:50" s="2" customFormat="1" hidden="1">
      <c r="A273" s="309"/>
      <c r="B273" s="1023" t="s">
        <v>849</v>
      </c>
      <c r="C273" s="724"/>
      <c r="D273" s="1002"/>
      <c r="E273" s="679" t="s">
        <v>483</v>
      </c>
      <c r="F273" s="679"/>
      <c r="G273" s="679" t="s">
        <v>420</v>
      </c>
      <c r="H273" s="314"/>
      <c r="I273" s="314">
        <f t="shared" ref="I273:T273" ca="1" si="75">OFFSET(I273,0,-1)+1</f>
        <v>1</v>
      </c>
      <c r="J273" s="314">
        <f t="shared" ca="1" si="75"/>
        <v>2</v>
      </c>
      <c r="K273" s="314">
        <f t="shared" ca="1" si="75"/>
        <v>3</v>
      </c>
      <c r="L273" s="314">
        <f t="shared" ca="1" si="75"/>
        <v>4</v>
      </c>
      <c r="M273" s="314">
        <f t="shared" ca="1" si="75"/>
        <v>5</v>
      </c>
      <c r="N273" s="314">
        <f t="shared" ca="1" si="75"/>
        <v>6</v>
      </c>
      <c r="O273" s="314">
        <f t="shared" ca="1" si="75"/>
        <v>7</v>
      </c>
      <c r="P273" s="314">
        <f t="shared" ca="1" si="75"/>
        <v>8</v>
      </c>
      <c r="Q273" s="314">
        <f t="shared" ca="1" si="75"/>
        <v>9</v>
      </c>
      <c r="R273" s="314">
        <f t="shared" ca="1" si="75"/>
        <v>10</v>
      </c>
      <c r="S273" s="314">
        <f t="shared" ca="1" si="75"/>
        <v>11</v>
      </c>
      <c r="T273" s="314">
        <f t="shared" ca="1" si="75"/>
        <v>12</v>
      </c>
      <c r="U273" s="314"/>
      <c r="V273" s="9"/>
      <c r="W273" s="9"/>
      <c r="X273" s="9"/>
      <c r="Y273" s="8"/>
      <c r="Z273" s="4"/>
      <c r="AA273" s="4"/>
      <c r="AB273" s="4"/>
      <c r="AC273" s="4"/>
      <c r="AD273" s="4"/>
      <c r="AE273" s="4"/>
      <c r="AF273" s="4"/>
      <c r="AG273" s="4"/>
      <c r="AH273" s="4"/>
      <c r="AI273" s="4"/>
      <c r="AJ273" s="4"/>
      <c r="AK273" s="4"/>
      <c r="AL273" s="4"/>
      <c r="AM273" s="4"/>
      <c r="AN273" s="4"/>
      <c r="AO273" s="4"/>
      <c r="AP273" s="4"/>
      <c r="AQ273" s="4"/>
      <c r="AR273" s="4"/>
      <c r="AS273" s="580"/>
    </row>
    <row r="274" spans="1:50" s="2" customFormat="1" hidden="1">
      <c r="A274" s="309"/>
      <c r="B274" s="1023" t="s">
        <v>849</v>
      </c>
      <c r="C274" s="723"/>
      <c r="D274" s="1004"/>
      <c r="E274" s="382" t="s">
        <v>850</v>
      </c>
      <c r="F274" s="382" t="s">
        <v>851</v>
      </c>
      <c r="G274" s="382"/>
      <c r="H274" s="384"/>
      <c r="I274" s="385"/>
      <c r="J274" s="384"/>
      <c r="K274" s="9"/>
      <c r="L274" s="9"/>
      <c r="M274" s="9"/>
      <c r="N274" s="9"/>
      <c r="O274" s="9"/>
      <c r="P274" s="9"/>
      <c r="Q274" s="9"/>
      <c r="R274" s="9"/>
      <c r="S274" s="4"/>
      <c r="T274" s="4"/>
      <c r="AC274" s="4"/>
      <c r="AD274" s="8"/>
      <c r="AE274" s="4"/>
      <c r="AF274" s="4"/>
      <c r="AG274" s="4"/>
      <c r="AH274" s="4"/>
      <c r="AI274" s="4"/>
      <c r="AJ274" s="4"/>
      <c r="AK274" s="4"/>
      <c r="AL274" s="4"/>
      <c r="AM274" s="4"/>
      <c r="AN274" s="4"/>
      <c r="AO274" s="4"/>
      <c r="AP274" s="4"/>
      <c r="AQ274" s="4"/>
      <c r="AR274" s="4"/>
      <c r="AS274" s="4"/>
      <c r="AT274" s="4"/>
      <c r="AU274" s="4"/>
      <c r="AV274" s="4"/>
      <c r="AW274" s="4"/>
      <c r="AX274" s="22"/>
    </row>
    <row r="275" spans="1:50" hidden="1">
      <c r="B275" s="1023" t="s">
        <v>849</v>
      </c>
      <c r="C275" s="723"/>
      <c r="D275" s="999"/>
      <c r="E275" s="357" t="s">
        <v>122</v>
      </c>
      <c r="F275" s="326"/>
      <c r="G275" s="357" t="s">
        <v>68</v>
      </c>
      <c r="H275" s="476"/>
      <c r="I275" s="477" t="str">
        <f>I$268</f>
        <v>kantoor</v>
      </c>
      <c r="J275" s="477" t="str">
        <f t="shared" ref="J275:T275" si="76">J$268</f>
        <v>bijeenkomst</v>
      </c>
      <c r="K275" s="477" t="str">
        <f t="shared" si="76"/>
        <v>kinderopvang</v>
      </c>
      <c r="L275" s="477" t="str">
        <f t="shared" si="76"/>
        <v>onderwijs</v>
      </c>
      <c r="M275" s="477" t="str">
        <f t="shared" si="76"/>
        <v>zorg overig</v>
      </c>
      <c r="N275" s="477" t="str">
        <f t="shared" si="76"/>
        <v>zorg met bed</v>
      </c>
      <c r="O275" s="477" t="str">
        <f t="shared" si="76"/>
        <v>winkel</v>
      </c>
      <c r="P275" s="477" t="str">
        <f t="shared" si="76"/>
        <v>sport</v>
      </c>
      <c r="Q275" s="477" t="str">
        <f t="shared" si="76"/>
        <v>logies</v>
      </c>
      <c r="R275" s="477" t="str">
        <f t="shared" si="76"/>
        <v>cel</v>
      </c>
      <c r="S275" s="477" t="str">
        <f t="shared" si="76"/>
        <v>woning</v>
      </c>
      <c r="T275" s="477" t="str">
        <f t="shared" si="76"/>
        <v>woongebouw</v>
      </c>
      <c r="U275" s="477"/>
      <c r="V275" s="20"/>
      <c r="W275" s="16"/>
      <c r="X275" s="16"/>
      <c r="Y275" s="20"/>
      <c r="Z275" s="5"/>
      <c r="AA275" s="5"/>
      <c r="AB275" s="5"/>
      <c r="AC275" s="5"/>
      <c r="AD275" s="5"/>
      <c r="AE275" s="5"/>
      <c r="AF275" s="5"/>
      <c r="AG275" s="5"/>
      <c r="AH275" s="5"/>
      <c r="AI275" s="5"/>
      <c r="AJ275" s="5"/>
      <c r="AK275" s="5"/>
      <c r="AL275" s="5"/>
      <c r="AM275" s="5"/>
      <c r="AN275" s="5"/>
      <c r="AO275" s="5"/>
      <c r="AP275" s="5"/>
      <c r="AQ275" s="5"/>
      <c r="AR275" s="5"/>
      <c r="AS275" s="22"/>
    </row>
    <row r="276" spans="1:50" hidden="1">
      <c r="B276" s="1023" t="s">
        <v>849</v>
      </c>
      <c r="C276" s="723"/>
      <c r="D276" s="999"/>
      <c r="E276" s="439" t="s">
        <v>528</v>
      </c>
      <c r="F276" s="439"/>
      <c r="G276" s="439" t="s">
        <v>68</v>
      </c>
      <c r="H276" s="439" t="s">
        <v>852</v>
      </c>
      <c r="I276" s="439">
        <v>0.67200000000000004</v>
      </c>
      <c r="J276" s="439">
        <v>0.67200000000000004</v>
      </c>
      <c r="K276" s="439">
        <v>0.67200000000000004</v>
      </c>
      <c r="L276" s="439">
        <v>0.67200000000000004</v>
      </c>
      <c r="M276" s="439">
        <v>0.67200000000000004</v>
      </c>
      <c r="N276" s="439">
        <v>0.67200000000000004</v>
      </c>
      <c r="O276" s="439">
        <v>0.67200000000000004</v>
      </c>
      <c r="P276" s="439">
        <v>0.67200000000000004</v>
      </c>
      <c r="Q276" s="439">
        <v>0.67200000000000004</v>
      </c>
      <c r="R276" s="439">
        <v>0.67200000000000004</v>
      </c>
      <c r="S276" s="439">
        <v>0.67200000000000004</v>
      </c>
      <c r="T276" s="439">
        <v>0.67200000000000004</v>
      </c>
      <c r="U276" s="439"/>
      <c r="V276" s="16"/>
      <c r="W276" s="16"/>
      <c r="X276" s="16"/>
      <c r="Y276" s="20"/>
      <c r="Z276" s="5"/>
      <c r="AA276" s="5"/>
      <c r="AB276" s="5"/>
      <c r="AC276" s="5"/>
      <c r="AD276" s="5"/>
      <c r="AE276" s="5"/>
      <c r="AF276" s="5"/>
      <c r="AG276" s="5"/>
      <c r="AH276" s="5"/>
      <c r="AI276" s="5"/>
      <c r="AJ276" s="5"/>
      <c r="AK276" s="5"/>
      <c r="AL276" s="5"/>
      <c r="AM276" s="5"/>
      <c r="AN276" s="5"/>
      <c r="AO276" s="5"/>
      <c r="AP276" s="5"/>
      <c r="AQ276" s="5"/>
      <c r="AR276" s="5"/>
      <c r="AS276" s="22"/>
    </row>
    <row r="277" spans="1:50" hidden="1">
      <c r="B277" s="1023" t="s">
        <v>849</v>
      </c>
      <c r="C277" s="723"/>
      <c r="D277" s="999"/>
      <c r="E277" s="439" t="s">
        <v>853</v>
      </c>
      <c r="F277" s="439"/>
      <c r="G277" s="439" t="s">
        <v>68</v>
      </c>
      <c r="H277" s="439" t="s">
        <v>852</v>
      </c>
      <c r="I277" s="439">
        <v>-0.376</v>
      </c>
      <c r="J277" s="439">
        <v>-0.376</v>
      </c>
      <c r="K277" s="439">
        <v>-0.376</v>
      </c>
      <c r="L277" s="439">
        <v>-0.376</v>
      </c>
      <c r="M277" s="439">
        <v>-0.376</v>
      </c>
      <c r="N277" s="439">
        <v>-0.376</v>
      </c>
      <c r="O277" s="439">
        <v>-0.376</v>
      </c>
      <c r="P277" s="439">
        <v>-0.376</v>
      </c>
      <c r="Q277" s="439">
        <v>-0.376</v>
      </c>
      <c r="R277" s="439">
        <v>-0.376</v>
      </c>
      <c r="S277" s="439">
        <v>-0.376</v>
      </c>
      <c r="T277" s="439">
        <v>-0.376</v>
      </c>
      <c r="U277" s="439"/>
      <c r="V277" s="16"/>
      <c r="W277" s="16"/>
      <c r="X277" s="16"/>
      <c r="Y277" s="20"/>
      <c r="Z277" s="5"/>
      <c r="AA277" s="5"/>
      <c r="AB277" s="5"/>
      <c r="AC277" s="5"/>
      <c r="AD277" s="5"/>
      <c r="AE277" s="5"/>
      <c r="AF277" s="5"/>
      <c r="AG277" s="5"/>
      <c r="AH277" s="5"/>
      <c r="AI277" s="5"/>
      <c r="AJ277" s="5"/>
      <c r="AK277" s="5"/>
      <c r="AL277" s="5"/>
      <c r="AM277" s="5"/>
      <c r="AN277" s="5"/>
      <c r="AO277" s="5"/>
      <c r="AP277" s="5"/>
      <c r="AQ277" s="5"/>
      <c r="AR277" s="5"/>
      <c r="AS277" s="22"/>
    </row>
    <row r="278" spans="1:50" hidden="1">
      <c r="B278" s="1023" t="s">
        <v>849</v>
      </c>
      <c r="C278" s="723"/>
      <c r="D278" s="999"/>
      <c r="E278" s="16"/>
      <c r="F278" s="16"/>
      <c r="G278" s="16"/>
      <c r="H278" s="16"/>
      <c r="I278" s="16"/>
      <c r="J278" s="16"/>
      <c r="K278" s="16"/>
      <c r="L278" s="16"/>
      <c r="M278" s="16"/>
      <c r="N278" s="16"/>
      <c r="O278" s="16"/>
      <c r="P278" s="16"/>
      <c r="Q278" s="16"/>
      <c r="R278" s="16"/>
      <c r="S278" s="16"/>
      <c r="T278" s="16"/>
      <c r="U278" s="16"/>
      <c r="V278" s="16"/>
      <c r="W278" s="16"/>
      <c r="X278" s="16"/>
      <c r="Y278" s="20"/>
      <c r="Z278" s="5"/>
      <c r="AA278" s="5"/>
      <c r="AB278" s="5"/>
      <c r="AC278" s="5"/>
      <c r="AD278" s="5"/>
      <c r="AE278" s="5"/>
      <c r="AF278" s="5"/>
      <c r="AG278" s="5"/>
      <c r="AH278" s="5"/>
      <c r="AI278" s="5"/>
      <c r="AJ278" s="5"/>
      <c r="AK278" s="5"/>
      <c r="AL278" s="5"/>
      <c r="AM278" s="5"/>
      <c r="AN278" s="5"/>
      <c r="AO278" s="5"/>
      <c r="AP278" s="5"/>
      <c r="AQ278" s="5"/>
      <c r="AR278" s="5"/>
      <c r="AS278" s="22"/>
    </row>
    <row r="279" spans="1:50" hidden="1">
      <c r="B279" s="1023" t="s">
        <v>854</v>
      </c>
      <c r="C279" s="723"/>
      <c r="D279" s="999"/>
      <c r="E279" s="5"/>
      <c r="F279" s="5"/>
      <c r="G279" s="5"/>
      <c r="H279" s="16"/>
      <c r="I279" s="16"/>
      <c r="J279" s="16"/>
      <c r="K279" s="16"/>
      <c r="L279" s="16"/>
      <c r="M279" s="16"/>
      <c r="N279" s="16"/>
      <c r="O279" s="16"/>
      <c r="P279" s="16"/>
      <c r="Q279" s="16"/>
      <c r="R279" s="16"/>
      <c r="S279" s="16"/>
      <c r="T279" s="16"/>
      <c r="U279" s="16"/>
      <c r="V279" s="16"/>
      <c r="W279" s="16"/>
      <c r="X279" s="16"/>
      <c r="Y279" s="20"/>
      <c r="Z279" s="5"/>
      <c r="AA279" s="5"/>
      <c r="AB279" s="5"/>
      <c r="AC279" s="5"/>
      <c r="AD279" s="5"/>
      <c r="AE279" s="5"/>
      <c r="AF279" s="5"/>
      <c r="AG279" s="5"/>
      <c r="AH279" s="5"/>
      <c r="AI279" s="5"/>
      <c r="AJ279" s="5"/>
      <c r="AK279" s="5"/>
      <c r="AL279" s="5"/>
      <c r="AM279" s="5"/>
      <c r="AN279" s="5"/>
      <c r="AO279" s="5"/>
      <c r="AP279" s="5"/>
      <c r="AQ279" s="5"/>
      <c r="AR279" s="5"/>
      <c r="AS279" s="22"/>
    </row>
    <row r="280" spans="1:50" ht="21" hidden="1">
      <c r="B280" s="1023" t="s">
        <v>854</v>
      </c>
      <c r="C280" s="723"/>
      <c r="D280" s="999"/>
      <c r="E280" s="215" t="s">
        <v>854</v>
      </c>
      <c r="F280" s="215"/>
      <c r="G280" s="215"/>
      <c r="H280" s="215"/>
      <c r="I280" s="215"/>
      <c r="J280" s="215"/>
      <c r="K280" s="215"/>
      <c r="L280" s="215"/>
      <c r="M280" s="215"/>
      <c r="N280" s="215"/>
      <c r="O280" s="215"/>
      <c r="P280" s="215"/>
      <c r="Q280" s="215"/>
      <c r="R280" s="215"/>
      <c r="S280" s="215"/>
      <c r="T280" s="215"/>
      <c r="U280" s="215"/>
      <c r="V280" s="16"/>
      <c r="W280" s="61"/>
      <c r="X280" s="5"/>
      <c r="Y280" s="20"/>
      <c r="Z280" s="5"/>
      <c r="AA280" s="5"/>
      <c r="AB280" s="5"/>
      <c r="AC280" s="5"/>
      <c r="AD280" s="5"/>
      <c r="AE280" s="5"/>
      <c r="AF280" s="5"/>
      <c r="AG280" s="5"/>
      <c r="AH280" s="5"/>
      <c r="AI280" s="5"/>
      <c r="AJ280" s="5"/>
      <c r="AK280" s="5"/>
      <c r="AL280" s="5"/>
      <c r="AM280" s="5"/>
      <c r="AN280" s="5"/>
      <c r="AO280" s="5"/>
      <c r="AP280" s="5"/>
      <c r="AQ280" s="5"/>
      <c r="AR280" s="5"/>
      <c r="AS280" s="22"/>
    </row>
    <row r="281" spans="1:50" hidden="1">
      <c r="B281" s="1023" t="s">
        <v>854</v>
      </c>
      <c r="C281" s="723"/>
      <c r="D281" s="1000"/>
      <c r="E281" s="299" t="s">
        <v>483</v>
      </c>
      <c r="F281" s="299"/>
      <c r="G281" s="299" t="s">
        <v>420</v>
      </c>
      <c r="H281" s="300"/>
      <c r="I281" s="300">
        <f t="shared" ref="I281:T281" ca="1" si="77">OFFSET(I281,0,-1)+1</f>
        <v>1</v>
      </c>
      <c r="J281" s="300">
        <f t="shared" ca="1" si="77"/>
        <v>2</v>
      </c>
      <c r="K281" s="300">
        <f t="shared" ca="1" si="77"/>
        <v>3</v>
      </c>
      <c r="L281" s="300">
        <f t="shared" ca="1" si="77"/>
        <v>4</v>
      </c>
      <c r="M281" s="300">
        <f t="shared" ca="1" si="77"/>
        <v>5</v>
      </c>
      <c r="N281" s="300">
        <f t="shared" ca="1" si="77"/>
        <v>6</v>
      </c>
      <c r="O281" s="300">
        <f t="shared" ca="1" si="77"/>
        <v>7</v>
      </c>
      <c r="P281" s="300">
        <f t="shared" ca="1" si="77"/>
        <v>8</v>
      </c>
      <c r="Q281" s="300">
        <f t="shared" ca="1" si="77"/>
        <v>9</v>
      </c>
      <c r="R281" s="300">
        <f t="shared" ca="1" si="77"/>
        <v>10</v>
      </c>
      <c r="S281" s="300">
        <f t="shared" ca="1" si="77"/>
        <v>11</v>
      </c>
      <c r="T281" s="300">
        <f t="shared" ca="1" si="77"/>
        <v>12</v>
      </c>
      <c r="U281" s="300"/>
      <c r="V281" s="61"/>
      <c r="W281" s="61"/>
      <c r="X281" s="61"/>
      <c r="Y281" s="20"/>
      <c r="Z281" s="5"/>
      <c r="AA281" s="5"/>
      <c r="AB281" s="5"/>
      <c r="AC281" s="5"/>
      <c r="AD281" s="5"/>
      <c r="AE281" s="5"/>
      <c r="AF281" s="5"/>
      <c r="AG281" s="5"/>
      <c r="AH281" s="5"/>
      <c r="AI281" s="5"/>
      <c r="AJ281" s="5"/>
      <c r="AK281" s="5"/>
      <c r="AL281" s="5"/>
      <c r="AM281" s="5"/>
      <c r="AN281" s="5"/>
      <c r="AO281" s="5"/>
      <c r="AP281" s="5"/>
      <c r="AQ281" s="5"/>
      <c r="AR281" s="5"/>
      <c r="AS281" s="22"/>
    </row>
    <row r="282" spans="1:50" s="2" customFormat="1" ht="18.75" hidden="1">
      <c r="A282" s="309"/>
      <c r="B282" s="1023" t="s">
        <v>854</v>
      </c>
      <c r="C282" s="723"/>
      <c r="D282" s="1004"/>
      <c r="E282" s="382" t="s">
        <v>855</v>
      </c>
      <c r="F282" s="383"/>
      <c r="G282" s="382"/>
      <c r="H282" s="384"/>
      <c r="I282" s="385"/>
      <c r="J282" s="384"/>
      <c r="K282" s="9"/>
      <c r="L282" s="9"/>
      <c r="M282" s="9"/>
      <c r="N282" s="9"/>
      <c r="O282" s="9"/>
      <c r="P282" s="9"/>
      <c r="Q282" s="9"/>
      <c r="R282" s="9"/>
      <c r="S282" s="4"/>
      <c r="T282" s="4"/>
      <c r="AC282" s="4"/>
      <c r="AD282" s="8"/>
      <c r="AE282" s="4"/>
      <c r="AF282" s="4"/>
      <c r="AG282" s="4"/>
      <c r="AH282" s="4"/>
      <c r="AI282" s="4"/>
      <c r="AJ282" s="4"/>
      <c r="AK282" s="4"/>
      <c r="AL282" s="4"/>
      <c r="AM282" s="4"/>
      <c r="AN282" s="4"/>
      <c r="AO282" s="4"/>
      <c r="AP282" s="4"/>
      <c r="AQ282" s="4"/>
      <c r="AR282" s="4"/>
      <c r="AS282" s="4"/>
      <c r="AT282" s="4"/>
      <c r="AU282" s="4"/>
      <c r="AV282" s="4"/>
      <c r="AW282" s="4"/>
      <c r="AX282" s="22"/>
    </row>
    <row r="283" spans="1:50" hidden="1">
      <c r="B283" s="1023" t="s">
        <v>854</v>
      </c>
      <c r="C283" s="723"/>
      <c r="D283" s="999"/>
      <c r="E283" s="357" t="s">
        <v>122</v>
      </c>
      <c r="F283" s="326"/>
      <c r="G283" s="357" t="s">
        <v>68</v>
      </c>
      <c r="H283" s="476"/>
      <c r="I283" s="477" t="str">
        <f>I$268</f>
        <v>kantoor</v>
      </c>
      <c r="J283" s="477" t="str">
        <f t="shared" ref="J283:T283" si="78">J$268</f>
        <v>bijeenkomst</v>
      </c>
      <c r="K283" s="477" t="str">
        <f t="shared" si="78"/>
        <v>kinderopvang</v>
      </c>
      <c r="L283" s="477" t="str">
        <f t="shared" si="78"/>
        <v>onderwijs</v>
      </c>
      <c r="M283" s="477" t="str">
        <f t="shared" si="78"/>
        <v>zorg overig</v>
      </c>
      <c r="N283" s="477" t="str">
        <f t="shared" si="78"/>
        <v>zorg met bed</v>
      </c>
      <c r="O283" s="477" t="str">
        <f t="shared" si="78"/>
        <v>winkel</v>
      </c>
      <c r="P283" s="477" t="str">
        <f t="shared" si="78"/>
        <v>sport</v>
      </c>
      <c r="Q283" s="477" t="str">
        <f t="shared" si="78"/>
        <v>logies</v>
      </c>
      <c r="R283" s="477" t="str">
        <f t="shared" si="78"/>
        <v>cel</v>
      </c>
      <c r="S283" s="477" t="str">
        <f t="shared" si="78"/>
        <v>woning</v>
      </c>
      <c r="T283" s="477" t="str">
        <f t="shared" si="78"/>
        <v>woongebouw</v>
      </c>
      <c r="U283" s="476"/>
      <c r="V283" s="20"/>
      <c r="W283" s="16"/>
      <c r="X283" s="16"/>
      <c r="Y283" s="20"/>
      <c r="Z283" s="5"/>
      <c r="AA283" s="5"/>
      <c r="AB283" s="5"/>
      <c r="AC283" s="5"/>
      <c r="AD283" s="5"/>
      <c r="AE283" s="5"/>
      <c r="AF283" s="5"/>
      <c r="AG283" s="5"/>
      <c r="AH283" s="5"/>
      <c r="AI283" s="5"/>
      <c r="AJ283" s="5"/>
      <c r="AK283" s="5"/>
      <c r="AL283" s="5"/>
      <c r="AM283" s="5"/>
      <c r="AN283" s="5"/>
      <c r="AO283" s="5"/>
      <c r="AP283" s="5"/>
      <c r="AQ283" s="5"/>
      <c r="AR283" s="5"/>
      <c r="AS283" s="22"/>
    </row>
    <row r="284" spans="1:50" hidden="1">
      <c r="B284" s="1023" t="s">
        <v>854</v>
      </c>
      <c r="C284" s="723"/>
      <c r="D284" s="1000" t="s">
        <v>48</v>
      </c>
      <c r="E284" s="357" t="s">
        <v>856</v>
      </c>
      <c r="F284" s="357"/>
      <c r="G284" s="357" t="s">
        <v>166</v>
      </c>
      <c r="H284" s="476"/>
      <c r="I284" s="331">
        <v>1.4</v>
      </c>
      <c r="J284" s="331">
        <v>2.8</v>
      </c>
      <c r="K284" s="331">
        <v>2.8</v>
      </c>
      <c r="L284" s="331">
        <v>1.4</v>
      </c>
      <c r="M284" s="331">
        <v>2.8</v>
      </c>
      <c r="N284" s="331">
        <v>15.3</v>
      </c>
      <c r="O284" s="331">
        <v>1.4</v>
      </c>
      <c r="P284" s="331">
        <v>12.5</v>
      </c>
      <c r="Q284" s="331">
        <v>12.5</v>
      </c>
      <c r="R284" s="331">
        <v>4.2</v>
      </c>
      <c r="S284" s="331">
        <v>0</v>
      </c>
      <c r="T284" s="331">
        <v>0</v>
      </c>
      <c r="U284" s="476"/>
      <c r="V284" s="20"/>
      <c r="X284" s="16"/>
      <c r="Y284" s="20"/>
      <c r="Z284" s="5"/>
      <c r="AA284" s="5"/>
      <c r="AB284" s="5"/>
      <c r="AC284" s="5"/>
      <c r="AD284" s="5"/>
      <c r="AE284" s="5"/>
      <c r="AF284" s="5"/>
      <c r="AG284" s="5"/>
      <c r="AH284" s="5"/>
      <c r="AI284" s="5"/>
      <c r="AJ284" s="5"/>
      <c r="AK284" s="5"/>
      <c r="AL284" s="5"/>
      <c r="AM284" s="5"/>
      <c r="AN284" s="5"/>
      <c r="AO284" s="5"/>
      <c r="AP284" s="5"/>
      <c r="AQ284" s="5"/>
      <c r="AR284" s="5"/>
      <c r="AS284" s="437"/>
    </row>
    <row r="285" spans="1:50" hidden="1">
      <c r="B285" s="1023" t="s">
        <v>854</v>
      </c>
      <c r="C285" s="723"/>
      <c r="D285" s="999"/>
      <c r="E285" s="391" t="s">
        <v>857</v>
      </c>
      <c r="F285" s="391"/>
      <c r="G285" s="391"/>
      <c r="H285" s="544"/>
      <c r="I285" s="544"/>
      <c r="J285" s="544"/>
      <c r="K285" s="544"/>
      <c r="L285" s="544"/>
      <c r="M285" s="544"/>
      <c r="N285" s="544"/>
      <c r="O285" s="544"/>
      <c r="P285" s="544"/>
      <c r="Q285" s="544"/>
      <c r="R285" s="544"/>
      <c r="S285" s="544"/>
      <c r="T285" s="525"/>
      <c r="U285" s="544"/>
      <c r="V285" s="16"/>
      <c r="X285" s="16"/>
      <c r="Y285" s="20"/>
      <c r="Z285" s="5"/>
      <c r="AA285" s="5"/>
      <c r="AB285" s="5"/>
      <c r="AC285" s="5"/>
      <c r="AD285" s="5"/>
      <c r="AE285" s="5"/>
      <c r="AF285" s="5"/>
      <c r="AG285" s="5"/>
      <c r="AH285" s="5"/>
      <c r="AI285" s="5"/>
      <c r="AJ285" s="5"/>
      <c r="AK285" s="5"/>
      <c r="AL285" s="5"/>
      <c r="AM285" s="5"/>
      <c r="AN285" s="5"/>
      <c r="AO285" s="5"/>
      <c r="AP285" s="5"/>
      <c r="AQ285" s="5"/>
      <c r="AR285" s="5"/>
      <c r="AS285" s="22"/>
    </row>
    <row r="286" spans="1:50" hidden="1">
      <c r="B286" s="1023" t="s">
        <v>854</v>
      </c>
      <c r="C286" s="723"/>
      <c r="D286" s="999"/>
      <c r="E286" s="5"/>
      <c r="F286" s="5"/>
      <c r="G286" s="5"/>
      <c r="H286" s="16"/>
      <c r="I286" s="16"/>
      <c r="J286" s="16"/>
      <c r="K286" s="16"/>
      <c r="L286" s="16"/>
      <c r="M286" s="16"/>
      <c r="N286" s="16"/>
      <c r="O286" s="16"/>
      <c r="P286" s="16"/>
      <c r="Q286" s="16"/>
      <c r="R286" s="16"/>
      <c r="S286" s="16"/>
      <c r="T286" s="16"/>
      <c r="U286" s="16"/>
      <c r="V286" s="16"/>
      <c r="X286" s="16"/>
      <c r="Y286" s="20"/>
      <c r="Z286" s="5"/>
      <c r="AA286" s="5"/>
      <c r="AB286" s="5"/>
      <c r="AC286" s="5"/>
      <c r="AD286" s="5"/>
      <c r="AE286" s="5"/>
      <c r="AF286" s="5"/>
      <c r="AG286" s="5"/>
      <c r="AH286" s="5"/>
      <c r="AI286" s="5"/>
      <c r="AJ286" s="5"/>
      <c r="AK286" s="5"/>
      <c r="AL286" s="5"/>
      <c r="AM286" s="5"/>
      <c r="AN286" s="5"/>
      <c r="AO286" s="5"/>
      <c r="AP286" s="5"/>
      <c r="AQ286" s="5"/>
      <c r="AR286" s="5"/>
      <c r="AS286" s="22"/>
    </row>
    <row r="287" spans="1:50" hidden="1">
      <c r="B287" s="1023" t="s">
        <v>854</v>
      </c>
      <c r="C287" s="723"/>
      <c r="D287" s="999"/>
      <c r="E287" s="5"/>
      <c r="F287" s="5"/>
      <c r="G287" s="5"/>
      <c r="H287" s="16"/>
      <c r="I287" s="16"/>
      <c r="J287" s="16"/>
      <c r="K287" s="16"/>
      <c r="L287" s="16"/>
      <c r="M287" s="16"/>
      <c r="N287" s="16"/>
      <c r="O287" s="16"/>
      <c r="P287" s="16"/>
      <c r="Q287" s="16"/>
      <c r="R287" s="16"/>
      <c r="S287" s="16"/>
      <c r="T287" s="16"/>
      <c r="U287" s="16"/>
      <c r="V287" s="16"/>
      <c r="X287" s="16"/>
      <c r="Y287" s="20"/>
      <c r="Z287" s="5"/>
      <c r="AA287" s="5"/>
      <c r="AB287" s="5"/>
      <c r="AC287" s="5"/>
      <c r="AD287" s="5"/>
      <c r="AE287" s="5"/>
      <c r="AF287" s="5"/>
      <c r="AG287" s="5"/>
      <c r="AH287" s="5"/>
      <c r="AI287" s="5"/>
      <c r="AJ287" s="5"/>
      <c r="AK287" s="5"/>
      <c r="AL287" s="5"/>
      <c r="AM287" s="5"/>
      <c r="AN287" s="5"/>
      <c r="AO287" s="5"/>
      <c r="AP287" s="5"/>
      <c r="AQ287" s="5"/>
      <c r="AR287" s="5"/>
      <c r="AS287" s="22"/>
    </row>
    <row r="288" spans="1:50" ht="21" hidden="1">
      <c r="B288" s="1023" t="s">
        <v>854</v>
      </c>
      <c r="C288" s="723"/>
      <c r="D288" s="999"/>
      <c r="E288" s="240" t="s">
        <v>858</v>
      </c>
      <c r="F288" s="240"/>
      <c r="G288" s="240"/>
      <c r="H288" s="240"/>
      <c r="I288" s="240"/>
      <c r="J288" s="240"/>
      <c r="K288" s="240"/>
      <c r="L288" s="240"/>
      <c r="M288" s="240"/>
      <c r="N288" s="240"/>
      <c r="O288" s="240"/>
      <c r="P288" s="240"/>
      <c r="Q288" s="240"/>
      <c r="R288" s="240"/>
      <c r="S288" s="240"/>
      <c r="T288" s="240"/>
      <c r="U288" s="240"/>
      <c r="V288" s="16"/>
      <c r="X288" s="5"/>
      <c r="Y288" s="20"/>
      <c r="Z288" s="5"/>
      <c r="AA288" s="5"/>
      <c r="AB288" s="5"/>
      <c r="AC288" s="5"/>
      <c r="AD288" s="5"/>
      <c r="AE288" s="5"/>
      <c r="AF288" s="5"/>
      <c r="AG288" s="5"/>
      <c r="AH288" s="5"/>
      <c r="AI288" s="5"/>
      <c r="AJ288" s="5"/>
      <c r="AK288" s="5"/>
      <c r="AL288" s="5"/>
      <c r="AM288" s="5"/>
      <c r="AN288" s="5"/>
      <c r="AO288" s="5"/>
      <c r="AP288" s="5"/>
      <c r="AQ288" s="5"/>
      <c r="AR288" s="5"/>
    </row>
    <row r="289" spans="1:50" hidden="1">
      <c r="B289" s="1023" t="s">
        <v>854</v>
      </c>
      <c r="C289" s="723"/>
      <c r="D289" s="1000"/>
      <c r="E289" s="386" t="s">
        <v>483</v>
      </c>
      <c r="F289" s="386"/>
      <c r="G289" s="386" t="s">
        <v>420</v>
      </c>
      <c r="H289" s="387"/>
      <c r="I289" s="387">
        <f t="shared" ref="I289:T289" ca="1" si="79">OFFSET(I289,0,-1)+1</f>
        <v>1</v>
      </c>
      <c r="J289" s="387">
        <f t="shared" ca="1" si="79"/>
        <v>2</v>
      </c>
      <c r="K289" s="387">
        <f t="shared" ca="1" si="79"/>
        <v>3</v>
      </c>
      <c r="L289" s="387">
        <f t="shared" ca="1" si="79"/>
        <v>4</v>
      </c>
      <c r="M289" s="387">
        <f t="shared" ca="1" si="79"/>
        <v>5</v>
      </c>
      <c r="N289" s="387">
        <f t="shared" ca="1" si="79"/>
        <v>6</v>
      </c>
      <c r="O289" s="387">
        <f t="shared" ca="1" si="79"/>
        <v>7</v>
      </c>
      <c r="P289" s="387">
        <f t="shared" ca="1" si="79"/>
        <v>8</v>
      </c>
      <c r="Q289" s="387">
        <f t="shared" ca="1" si="79"/>
        <v>9</v>
      </c>
      <c r="R289" s="387">
        <f t="shared" ca="1" si="79"/>
        <v>10</v>
      </c>
      <c r="S289" s="387">
        <f t="shared" ca="1" si="79"/>
        <v>11</v>
      </c>
      <c r="T289" s="387">
        <f t="shared" ca="1" si="79"/>
        <v>12</v>
      </c>
      <c r="U289" s="387"/>
      <c r="V289" s="61"/>
      <c r="X289" s="61"/>
      <c r="Y289" s="20"/>
      <c r="Z289" s="5"/>
      <c r="AA289" s="5"/>
      <c r="AB289" s="5"/>
      <c r="AC289" s="5"/>
      <c r="AD289" s="5"/>
      <c r="AE289" s="5"/>
      <c r="AF289" s="5"/>
      <c r="AG289" s="5"/>
      <c r="AH289" s="5"/>
      <c r="AI289" s="5"/>
      <c r="AJ289" s="5"/>
      <c r="AK289" s="5"/>
      <c r="AL289" s="5"/>
      <c r="AM289" s="5"/>
      <c r="AN289" s="5"/>
      <c r="AO289" s="5"/>
      <c r="AP289" s="5"/>
      <c r="AQ289" s="5"/>
      <c r="AR289" s="5"/>
    </row>
    <row r="290" spans="1:50" s="2" customFormat="1" ht="18.75" hidden="1">
      <c r="A290" s="309"/>
      <c r="B290" s="1023" t="s">
        <v>854</v>
      </c>
      <c r="C290" s="723"/>
      <c r="D290" s="1004"/>
      <c r="E290" s="382" t="s">
        <v>859</v>
      </c>
      <c r="F290" s="383"/>
      <c r="G290" s="382"/>
      <c r="H290" s="384"/>
      <c r="I290" s="385"/>
      <c r="J290" s="384"/>
      <c r="K290" s="9"/>
      <c r="L290" s="9"/>
      <c r="M290" s="9"/>
      <c r="N290" s="9"/>
      <c r="O290" s="9"/>
      <c r="P290" s="9"/>
      <c r="Q290" s="9"/>
      <c r="R290" s="9"/>
      <c r="S290" s="4"/>
      <c r="T290" s="4"/>
      <c r="AC290" s="4"/>
      <c r="AD290" s="8"/>
      <c r="AE290" s="4"/>
      <c r="AF290" s="4"/>
      <c r="AG290" s="4"/>
      <c r="AH290" s="4"/>
      <c r="AI290" s="4"/>
      <c r="AJ290" s="4"/>
      <c r="AK290" s="4"/>
      <c r="AL290" s="4"/>
      <c r="AM290" s="4"/>
      <c r="AN290" s="4"/>
      <c r="AO290" s="4"/>
      <c r="AP290" s="4"/>
      <c r="AQ290" s="4"/>
      <c r="AR290" s="4"/>
      <c r="AS290" s="4"/>
      <c r="AT290" s="4"/>
      <c r="AU290" s="4"/>
      <c r="AV290" s="4"/>
      <c r="AW290" s="4"/>
      <c r="AX290" s="22"/>
    </row>
    <row r="291" spans="1:50" hidden="1">
      <c r="B291" s="1023" t="s">
        <v>854</v>
      </c>
      <c r="C291" s="723"/>
      <c r="D291" s="999"/>
      <c r="E291" s="395" t="s">
        <v>122</v>
      </c>
      <c r="F291" s="396"/>
      <c r="G291" s="395" t="s">
        <v>68</v>
      </c>
      <c r="H291" s="408"/>
      <c r="I291" s="477" t="str">
        <f>I$268</f>
        <v>kantoor</v>
      </c>
      <c r="J291" s="477" t="str">
        <f t="shared" ref="J291:T291" si="80">J$268</f>
        <v>bijeenkomst</v>
      </c>
      <c r="K291" s="477" t="str">
        <f t="shared" si="80"/>
        <v>kinderopvang</v>
      </c>
      <c r="L291" s="477" t="str">
        <f t="shared" si="80"/>
        <v>onderwijs</v>
      </c>
      <c r="M291" s="477" t="str">
        <f t="shared" si="80"/>
        <v>zorg overig</v>
      </c>
      <c r="N291" s="477" t="str">
        <f t="shared" si="80"/>
        <v>zorg met bed</v>
      </c>
      <c r="O291" s="477" t="str">
        <f t="shared" si="80"/>
        <v>winkel</v>
      </c>
      <c r="P291" s="477" t="str">
        <f t="shared" si="80"/>
        <v>sport</v>
      </c>
      <c r="Q291" s="477" t="str">
        <f t="shared" si="80"/>
        <v>logies</v>
      </c>
      <c r="R291" s="477" t="str">
        <f t="shared" si="80"/>
        <v>cel</v>
      </c>
      <c r="S291" s="477" t="str">
        <f t="shared" si="80"/>
        <v>woning</v>
      </c>
      <c r="T291" s="477" t="str">
        <f t="shared" si="80"/>
        <v>woongebouw</v>
      </c>
      <c r="U291" s="408"/>
      <c r="V291" s="20"/>
      <c r="X291" s="16"/>
      <c r="Y291" s="20"/>
      <c r="Z291" s="5"/>
      <c r="AA291" s="5"/>
      <c r="AB291" s="5"/>
      <c r="AC291" s="5"/>
      <c r="AD291" s="5"/>
      <c r="AE291" s="5"/>
      <c r="AF291" s="5"/>
      <c r="AG291" s="5"/>
      <c r="AH291" s="5"/>
      <c r="AI291" s="5"/>
      <c r="AJ291" s="5"/>
      <c r="AK291" s="5"/>
      <c r="AL291" s="5"/>
      <c r="AM291" s="5"/>
      <c r="AN291" s="5"/>
      <c r="AO291" s="5"/>
      <c r="AP291" s="5"/>
      <c r="AQ291" s="5"/>
      <c r="AR291" s="5"/>
      <c r="AS291" s="22"/>
    </row>
    <row r="292" spans="1:50" hidden="1">
      <c r="B292" s="1023" t="s">
        <v>854</v>
      </c>
      <c r="C292" s="723"/>
      <c r="D292" s="999"/>
      <c r="E292" s="395" t="s">
        <v>860</v>
      </c>
      <c r="F292" s="396"/>
      <c r="G292" s="395" t="s">
        <v>149</v>
      </c>
      <c r="H292" s="408"/>
      <c r="I292" s="518">
        <v>4</v>
      </c>
      <c r="J292" s="518">
        <v>1</v>
      </c>
      <c r="K292" s="518">
        <v>1</v>
      </c>
      <c r="L292" s="518">
        <v>2</v>
      </c>
      <c r="M292" s="518">
        <v>3</v>
      </c>
      <c r="N292" s="518">
        <v>4</v>
      </c>
      <c r="O292" s="518">
        <v>3</v>
      </c>
      <c r="P292" s="518">
        <v>1</v>
      </c>
      <c r="Q292" s="518">
        <v>2</v>
      </c>
      <c r="R292" s="518">
        <v>2</v>
      </c>
      <c r="S292" s="518">
        <v>0</v>
      </c>
      <c r="T292" s="518">
        <v>0</v>
      </c>
      <c r="U292" s="408"/>
      <c r="V292" s="20"/>
      <c r="X292" s="16"/>
      <c r="Y292" s="20"/>
      <c r="Z292" s="5"/>
      <c r="AA292" s="5"/>
      <c r="AB292" s="5"/>
      <c r="AC292" s="5"/>
      <c r="AD292" s="5"/>
      <c r="AE292" s="5"/>
      <c r="AF292" s="5"/>
      <c r="AG292" s="5"/>
      <c r="AH292" s="5"/>
      <c r="AI292" s="5"/>
      <c r="AJ292" s="5"/>
      <c r="AK292" s="5"/>
      <c r="AL292" s="5"/>
      <c r="AM292" s="5"/>
      <c r="AN292" s="5"/>
      <c r="AO292" s="5"/>
      <c r="AP292" s="5"/>
      <c r="AQ292" s="5"/>
      <c r="AR292" s="5"/>
      <c r="AS292" s="22"/>
    </row>
    <row r="293" spans="1:50" hidden="1">
      <c r="B293" s="1023" t="s">
        <v>854</v>
      </c>
      <c r="C293" s="723"/>
      <c r="D293" s="999"/>
      <c r="E293" s="495" t="s">
        <v>861</v>
      </c>
      <c r="F293" s="396"/>
      <c r="G293" s="534" t="s">
        <v>166</v>
      </c>
      <c r="H293" s="408"/>
      <c r="I293" s="407">
        <f>I292*365*24/1000</f>
        <v>35.04</v>
      </c>
      <c r="J293" s="407">
        <f>J292*365*24/1000</f>
        <v>8.76</v>
      </c>
      <c r="K293" s="407">
        <f t="shared" ref="K293:Q293" si="81">K292*365*24/1000</f>
        <v>8.76</v>
      </c>
      <c r="L293" s="407">
        <f>L292*365*24/1000</f>
        <v>17.52</v>
      </c>
      <c r="M293" s="407">
        <f t="shared" si="81"/>
        <v>26.28</v>
      </c>
      <c r="N293" s="407">
        <f t="shared" si="81"/>
        <v>35.04</v>
      </c>
      <c r="O293" s="407">
        <f>O292*365*24/1000</f>
        <v>26.28</v>
      </c>
      <c r="P293" s="407">
        <f>P292*365*24/1000</f>
        <v>8.76</v>
      </c>
      <c r="Q293" s="407">
        <f t="shared" si="81"/>
        <v>17.52</v>
      </c>
      <c r="R293" s="407">
        <f>R292*365*24/1000</f>
        <v>17.52</v>
      </c>
      <c r="S293" s="407">
        <f>S292*365*24/1000</f>
        <v>0</v>
      </c>
      <c r="T293" s="407">
        <f>T292*365*24/1000</f>
        <v>0</v>
      </c>
      <c r="U293" s="408"/>
      <c r="V293" s="22"/>
      <c r="X293" s="16"/>
      <c r="Y293" s="20"/>
      <c r="Z293" s="5"/>
      <c r="AA293" s="5"/>
      <c r="AB293" s="5"/>
      <c r="AC293" s="5"/>
      <c r="AD293" s="5"/>
      <c r="AE293" s="5"/>
      <c r="AF293" s="5"/>
      <c r="AG293" s="5"/>
      <c r="AH293" s="5"/>
      <c r="AI293" s="5"/>
      <c r="AJ293" s="5"/>
      <c r="AK293" s="5"/>
      <c r="AL293" s="5"/>
      <c r="AM293" s="5"/>
      <c r="AN293" s="5"/>
      <c r="AO293" s="5"/>
      <c r="AP293" s="5"/>
      <c r="AQ293" s="5"/>
      <c r="AR293" s="5"/>
      <c r="AS293" s="22"/>
    </row>
    <row r="294" spans="1:50" hidden="1">
      <c r="B294" s="1023" t="s">
        <v>854</v>
      </c>
      <c r="C294" s="723"/>
      <c r="D294" s="999"/>
      <c r="E294" s="391" t="s">
        <v>862</v>
      </c>
      <c r="F294" s="391"/>
      <c r="G294" s="391"/>
      <c r="H294" s="544"/>
      <c r="I294" s="544"/>
      <c r="J294" s="544"/>
      <c r="K294" s="544"/>
      <c r="L294" s="544"/>
      <c r="M294" s="544"/>
      <c r="N294" s="544"/>
      <c r="O294" s="544"/>
      <c r="P294" s="544"/>
      <c r="Q294" s="544"/>
      <c r="R294" s="544"/>
      <c r="S294" s="544"/>
      <c r="T294" s="525"/>
      <c r="U294" s="544"/>
      <c r="V294" s="16"/>
      <c r="X294" s="16"/>
      <c r="Y294" s="20"/>
      <c r="Z294" s="5"/>
      <c r="AA294" s="5"/>
      <c r="AB294" s="5"/>
      <c r="AC294" s="5"/>
      <c r="AD294" s="5"/>
      <c r="AE294" s="5"/>
      <c r="AF294" s="5"/>
      <c r="AG294" s="5"/>
      <c r="AH294" s="5"/>
      <c r="AI294" s="5"/>
      <c r="AJ294" s="5"/>
      <c r="AK294" s="5"/>
      <c r="AL294" s="5"/>
      <c r="AM294" s="5"/>
      <c r="AN294" s="5"/>
      <c r="AO294" s="5"/>
      <c r="AP294" s="5"/>
      <c r="AQ294" s="5"/>
      <c r="AR294" s="5"/>
      <c r="AS294" s="22"/>
    </row>
    <row r="295" spans="1:50" hidden="1">
      <c r="B295" s="1023" t="s">
        <v>854</v>
      </c>
      <c r="C295" s="723"/>
      <c r="D295" s="999"/>
      <c r="E295" s="5"/>
      <c r="F295" s="5"/>
      <c r="G295" s="5"/>
      <c r="H295" s="16"/>
      <c r="I295" s="16"/>
      <c r="J295" s="16"/>
      <c r="K295" s="16"/>
      <c r="L295" s="16"/>
      <c r="M295" s="16"/>
      <c r="N295" s="16"/>
      <c r="O295" s="16"/>
      <c r="P295" s="16"/>
      <c r="Q295" s="16"/>
      <c r="R295" s="16"/>
      <c r="S295" s="16"/>
      <c r="T295" s="16"/>
      <c r="U295" s="16"/>
      <c r="V295" s="16"/>
      <c r="W295" s="16"/>
      <c r="X295" s="16"/>
      <c r="Y295" s="20"/>
      <c r="Z295" s="5"/>
      <c r="AA295" s="5"/>
      <c r="AB295" s="5"/>
      <c r="AC295" s="5"/>
      <c r="AD295" s="5"/>
      <c r="AE295" s="5"/>
      <c r="AF295" s="5"/>
      <c r="AG295" s="5"/>
      <c r="AH295" s="5"/>
      <c r="AI295" s="5"/>
      <c r="AJ295" s="5"/>
      <c r="AK295" s="5"/>
      <c r="AL295" s="5"/>
      <c r="AM295" s="5"/>
      <c r="AN295" s="5"/>
      <c r="AO295" s="5"/>
      <c r="AP295" s="5"/>
      <c r="AQ295" s="5"/>
      <c r="AR295" s="5"/>
      <c r="AS295" s="22"/>
    </row>
    <row r="296" spans="1:50" hidden="1">
      <c r="B296" s="1023" t="s">
        <v>863</v>
      </c>
      <c r="C296" s="723"/>
      <c r="D296" s="999"/>
      <c r="E296" s="5"/>
      <c r="F296" s="5"/>
      <c r="G296" s="5"/>
      <c r="H296" s="16"/>
      <c r="I296" s="16"/>
      <c r="J296" s="16"/>
      <c r="K296" s="16"/>
      <c r="L296" s="16"/>
      <c r="M296" s="16"/>
      <c r="N296" s="16"/>
      <c r="O296" s="16"/>
      <c r="P296" s="16"/>
      <c r="Q296" s="16"/>
      <c r="R296" s="16"/>
      <c r="S296" s="16"/>
      <c r="T296" s="16"/>
      <c r="U296" s="16"/>
      <c r="V296" s="16"/>
      <c r="W296" s="16"/>
      <c r="X296" s="16"/>
      <c r="Y296" s="20"/>
      <c r="Z296" s="5"/>
      <c r="AA296" s="5"/>
      <c r="AB296" s="5"/>
      <c r="AC296" s="5"/>
      <c r="AD296" s="5"/>
      <c r="AE296" s="5"/>
      <c r="AF296" s="5"/>
      <c r="AG296" s="5"/>
      <c r="AH296" s="5"/>
      <c r="AI296" s="5"/>
      <c r="AJ296" s="5"/>
      <c r="AK296" s="5"/>
      <c r="AL296" s="5"/>
      <c r="AM296" s="5"/>
      <c r="AN296" s="5"/>
      <c r="AO296" s="5"/>
      <c r="AP296" s="5"/>
      <c r="AQ296" s="5"/>
      <c r="AR296" s="5"/>
      <c r="AS296" s="22"/>
    </row>
    <row r="297" spans="1:50" ht="21" hidden="1">
      <c r="B297" s="1023" t="s">
        <v>863</v>
      </c>
      <c r="C297" s="723"/>
      <c r="D297" s="999"/>
      <c r="E297" s="240" t="s">
        <v>863</v>
      </c>
      <c r="F297" s="240"/>
      <c r="G297" s="240"/>
      <c r="H297" s="240"/>
      <c r="I297" s="240"/>
      <c r="J297" s="240"/>
      <c r="K297" s="5"/>
      <c r="L297" s="5"/>
      <c r="M297" s="5"/>
      <c r="N297" s="16"/>
      <c r="O297" s="5"/>
      <c r="P297" s="5"/>
      <c r="Q297" s="5"/>
      <c r="R297" s="5"/>
      <c r="S297" s="5"/>
      <c r="T297" s="5"/>
      <c r="U297" s="5"/>
      <c r="V297" s="5"/>
      <c r="W297" s="5"/>
      <c r="X297" s="20"/>
      <c r="Y297" s="5"/>
      <c r="Z297" s="5"/>
      <c r="AA297" s="5"/>
      <c r="AB297" s="5"/>
      <c r="AC297" s="5"/>
      <c r="AD297" s="5"/>
      <c r="AE297" s="5"/>
      <c r="AF297" s="5"/>
      <c r="AG297" s="5"/>
      <c r="AH297" s="5"/>
      <c r="AI297" s="5"/>
      <c r="AJ297" s="5"/>
      <c r="AK297" s="5"/>
      <c r="AL297" s="5"/>
      <c r="AM297" s="5"/>
      <c r="AN297" s="5"/>
      <c r="AO297" s="5"/>
      <c r="AP297" s="5"/>
      <c r="AQ297" s="5"/>
      <c r="AR297" s="437"/>
      <c r="AS297" s="22"/>
    </row>
    <row r="298" spans="1:50" hidden="1">
      <c r="B298" s="1023" t="s">
        <v>863</v>
      </c>
      <c r="C298" s="723"/>
      <c r="D298" s="999"/>
      <c r="E298" s="386" t="s">
        <v>483</v>
      </c>
      <c r="F298" s="386"/>
      <c r="G298" s="386" t="s">
        <v>420</v>
      </c>
      <c r="H298" s="387"/>
      <c r="I298" s="387">
        <f ca="1">OFFSET(I298,0,-1)+1</f>
        <v>1</v>
      </c>
      <c r="J298" s="387"/>
      <c r="K298" s="16"/>
      <c r="L298" s="16"/>
      <c r="M298" s="5"/>
      <c r="N298" s="16"/>
      <c r="O298" s="16"/>
      <c r="P298" s="16"/>
      <c r="Q298" s="16"/>
      <c r="R298" s="16"/>
      <c r="S298" s="16"/>
      <c r="T298" s="16"/>
      <c r="U298" s="16"/>
      <c r="V298" s="16"/>
      <c r="W298" s="16"/>
      <c r="X298" s="20"/>
      <c r="Y298" s="16"/>
      <c r="Z298" s="5"/>
      <c r="AA298" s="5"/>
      <c r="AB298" s="5"/>
      <c r="AC298" s="5"/>
      <c r="AD298" s="5"/>
      <c r="AE298" s="5"/>
      <c r="AF298" s="5"/>
      <c r="AG298" s="5"/>
      <c r="AH298" s="5"/>
      <c r="AI298" s="5"/>
      <c r="AJ298" s="5"/>
      <c r="AK298" s="5"/>
      <c r="AL298" s="5"/>
      <c r="AM298" s="5"/>
      <c r="AN298" s="5"/>
      <c r="AO298" s="5"/>
      <c r="AP298" s="5"/>
      <c r="AQ298" s="5"/>
      <c r="AR298" s="22"/>
      <c r="AS298"/>
    </row>
    <row r="299" spans="1:50" ht="18.75" hidden="1">
      <c r="B299" s="1023" t="s">
        <v>863</v>
      </c>
      <c r="C299" s="723"/>
      <c r="D299" s="999"/>
      <c r="E299" s="403" t="s">
        <v>864</v>
      </c>
      <c r="F299" s="404"/>
      <c r="G299" s="405"/>
      <c r="H299" s="406"/>
      <c r="I299" s="406"/>
      <c r="J299" s="406"/>
      <c r="K299" s="20"/>
      <c r="L299" s="20"/>
      <c r="M299" s="20"/>
      <c r="N299" s="20"/>
      <c r="O299" s="20"/>
      <c r="P299" s="16"/>
      <c r="Q299" s="16"/>
      <c r="R299" s="16"/>
      <c r="S299" s="16"/>
      <c r="T299" s="16"/>
      <c r="U299" s="16"/>
      <c r="V299" s="16"/>
      <c r="W299" s="16"/>
      <c r="X299" s="20"/>
      <c r="Y299" s="16"/>
      <c r="Z299" s="5"/>
      <c r="AA299" s="5"/>
      <c r="AB299" s="5"/>
      <c r="AC299" s="5"/>
      <c r="AD299" s="5"/>
      <c r="AE299" s="5"/>
      <c r="AF299" s="5"/>
      <c r="AG299" s="5"/>
      <c r="AH299" s="5"/>
      <c r="AI299" s="5"/>
      <c r="AJ299" s="5"/>
      <c r="AK299" s="5"/>
      <c r="AL299" s="5"/>
      <c r="AM299" s="5"/>
      <c r="AN299" s="5"/>
      <c r="AO299" s="5"/>
      <c r="AP299" s="5"/>
      <c r="AQ299" s="5"/>
      <c r="AR299" s="22"/>
      <c r="AS299"/>
    </row>
    <row r="300" spans="1:50" hidden="1">
      <c r="B300" s="1023" t="s">
        <v>863</v>
      </c>
      <c r="C300" s="723"/>
      <c r="D300" s="999"/>
      <c r="E300" s="691" t="s">
        <v>865</v>
      </c>
      <c r="F300" s="396" t="s">
        <v>866</v>
      </c>
      <c r="G300" s="395" t="s">
        <v>867</v>
      </c>
      <c r="H300" s="408"/>
      <c r="I300" s="409">
        <v>211</v>
      </c>
      <c r="J300" s="408"/>
      <c r="K300" s="20"/>
      <c r="L300" s="20"/>
      <c r="M300" s="20"/>
      <c r="N300" s="16"/>
      <c r="O300" s="20"/>
      <c r="P300" s="16"/>
      <c r="Q300" s="16"/>
      <c r="R300" s="16"/>
      <c r="S300" s="16"/>
      <c r="T300" s="16"/>
      <c r="U300" s="16"/>
      <c r="V300" s="16"/>
      <c r="W300" s="16"/>
      <c r="X300" s="20"/>
      <c r="Y300" s="16"/>
      <c r="Z300" s="5"/>
      <c r="AA300" s="5"/>
      <c r="AB300" s="5"/>
      <c r="AC300" s="5"/>
      <c r="AD300" s="5"/>
      <c r="AE300" s="5"/>
      <c r="AF300" s="5"/>
      <c r="AG300" s="5"/>
      <c r="AH300" s="5"/>
      <c r="AI300" s="5"/>
      <c r="AJ300" s="5"/>
      <c r="AK300" s="5"/>
      <c r="AL300" s="5"/>
      <c r="AM300" s="5"/>
      <c r="AN300" s="5"/>
      <c r="AO300" s="5"/>
      <c r="AP300" s="5"/>
      <c r="AQ300" s="5"/>
      <c r="AR300" s="379"/>
      <c r="AS300"/>
    </row>
    <row r="301" spans="1:50" hidden="1">
      <c r="B301" s="1023" t="s">
        <v>863</v>
      </c>
      <c r="C301" s="723"/>
      <c r="D301" s="999"/>
      <c r="E301" s="690"/>
      <c r="F301" s="692" t="s">
        <v>868</v>
      </c>
      <c r="G301" s="395" t="s">
        <v>166</v>
      </c>
      <c r="H301" s="408"/>
      <c r="I301" s="546">
        <f>koken_elektriciteit/$I$314</f>
        <v>1.7583333333333333</v>
      </c>
      <c r="J301" s="408"/>
      <c r="K301" s="20"/>
      <c r="L301" s="20"/>
      <c r="M301" s="20"/>
      <c r="N301" s="16"/>
      <c r="O301" s="20"/>
      <c r="P301" s="16"/>
      <c r="Q301" s="16"/>
      <c r="R301" s="16"/>
      <c r="S301" s="16"/>
      <c r="T301" s="16"/>
      <c r="U301" s="16"/>
      <c r="V301" s="16"/>
      <c r="W301" s="16"/>
      <c r="X301" s="20"/>
      <c r="Y301" s="16"/>
      <c r="Z301" s="5"/>
      <c r="AA301" s="5"/>
      <c r="AB301" s="5"/>
      <c r="AC301" s="5"/>
      <c r="AD301" s="5"/>
      <c r="AE301" s="5"/>
      <c r="AF301" s="5"/>
      <c r="AG301" s="5"/>
      <c r="AH301" s="5"/>
      <c r="AI301" s="5"/>
      <c r="AJ301" s="5"/>
      <c r="AK301" s="5"/>
      <c r="AL301" s="5"/>
      <c r="AM301" s="5"/>
      <c r="AN301" s="5"/>
      <c r="AO301" s="5"/>
      <c r="AP301" s="5"/>
      <c r="AQ301" s="5"/>
      <c r="AR301" s="379"/>
      <c r="AS301"/>
    </row>
    <row r="302" spans="1:50" hidden="1">
      <c r="B302" s="1023" t="s">
        <v>863</v>
      </c>
      <c r="C302" s="723"/>
      <c r="D302" s="999"/>
      <c r="E302" s="693"/>
      <c r="F302" s="692" t="s">
        <v>205</v>
      </c>
      <c r="G302" s="395" t="s">
        <v>68</v>
      </c>
      <c r="H302" s="408"/>
      <c r="I302" s="694" t="str">
        <f>elektriciteit</f>
        <v>elektriciteit</v>
      </c>
      <c r="J302" s="408"/>
      <c r="K302" s="20"/>
      <c r="L302" s="20"/>
      <c r="M302" s="20"/>
      <c r="N302" s="16"/>
      <c r="O302" s="20"/>
      <c r="P302" s="16"/>
      <c r="Q302" s="16"/>
      <c r="R302" s="16"/>
      <c r="S302" s="16"/>
      <c r="T302" s="16"/>
      <c r="U302" s="16"/>
      <c r="V302" s="16"/>
      <c r="W302" s="16"/>
      <c r="X302" s="20"/>
      <c r="Y302" s="16"/>
      <c r="Z302" s="5"/>
      <c r="AA302" s="5"/>
      <c r="AB302" s="5"/>
      <c r="AC302" s="5"/>
      <c r="AD302" s="5"/>
      <c r="AE302" s="5"/>
      <c r="AF302" s="5"/>
      <c r="AG302" s="5"/>
      <c r="AH302" s="5"/>
      <c r="AI302" s="5"/>
      <c r="AJ302" s="5"/>
      <c r="AK302" s="5"/>
      <c r="AL302" s="5"/>
      <c r="AM302" s="5"/>
      <c r="AN302" s="5"/>
      <c r="AO302" s="5"/>
      <c r="AP302" s="5"/>
      <c r="AQ302" s="5"/>
      <c r="AR302" s="379"/>
      <c r="AS302"/>
    </row>
    <row r="303" spans="1:50" hidden="1">
      <c r="B303" s="1023" t="s">
        <v>863</v>
      </c>
      <c r="C303" s="723"/>
      <c r="D303" s="999"/>
      <c r="E303" s="691" t="s">
        <v>869</v>
      </c>
      <c r="F303" s="396" t="s">
        <v>870</v>
      </c>
      <c r="G303" s="395" t="s">
        <v>871</v>
      </c>
      <c r="H303" s="408"/>
      <c r="I303" s="409">
        <v>39</v>
      </c>
      <c r="J303" s="408"/>
      <c r="K303" s="20"/>
      <c r="L303" s="20"/>
      <c r="M303" s="20"/>
      <c r="N303" s="16"/>
      <c r="O303" s="20"/>
      <c r="P303" s="16"/>
      <c r="Q303" s="16"/>
      <c r="R303" s="16"/>
      <c r="S303" s="16"/>
      <c r="T303" s="16"/>
      <c r="U303" s="16"/>
      <c r="V303" s="16"/>
      <c r="W303" s="16"/>
      <c r="X303" s="20"/>
      <c r="Y303" s="16"/>
      <c r="Z303" s="5"/>
      <c r="AA303" s="5"/>
      <c r="AB303" s="5"/>
      <c r="AC303" s="5"/>
      <c r="AD303" s="5"/>
      <c r="AE303" s="5"/>
      <c r="AF303" s="5"/>
      <c r="AG303" s="5"/>
      <c r="AH303" s="5"/>
      <c r="AI303" s="5"/>
      <c r="AJ303" s="5"/>
      <c r="AK303" s="5"/>
      <c r="AL303" s="5"/>
      <c r="AM303" s="5"/>
      <c r="AN303" s="5"/>
      <c r="AO303" s="5"/>
      <c r="AP303" s="5"/>
      <c r="AQ303" s="5"/>
      <c r="AR303" s="379"/>
      <c r="AS303"/>
    </row>
    <row r="304" spans="1:50" hidden="1">
      <c r="B304" s="1023" t="s">
        <v>863</v>
      </c>
      <c r="C304" s="723"/>
      <c r="D304" s="999"/>
      <c r="E304" s="690"/>
      <c r="F304" s="396" t="s">
        <v>872</v>
      </c>
      <c r="G304" s="395" t="s">
        <v>867</v>
      </c>
      <c r="H304" s="408"/>
      <c r="I304" s="694">
        <f>I303*$I$452</f>
        <v>381.00833333333333</v>
      </c>
      <c r="J304" s="408"/>
      <c r="K304" s="20"/>
      <c r="L304" s="20"/>
      <c r="M304" s="20"/>
      <c r="N304" s="16"/>
      <c r="O304" s="20"/>
      <c r="P304" s="16"/>
      <c r="Q304" s="16"/>
      <c r="R304" s="16"/>
      <c r="S304" s="16"/>
      <c r="T304" s="16"/>
      <c r="U304" s="16"/>
      <c r="V304" s="16"/>
      <c r="W304" s="16"/>
      <c r="X304" s="20"/>
      <c r="Y304" s="16"/>
      <c r="Z304" s="5"/>
      <c r="AA304" s="5"/>
      <c r="AB304" s="5"/>
      <c r="AC304" s="5"/>
      <c r="AD304" s="5"/>
      <c r="AE304" s="5"/>
      <c r="AF304" s="5"/>
      <c r="AG304" s="5"/>
      <c r="AH304" s="5"/>
      <c r="AI304" s="5"/>
      <c r="AJ304" s="5"/>
      <c r="AK304" s="5"/>
      <c r="AL304" s="5"/>
      <c r="AM304" s="5"/>
      <c r="AN304" s="5"/>
      <c r="AO304" s="5"/>
      <c r="AP304" s="5"/>
      <c r="AQ304" s="5"/>
      <c r="AR304" s="379"/>
      <c r="AS304"/>
    </row>
    <row r="305" spans="2:45" hidden="1">
      <c r="B305" s="1023" t="s">
        <v>863</v>
      </c>
      <c r="C305" s="723"/>
      <c r="D305" s="999"/>
      <c r="E305" s="690"/>
      <c r="F305" s="692" t="s">
        <v>868</v>
      </c>
      <c r="G305" s="395" t="s">
        <v>166</v>
      </c>
      <c r="H305" s="408"/>
      <c r="I305" s="546">
        <f>koken_gas/$I$314</f>
        <v>3.1750694444444445</v>
      </c>
      <c r="J305" s="408"/>
      <c r="K305" s="20"/>
      <c r="L305" s="20"/>
      <c r="M305" s="20"/>
      <c r="N305" s="16"/>
      <c r="O305" s="20"/>
      <c r="P305" s="16"/>
      <c r="Q305" s="16"/>
      <c r="R305" s="16"/>
      <c r="S305" s="16"/>
      <c r="T305" s="16"/>
      <c r="U305" s="16"/>
      <c r="V305" s="16"/>
      <c r="W305" s="16"/>
      <c r="X305" s="20"/>
      <c r="Y305" s="16"/>
      <c r="Z305" s="5"/>
      <c r="AA305" s="5"/>
      <c r="AB305" s="5"/>
      <c r="AC305" s="5"/>
      <c r="AD305" s="5"/>
      <c r="AE305" s="5"/>
      <c r="AF305" s="5"/>
      <c r="AG305" s="5"/>
      <c r="AH305" s="5"/>
      <c r="AI305" s="5"/>
      <c r="AJ305" s="5"/>
      <c r="AK305" s="5"/>
      <c r="AL305" s="5"/>
      <c r="AM305" s="5"/>
      <c r="AN305" s="5"/>
      <c r="AO305" s="5"/>
      <c r="AP305" s="5"/>
      <c r="AQ305" s="5"/>
      <c r="AR305" s="379"/>
      <c r="AS305"/>
    </row>
    <row r="306" spans="2:45" hidden="1">
      <c r="B306" s="1023" t="s">
        <v>863</v>
      </c>
      <c r="C306" s="723"/>
      <c r="D306" s="999"/>
      <c r="E306" s="693"/>
      <c r="F306" s="692" t="s">
        <v>205</v>
      </c>
      <c r="G306" s="395" t="s">
        <v>68</v>
      </c>
      <c r="H306" s="408"/>
      <c r="I306" s="694" t="str">
        <f>aardgas</f>
        <v>aardgas</v>
      </c>
      <c r="J306" s="408"/>
      <c r="K306" s="20"/>
      <c r="L306" s="20"/>
      <c r="M306" s="20"/>
      <c r="N306" s="16"/>
      <c r="O306" s="20"/>
      <c r="P306" s="16"/>
      <c r="Q306" s="16"/>
      <c r="R306" s="16"/>
      <c r="S306" s="16"/>
      <c r="T306" s="16"/>
      <c r="U306" s="16"/>
      <c r="V306" s="16"/>
      <c r="W306" s="16"/>
      <c r="X306" s="20"/>
      <c r="Y306" s="16"/>
      <c r="Z306" s="5"/>
      <c r="AA306" s="5"/>
      <c r="AB306" s="5"/>
      <c r="AC306" s="5"/>
      <c r="AD306" s="5"/>
      <c r="AE306" s="5"/>
      <c r="AF306" s="5"/>
      <c r="AG306" s="5"/>
      <c r="AH306" s="5"/>
      <c r="AI306" s="5"/>
      <c r="AJ306" s="5"/>
      <c r="AK306" s="5"/>
      <c r="AL306" s="5"/>
      <c r="AM306" s="5"/>
      <c r="AN306" s="5"/>
      <c r="AO306" s="5"/>
      <c r="AP306" s="5"/>
      <c r="AQ306" s="5"/>
      <c r="AR306" s="379"/>
      <c r="AS306"/>
    </row>
    <row r="307" spans="2:45" hidden="1">
      <c r="B307" s="1023" t="s">
        <v>863</v>
      </c>
      <c r="C307" s="723"/>
      <c r="D307" s="999"/>
      <c r="E307" s="785" t="s">
        <v>873</v>
      </c>
      <c r="F307" s="391"/>
      <c r="G307" s="391"/>
      <c r="H307" s="391"/>
      <c r="I307" s="544"/>
      <c r="J307" s="544"/>
      <c r="K307" s="20"/>
      <c r="L307" s="20"/>
      <c r="M307" s="20"/>
      <c r="N307" s="16"/>
      <c r="O307" s="20"/>
      <c r="P307" s="16"/>
      <c r="Q307" s="16"/>
      <c r="R307" s="16"/>
      <c r="S307" s="16"/>
      <c r="T307" s="16"/>
      <c r="U307" s="16"/>
      <c r="V307" s="16"/>
      <c r="W307" s="16"/>
      <c r="X307" s="20"/>
      <c r="Y307" s="16"/>
      <c r="Z307" s="5"/>
      <c r="AA307" s="5"/>
      <c r="AB307" s="5"/>
      <c r="AC307" s="5"/>
      <c r="AD307" s="5"/>
      <c r="AE307" s="5"/>
      <c r="AF307" s="5"/>
      <c r="AG307" s="5"/>
      <c r="AH307" s="5"/>
      <c r="AI307" s="5"/>
      <c r="AJ307" s="5"/>
      <c r="AK307" s="5"/>
      <c r="AL307" s="5"/>
      <c r="AM307" s="5"/>
      <c r="AN307" s="5"/>
      <c r="AO307" s="5"/>
      <c r="AP307" s="5"/>
      <c r="AQ307" s="5"/>
      <c r="AR307" s="379"/>
      <c r="AS307"/>
    </row>
    <row r="308" spans="2:45" hidden="1">
      <c r="B308" s="1023" t="s">
        <v>863</v>
      </c>
      <c r="C308" s="723"/>
      <c r="D308" s="999"/>
      <c r="E308" s="5"/>
      <c r="F308" s="5"/>
      <c r="G308" s="5"/>
      <c r="H308" s="16"/>
      <c r="I308" s="16"/>
      <c r="J308" s="16"/>
      <c r="K308" s="16"/>
      <c r="L308" s="16"/>
      <c r="M308" s="16"/>
      <c r="N308" s="16"/>
      <c r="O308" s="16"/>
      <c r="P308" s="16"/>
      <c r="Q308" s="16"/>
      <c r="R308" s="16"/>
      <c r="S308" s="16"/>
      <c r="T308" s="16"/>
      <c r="U308" s="16"/>
      <c r="V308" s="16"/>
      <c r="W308" s="16"/>
      <c r="X308" s="16"/>
      <c r="Y308" s="20"/>
      <c r="Z308" s="5"/>
      <c r="AA308" s="5"/>
      <c r="AB308" s="5"/>
      <c r="AC308" s="5"/>
      <c r="AD308" s="5"/>
      <c r="AE308" s="5"/>
      <c r="AF308" s="5"/>
      <c r="AG308" s="5"/>
      <c r="AH308" s="5"/>
      <c r="AI308" s="5"/>
      <c r="AJ308" s="5"/>
      <c r="AK308" s="5"/>
      <c r="AL308" s="5"/>
      <c r="AM308" s="5"/>
      <c r="AN308" s="5"/>
      <c r="AO308" s="5"/>
      <c r="AP308" s="5"/>
      <c r="AQ308" s="5"/>
      <c r="AR308" s="5"/>
      <c r="AS308" s="22"/>
    </row>
    <row r="309" spans="2:45" hidden="1">
      <c r="B309" s="1023" t="s">
        <v>874</v>
      </c>
      <c r="C309" s="723"/>
      <c r="D309" s="999"/>
      <c r="E309" s="5"/>
      <c r="F309" s="5"/>
      <c r="G309" s="5"/>
      <c r="H309" s="16"/>
      <c r="I309" s="16"/>
      <c r="J309" s="16"/>
      <c r="K309" s="16"/>
      <c r="L309" s="16"/>
      <c r="M309" s="16"/>
      <c r="N309" s="16"/>
      <c r="O309" s="16"/>
      <c r="P309" s="16"/>
      <c r="Q309" s="16"/>
      <c r="R309" s="16"/>
      <c r="S309" s="16"/>
      <c r="T309" s="16"/>
      <c r="U309" s="16"/>
      <c r="V309" s="16"/>
      <c r="W309" s="16"/>
      <c r="X309" s="16"/>
      <c r="Y309" s="20"/>
      <c r="Z309" s="5"/>
      <c r="AA309" s="5"/>
      <c r="AB309" s="5"/>
      <c r="AC309" s="5"/>
      <c r="AD309" s="5"/>
      <c r="AE309" s="5"/>
      <c r="AF309" s="5"/>
      <c r="AG309" s="5"/>
      <c r="AH309" s="5"/>
      <c r="AI309" s="5"/>
      <c r="AJ309" s="5"/>
      <c r="AK309" s="5"/>
      <c r="AL309" s="5"/>
      <c r="AM309" s="5"/>
      <c r="AN309" s="5"/>
      <c r="AO309" s="5"/>
      <c r="AP309" s="5"/>
      <c r="AQ309" s="5"/>
      <c r="AR309" s="5"/>
      <c r="AS309" s="22"/>
    </row>
    <row r="310" spans="2:45" ht="21" hidden="1">
      <c r="B310" s="1023" t="s">
        <v>874</v>
      </c>
      <c r="C310" s="723"/>
      <c r="D310" s="999"/>
      <c r="E310" s="240" t="s">
        <v>874</v>
      </c>
      <c r="F310" s="240"/>
      <c r="G310" s="240"/>
      <c r="H310" s="240"/>
      <c r="I310" s="240"/>
      <c r="J310" s="240"/>
      <c r="K310" s="240"/>
      <c r="L310" s="5"/>
      <c r="M310" s="5"/>
      <c r="N310" s="5"/>
      <c r="O310" s="16"/>
      <c r="P310" s="5"/>
      <c r="Q310" s="5"/>
      <c r="R310" s="5"/>
      <c r="S310" s="5"/>
      <c r="T310" s="5"/>
      <c r="U310" s="5"/>
      <c r="V310" s="5"/>
      <c r="W310" s="5"/>
      <c r="X310" s="5"/>
      <c r="Y310" s="20"/>
      <c r="Z310" s="5"/>
      <c r="AA310" s="5"/>
      <c r="AB310" s="5"/>
      <c r="AC310" s="5"/>
      <c r="AD310" s="5"/>
      <c r="AE310" s="5"/>
      <c r="AF310" s="5"/>
      <c r="AG310" s="5"/>
      <c r="AH310" s="5"/>
      <c r="AI310" s="5"/>
      <c r="AJ310" s="5"/>
      <c r="AK310" s="5"/>
      <c r="AL310" s="5"/>
      <c r="AM310" s="5"/>
      <c r="AN310" s="5"/>
      <c r="AO310" s="5"/>
      <c r="AP310" s="5"/>
      <c r="AQ310" s="5"/>
      <c r="AR310" s="5"/>
      <c r="AS310" s="437"/>
    </row>
    <row r="311" spans="2:45" hidden="1">
      <c r="B311" s="1023" t="s">
        <v>874</v>
      </c>
      <c r="C311" s="723"/>
      <c r="D311" s="999"/>
      <c r="E311" s="386" t="s">
        <v>483</v>
      </c>
      <c r="F311" s="386"/>
      <c r="G311" s="386" t="s">
        <v>420</v>
      </c>
      <c r="H311" s="387"/>
      <c r="I311" s="387">
        <f ca="1">OFFSET(I311,0,-1)+1</f>
        <v>1</v>
      </c>
      <c r="J311" s="387">
        <f ca="1">OFFSET(J311,0,-1)+1</f>
        <v>2</v>
      </c>
      <c r="K311" s="387"/>
      <c r="L311" s="16"/>
      <c r="M311" s="16"/>
      <c r="N311" s="5"/>
      <c r="O311" s="16"/>
      <c r="P311" s="16"/>
      <c r="Q311" s="16"/>
      <c r="R311" s="16"/>
      <c r="S311" s="16"/>
      <c r="T311" s="16"/>
      <c r="U311" s="16"/>
      <c r="V311" s="16"/>
      <c r="W311" s="16"/>
      <c r="X311" s="16"/>
      <c r="Y311" s="20"/>
      <c r="Z311" s="16"/>
      <c r="AA311" s="5"/>
      <c r="AB311" s="5"/>
      <c r="AC311" s="5"/>
      <c r="AD311" s="5"/>
      <c r="AE311" s="5"/>
      <c r="AF311" s="5"/>
      <c r="AG311" s="5"/>
      <c r="AH311" s="5"/>
      <c r="AI311" s="5"/>
      <c r="AJ311" s="5"/>
      <c r="AK311" s="5"/>
      <c r="AL311" s="5"/>
      <c r="AM311" s="5"/>
      <c r="AN311" s="5"/>
      <c r="AO311" s="5"/>
      <c r="AP311" s="5"/>
      <c r="AQ311" s="5"/>
      <c r="AR311" s="5"/>
      <c r="AS311" s="22"/>
    </row>
    <row r="312" spans="2:45" ht="18.75" hidden="1">
      <c r="B312" s="1023" t="s">
        <v>874</v>
      </c>
      <c r="C312" s="723"/>
      <c r="D312" s="999"/>
      <c r="E312" s="403" t="s">
        <v>875</v>
      </c>
      <c r="F312" s="404"/>
      <c r="G312" s="405"/>
      <c r="H312" s="406"/>
      <c r="I312" s="406"/>
      <c r="J312" s="406"/>
      <c r="K312" s="406"/>
      <c r="L312" s="20"/>
      <c r="M312" s="20"/>
      <c r="N312" s="20"/>
      <c r="O312" s="20"/>
      <c r="P312" s="20"/>
      <c r="Q312" s="16"/>
      <c r="R312" s="16"/>
      <c r="S312" s="16"/>
      <c r="T312" s="16"/>
      <c r="U312" s="16"/>
      <c r="V312" s="16"/>
      <c r="W312" s="16"/>
      <c r="X312" s="16"/>
      <c r="Y312" s="20"/>
      <c r="Z312" s="16"/>
      <c r="AA312" s="5"/>
      <c r="AB312" s="5"/>
      <c r="AC312" s="5"/>
      <c r="AD312" s="5"/>
      <c r="AE312" s="5"/>
      <c r="AF312" s="5"/>
      <c r="AG312" s="5"/>
      <c r="AH312" s="5"/>
      <c r="AI312" s="5"/>
      <c r="AJ312" s="5"/>
      <c r="AK312" s="5"/>
      <c r="AL312" s="5"/>
      <c r="AM312" s="5"/>
      <c r="AN312" s="5"/>
      <c r="AO312" s="5"/>
      <c r="AP312" s="5"/>
      <c r="AQ312" s="5"/>
      <c r="AR312" s="5"/>
      <c r="AS312" s="22"/>
    </row>
    <row r="313" spans="2:45" hidden="1">
      <c r="B313" s="1023" t="s">
        <v>874</v>
      </c>
      <c r="C313" s="723"/>
      <c r="D313" s="999"/>
      <c r="E313" s="395" t="s">
        <v>1979</v>
      </c>
      <c r="F313" s="396"/>
      <c r="G313" s="395" t="s">
        <v>867</v>
      </c>
      <c r="H313" s="408"/>
      <c r="I313" s="409">
        <v>2500</v>
      </c>
      <c r="J313" s="785" t="s">
        <v>876</v>
      </c>
      <c r="K313" s="408"/>
      <c r="L313" s="20"/>
      <c r="M313" s="20"/>
      <c r="N313" s="20"/>
      <c r="O313" s="16"/>
      <c r="P313" s="20"/>
      <c r="Q313" s="16"/>
      <c r="R313" s="16"/>
      <c r="S313" s="16"/>
      <c r="T313" s="16"/>
      <c r="U313" s="16"/>
      <c r="V313" s="16"/>
      <c r="W313" s="16"/>
      <c r="X313" s="16"/>
      <c r="Y313" s="20"/>
      <c r="Z313" s="16"/>
      <c r="AA313" s="5"/>
      <c r="AB313" s="5"/>
      <c r="AC313" s="5"/>
      <c r="AD313" s="5"/>
      <c r="AE313" s="5"/>
      <c r="AF313" s="5"/>
      <c r="AG313" s="5"/>
      <c r="AH313" s="5"/>
      <c r="AI313" s="5"/>
      <c r="AJ313" s="5"/>
      <c r="AK313" s="5"/>
      <c r="AL313" s="5"/>
      <c r="AM313" s="5"/>
      <c r="AN313" s="5"/>
      <c r="AO313" s="5"/>
      <c r="AP313" s="5"/>
      <c r="AQ313" s="5"/>
      <c r="AR313" s="5"/>
      <c r="AS313" s="379"/>
    </row>
    <row r="314" spans="2:45" hidden="1">
      <c r="B314" s="1023" t="s">
        <v>874</v>
      </c>
      <c r="C314" s="723"/>
      <c r="D314" s="999"/>
      <c r="E314" s="395" t="s">
        <v>1980</v>
      </c>
      <c r="F314" s="396"/>
      <c r="G314" s="395" t="s">
        <v>877</v>
      </c>
      <c r="H314" s="408"/>
      <c r="I314" s="409">
        <v>120</v>
      </c>
      <c r="J314" s="785" t="s">
        <v>876</v>
      </c>
      <c r="K314" s="408"/>
      <c r="L314" s="20"/>
      <c r="M314" s="20"/>
      <c r="N314" s="20"/>
      <c r="O314" s="20"/>
      <c r="P314" s="20"/>
      <c r="Q314" s="16"/>
      <c r="R314" s="16"/>
      <c r="S314" s="16"/>
      <c r="T314" s="16"/>
      <c r="U314" s="16"/>
      <c r="V314" s="16"/>
      <c r="W314" s="16"/>
      <c r="X314" s="16"/>
      <c r="Y314" s="20"/>
      <c r="Z314" s="16"/>
      <c r="AA314" s="5"/>
      <c r="AB314" s="5"/>
      <c r="AC314" s="5"/>
      <c r="AD314" s="5"/>
      <c r="AE314" s="5"/>
      <c r="AF314" s="5"/>
      <c r="AG314" s="5"/>
      <c r="AH314" s="5"/>
      <c r="AI314" s="5"/>
      <c r="AJ314" s="5"/>
      <c r="AK314" s="5"/>
      <c r="AL314" s="5"/>
      <c r="AM314" s="5"/>
      <c r="AN314" s="5"/>
      <c r="AO314" s="5"/>
      <c r="AP314" s="5"/>
      <c r="AQ314" s="5"/>
      <c r="AR314" s="5"/>
      <c r="AS314" s="22"/>
    </row>
    <row r="315" spans="2:45" hidden="1">
      <c r="B315" s="1023" t="s">
        <v>874</v>
      </c>
      <c r="C315" s="723"/>
      <c r="D315" s="999"/>
      <c r="E315" s="395" t="s">
        <v>878</v>
      </c>
      <c r="F315" s="396"/>
      <c r="G315" s="395" t="s">
        <v>147</v>
      </c>
      <c r="H315" s="408"/>
      <c r="I315" s="410">
        <v>0.25</v>
      </c>
      <c r="J315" s="438"/>
      <c r="K315" s="408"/>
      <c r="L315" s="20"/>
      <c r="M315" s="20"/>
      <c r="N315" s="20"/>
      <c r="O315" s="20"/>
      <c r="P315" s="20"/>
      <c r="Q315" s="16"/>
      <c r="R315" s="16"/>
      <c r="S315" s="16"/>
      <c r="T315" s="16"/>
      <c r="U315" s="16"/>
      <c r="V315" s="16"/>
      <c r="W315" s="16"/>
      <c r="X315" s="16"/>
      <c r="Y315" s="20"/>
      <c r="Z315" s="16"/>
      <c r="AA315" s="5"/>
      <c r="AB315" s="5"/>
      <c r="AC315" s="5"/>
      <c r="AD315" s="5"/>
      <c r="AE315" s="5"/>
      <c r="AF315" s="5"/>
      <c r="AG315" s="5"/>
      <c r="AH315" s="5"/>
      <c r="AI315" s="5"/>
      <c r="AJ315" s="5"/>
      <c r="AK315" s="5"/>
      <c r="AL315" s="5"/>
      <c r="AM315" s="5"/>
      <c r="AN315" s="5"/>
      <c r="AO315" s="5"/>
      <c r="AP315" s="5"/>
      <c r="AQ315" s="5"/>
      <c r="AR315" s="5"/>
      <c r="AS315" s="22"/>
    </row>
    <row r="316" spans="2:45" ht="18.75" hidden="1">
      <c r="B316" s="1023" t="s">
        <v>874</v>
      </c>
      <c r="C316" s="723"/>
      <c r="D316" s="999"/>
      <c r="E316" s="403" t="s">
        <v>879</v>
      </c>
      <c r="F316" s="404"/>
      <c r="G316" s="405"/>
      <c r="H316" s="406"/>
      <c r="I316" s="406"/>
      <c r="J316" s="406"/>
      <c r="K316" s="406"/>
      <c r="L316" s="20"/>
      <c r="M316" s="20"/>
      <c r="N316" s="16"/>
      <c r="O316" s="16"/>
      <c r="P316" s="16"/>
      <c r="Q316" s="16"/>
      <c r="R316" s="16"/>
      <c r="S316" s="16"/>
      <c r="T316" s="16"/>
      <c r="U316" s="16"/>
      <c r="V316" s="16"/>
      <c r="W316" s="16"/>
      <c r="X316" s="16"/>
      <c r="Y316" s="20"/>
      <c r="Z316" s="16"/>
      <c r="AA316" s="5"/>
      <c r="AB316" s="5"/>
      <c r="AC316" s="5"/>
      <c r="AD316" s="5"/>
      <c r="AE316" s="5"/>
      <c r="AF316" s="5"/>
      <c r="AG316" s="5"/>
      <c r="AH316" s="5"/>
      <c r="AI316" s="5"/>
      <c r="AJ316" s="5"/>
      <c r="AK316" s="5"/>
      <c r="AL316" s="5"/>
      <c r="AM316" s="5"/>
      <c r="AN316" s="5"/>
      <c r="AO316" s="5"/>
      <c r="AP316" s="5"/>
      <c r="AQ316" s="5"/>
      <c r="AR316" s="5"/>
      <c r="AS316" s="22"/>
    </row>
    <row r="317" spans="2:45" hidden="1">
      <c r="B317" s="1023" t="s">
        <v>874</v>
      </c>
      <c r="C317" s="723"/>
      <c r="D317" s="999"/>
      <c r="E317" s="395" t="s">
        <v>868</v>
      </c>
      <c r="F317" s="396"/>
      <c r="G317" s="395" t="s">
        <v>166</v>
      </c>
      <c r="H317" s="408"/>
      <c r="I317" s="546">
        <f>ROUND(I313/I314,1)</f>
        <v>20.8</v>
      </c>
      <c r="J317" s="407"/>
      <c r="K317" s="408"/>
      <c r="L317" s="20"/>
      <c r="M317" s="20"/>
      <c r="N317" s="16"/>
      <c r="O317" s="16"/>
      <c r="P317" s="16"/>
      <c r="Q317" s="16"/>
      <c r="R317" s="16"/>
      <c r="S317" s="16"/>
      <c r="T317" s="16"/>
      <c r="U317" s="16"/>
      <c r="V317" s="16"/>
      <c r="W317" s="16"/>
      <c r="X317" s="16"/>
      <c r="Y317" s="20"/>
      <c r="Z317" s="16"/>
      <c r="AA317" s="5"/>
      <c r="AB317" s="5"/>
      <c r="AC317" s="5"/>
      <c r="AD317" s="5"/>
      <c r="AE317" s="5"/>
      <c r="AF317" s="5"/>
      <c r="AG317" s="5"/>
      <c r="AH317" s="5"/>
      <c r="AI317" s="5"/>
      <c r="AJ317" s="5"/>
      <c r="AK317" s="5"/>
      <c r="AL317" s="5"/>
      <c r="AM317" s="5"/>
      <c r="AN317" s="5"/>
      <c r="AO317" s="5"/>
      <c r="AP317" s="5"/>
      <c r="AQ317" s="5"/>
      <c r="AR317" s="5"/>
      <c r="AS317" s="22"/>
    </row>
    <row r="318" spans="2:45" hidden="1">
      <c r="B318" s="1023" t="s">
        <v>874</v>
      </c>
      <c r="C318" s="723"/>
      <c r="D318" s="999"/>
      <c r="E318" s="395" t="s">
        <v>880</v>
      </c>
      <c r="F318" s="396"/>
      <c r="G318" s="395" t="s">
        <v>166</v>
      </c>
      <c r="H318" s="408"/>
      <c r="I318" s="407">
        <v>9.5</v>
      </c>
      <c r="J318" s="411" t="s">
        <v>881</v>
      </c>
      <c r="K318" s="408"/>
      <c r="L318" s="20"/>
      <c r="M318" s="20"/>
      <c r="N318" s="16"/>
      <c r="O318" s="16"/>
      <c r="P318" s="16"/>
      <c r="Q318" s="16"/>
      <c r="R318" s="16"/>
      <c r="S318" s="16"/>
      <c r="T318" s="16"/>
      <c r="U318" s="16"/>
      <c r="V318" s="16"/>
      <c r="W318" s="16"/>
      <c r="X318" s="16"/>
      <c r="Y318" s="20"/>
      <c r="Z318" s="16"/>
      <c r="AA318" s="5"/>
      <c r="AB318" s="5"/>
      <c r="AC318" s="5"/>
      <c r="AD318" s="5"/>
      <c r="AE318" s="5"/>
      <c r="AF318" s="5"/>
      <c r="AG318" s="5"/>
      <c r="AH318" s="5"/>
      <c r="AI318" s="5"/>
      <c r="AJ318" s="5"/>
      <c r="AK318" s="5"/>
      <c r="AL318" s="5"/>
      <c r="AM318" s="5"/>
      <c r="AN318" s="5"/>
      <c r="AO318" s="5"/>
      <c r="AP318" s="5"/>
      <c r="AQ318" s="5"/>
      <c r="AR318" s="5"/>
      <c r="AS318" s="22"/>
    </row>
    <row r="319" spans="2:45" hidden="1">
      <c r="B319" s="1023" t="s">
        <v>874</v>
      </c>
      <c r="C319" s="723"/>
      <c r="D319" s="999"/>
      <c r="E319" s="395" t="s">
        <v>882</v>
      </c>
      <c r="F319" s="692"/>
      <c r="G319" s="395" t="s">
        <v>166</v>
      </c>
      <c r="H319" s="695"/>
      <c r="I319" s="546">
        <f>I315*koken_elektriciteit/I314</f>
        <v>0.43958333333333333</v>
      </c>
      <c r="J319" s="696"/>
      <c r="K319" s="695"/>
      <c r="L319" s="20"/>
      <c r="M319" s="20"/>
      <c r="N319" s="16"/>
      <c r="O319" s="16"/>
      <c r="P319" s="16"/>
      <c r="Q319" s="16"/>
      <c r="R319" s="16"/>
      <c r="S319" s="16"/>
      <c r="T319" s="16"/>
      <c r="U319" s="16"/>
      <c r="V319" s="16"/>
      <c r="W319" s="16"/>
      <c r="X319" s="16"/>
      <c r="Y319" s="20"/>
      <c r="Z319" s="16"/>
      <c r="AA319" s="5"/>
      <c r="AB319" s="5"/>
      <c r="AC319" s="5"/>
      <c r="AD319" s="5"/>
      <c r="AE319" s="5"/>
      <c r="AF319" s="5"/>
      <c r="AG319" s="5"/>
      <c r="AH319" s="5"/>
      <c r="AI319" s="5"/>
      <c r="AJ319" s="5"/>
      <c r="AK319" s="5"/>
      <c r="AL319" s="5"/>
      <c r="AM319" s="5"/>
      <c r="AN319" s="5"/>
      <c r="AO319" s="5"/>
      <c r="AP319" s="5"/>
      <c r="AQ319" s="5"/>
      <c r="AR319" s="5"/>
      <c r="AS319" s="22"/>
    </row>
    <row r="320" spans="2:45" hidden="1">
      <c r="B320" s="1023" t="s">
        <v>874</v>
      </c>
      <c r="C320" s="723"/>
      <c r="D320" s="999"/>
      <c r="E320" s="597" t="s">
        <v>883</v>
      </c>
      <c r="F320" s="598"/>
      <c r="G320" s="597" t="s">
        <v>166</v>
      </c>
      <c r="H320" s="599"/>
      <c r="I320" s="600">
        <f>IF(I321&lt;&gt;"",I321,I317-I318-I319)</f>
        <v>10.860416666666667</v>
      </c>
      <c r="J320" s="601"/>
      <c r="K320" s="599"/>
      <c r="L320" s="20"/>
      <c r="M320" s="20"/>
      <c r="N320" s="16"/>
      <c r="O320" s="16"/>
      <c r="P320" s="16"/>
      <c r="Q320" s="16"/>
      <c r="R320" s="16"/>
      <c r="S320" s="16"/>
      <c r="T320" s="16"/>
      <c r="U320" s="16"/>
      <c r="V320" s="16"/>
      <c r="W320" s="16"/>
      <c r="X320" s="16"/>
      <c r="Y320" s="20"/>
      <c r="Z320" s="16"/>
      <c r="AA320" s="5"/>
      <c r="AB320" s="5"/>
      <c r="AC320" s="5"/>
      <c r="AD320" s="5"/>
      <c r="AE320" s="5"/>
      <c r="AF320" s="5"/>
      <c r="AG320" s="5"/>
      <c r="AH320" s="5"/>
      <c r="AI320" s="5"/>
      <c r="AJ320" s="5"/>
      <c r="AK320" s="5"/>
      <c r="AL320" s="5"/>
      <c r="AM320" s="5"/>
      <c r="AN320" s="5"/>
      <c r="AO320" s="5"/>
      <c r="AP320" s="5"/>
      <c r="AQ320" s="5"/>
      <c r="AR320" s="5"/>
      <c r="AS320" s="22"/>
    </row>
    <row r="321" spans="1:713" hidden="1">
      <c r="B321" s="1023" t="s">
        <v>874</v>
      </c>
      <c r="C321" s="723"/>
      <c r="D321" s="999"/>
      <c r="E321" s="412" t="s">
        <v>884</v>
      </c>
      <c r="F321" s="603"/>
      <c r="G321" s="602"/>
      <c r="H321" s="604"/>
      <c r="I321" s="337"/>
      <c r="J321" s="605"/>
      <c r="K321" s="604"/>
      <c r="L321" s="20"/>
      <c r="M321" s="20"/>
      <c r="N321" s="16"/>
      <c r="O321" s="16"/>
      <c r="P321" s="16"/>
      <c r="Q321" s="16"/>
      <c r="R321" s="16"/>
      <c r="S321" s="16"/>
      <c r="T321" s="16"/>
      <c r="U321" s="16"/>
      <c r="V321" s="16"/>
      <c r="W321" s="16"/>
      <c r="X321" s="16"/>
      <c r="Y321" s="20"/>
      <c r="Z321" s="16"/>
      <c r="AA321" s="5"/>
      <c r="AB321" s="5"/>
      <c r="AC321" s="5"/>
      <c r="AD321" s="5"/>
      <c r="AE321" s="5"/>
      <c r="AF321" s="5"/>
      <c r="AG321" s="5"/>
      <c r="AH321" s="5"/>
      <c r="AI321" s="5"/>
      <c r="AJ321" s="5"/>
      <c r="AK321" s="5"/>
      <c r="AL321" s="5"/>
      <c r="AM321" s="5"/>
      <c r="AN321" s="5"/>
      <c r="AO321" s="5"/>
      <c r="AP321" s="5"/>
      <c r="AQ321" s="5"/>
      <c r="AR321" s="5"/>
      <c r="AS321" s="22"/>
    </row>
    <row r="322" spans="1:713" hidden="1">
      <c r="B322" s="1023" t="s">
        <v>874</v>
      </c>
      <c r="C322" s="723"/>
      <c r="D322" s="999"/>
      <c r="E322" s="391" t="s">
        <v>885</v>
      </c>
      <c r="F322" s="391"/>
      <c r="G322" s="391"/>
      <c r="H322" s="391"/>
      <c r="I322" s="544"/>
      <c r="J322" s="544"/>
      <c r="K322" s="544"/>
      <c r="L322" s="20"/>
      <c r="M322" s="20"/>
      <c r="N322" s="16"/>
      <c r="O322" s="16"/>
      <c r="P322" s="16"/>
      <c r="Q322" s="16"/>
      <c r="R322" s="16"/>
      <c r="S322" s="16"/>
      <c r="T322" s="16"/>
      <c r="U322" s="16"/>
      <c r="V322" s="16"/>
      <c r="W322" s="16"/>
      <c r="X322" s="14"/>
      <c r="Y322" s="377"/>
      <c r="Z322" s="14"/>
      <c r="AA322" s="18"/>
      <c r="AB322" s="18"/>
      <c r="AC322" s="18"/>
      <c r="AD322" s="18"/>
      <c r="AE322" s="18"/>
      <c r="AF322" s="18"/>
      <c r="AG322" s="18"/>
      <c r="AH322" s="18"/>
      <c r="AI322" s="18"/>
      <c r="AJ322" s="18"/>
      <c r="AK322" s="18"/>
      <c r="AL322" s="18"/>
      <c r="AM322" s="18"/>
      <c r="AN322" s="18"/>
      <c r="AO322" s="18"/>
      <c r="AP322" s="18"/>
      <c r="AQ322" s="18"/>
      <c r="AR322" s="18"/>
      <c r="AS322" s="22"/>
    </row>
    <row r="323" spans="1:713" hidden="1">
      <c r="B323" s="1023" t="s">
        <v>874</v>
      </c>
      <c r="C323" s="723"/>
      <c r="D323" s="999"/>
      <c r="E323" s="5"/>
      <c r="F323" s="5"/>
      <c r="G323" s="5"/>
      <c r="H323" s="16"/>
      <c r="I323" s="16"/>
      <c r="J323" s="16"/>
      <c r="K323" s="16"/>
      <c r="L323" s="16"/>
      <c r="M323" s="16"/>
      <c r="N323" s="16"/>
      <c r="O323" s="16"/>
      <c r="P323" s="16"/>
      <c r="Q323" s="16"/>
      <c r="R323" s="16"/>
      <c r="S323" s="16"/>
      <c r="T323" s="16"/>
      <c r="U323" s="16"/>
      <c r="V323" s="16"/>
      <c r="X323" s="16"/>
      <c r="Y323" s="20"/>
      <c r="Z323" s="16"/>
      <c r="AA323" s="5"/>
      <c r="AB323" s="5"/>
      <c r="AC323" s="5"/>
      <c r="AD323" s="5"/>
      <c r="AE323" s="5"/>
      <c r="AF323" s="5"/>
      <c r="AG323" s="5"/>
      <c r="AH323" s="5"/>
      <c r="AI323" s="5"/>
      <c r="AJ323" s="5"/>
      <c r="AK323" s="5"/>
      <c r="AL323" s="5"/>
      <c r="AM323" s="5"/>
      <c r="AN323" s="5"/>
      <c r="AO323" s="5"/>
      <c r="AP323" s="5"/>
      <c r="AQ323" s="5"/>
      <c r="AR323" s="5"/>
      <c r="AS323" s="22"/>
    </row>
    <row r="324" spans="1:713" hidden="1">
      <c r="B324" s="1023" t="s">
        <v>886</v>
      </c>
      <c r="C324" s="723"/>
      <c r="D324" s="999"/>
      <c r="E324" s="5"/>
      <c r="F324" s="5"/>
      <c r="G324" s="5"/>
      <c r="H324" s="16"/>
      <c r="I324" s="16"/>
      <c r="J324" s="16"/>
      <c r="K324" s="16"/>
      <c r="L324" s="16"/>
      <c r="M324" s="16"/>
      <c r="N324" s="16"/>
      <c r="O324" s="16"/>
      <c r="P324" s="16"/>
      <c r="Q324" s="16"/>
      <c r="R324" s="16"/>
      <c r="S324" s="16"/>
      <c r="T324" s="16"/>
      <c r="U324" s="16"/>
      <c r="V324" s="16"/>
      <c r="X324" s="16"/>
      <c r="Y324" s="20"/>
      <c r="Z324" s="16"/>
      <c r="AA324" s="16"/>
      <c r="AB324" s="5"/>
      <c r="AC324" s="5"/>
      <c r="AD324" s="5"/>
      <c r="AE324" s="5"/>
      <c r="AF324" s="5"/>
      <c r="AG324" s="5"/>
      <c r="AH324" s="5"/>
      <c r="AI324" s="5"/>
      <c r="AJ324" s="5"/>
      <c r="AK324" s="5"/>
      <c r="AL324" s="5"/>
      <c r="AM324" s="5"/>
      <c r="AN324" s="5"/>
      <c r="AO324" s="5"/>
      <c r="AP324" s="5"/>
      <c r="AQ324" s="5"/>
      <c r="AR324" s="5"/>
      <c r="AS324" s="22"/>
    </row>
    <row r="325" spans="1:713" ht="24" hidden="1">
      <c r="B325" s="1023" t="s">
        <v>886</v>
      </c>
      <c r="C325" s="723"/>
      <c r="D325" s="999"/>
      <c r="E325" s="240" t="s">
        <v>887</v>
      </c>
      <c r="F325" s="240"/>
      <c r="G325" s="240"/>
      <c r="H325" s="240"/>
      <c r="I325" s="240"/>
      <c r="J325" s="240"/>
      <c r="K325" s="61"/>
      <c r="L325" s="61"/>
      <c r="M325" s="61"/>
      <c r="N325" s="61"/>
      <c r="O325" s="61"/>
      <c r="P325" s="61"/>
      <c r="Q325" s="61"/>
      <c r="R325" s="61"/>
      <c r="S325" s="61"/>
      <c r="T325" s="61"/>
      <c r="U325" s="61"/>
      <c r="V325" s="61"/>
      <c r="X325" s="61"/>
      <c r="Y325" s="20"/>
      <c r="Z325" s="5"/>
      <c r="AA325" s="5"/>
      <c r="AB325" s="5"/>
      <c r="AC325" s="5"/>
      <c r="AD325" s="5"/>
      <c r="AE325" s="5"/>
      <c r="AF325" s="5"/>
      <c r="AG325" s="5"/>
      <c r="AH325" s="5"/>
      <c r="AI325" s="5"/>
      <c r="AJ325" s="5"/>
      <c r="AK325" s="5"/>
      <c r="AL325" s="5"/>
      <c r="AM325" s="5"/>
      <c r="AN325" s="5"/>
      <c r="AO325" s="5"/>
      <c r="AP325" s="5"/>
      <c r="AQ325" s="5"/>
      <c r="AR325" s="5"/>
      <c r="AS325" s="437"/>
    </row>
    <row r="326" spans="1:713" hidden="1">
      <c r="B326" s="1023" t="s">
        <v>886</v>
      </c>
      <c r="C326" s="723"/>
      <c r="D326" s="1000"/>
      <c r="E326" s="386" t="s">
        <v>483</v>
      </c>
      <c r="F326" s="386"/>
      <c r="G326" s="386" t="s">
        <v>420</v>
      </c>
      <c r="H326" s="387"/>
      <c r="I326" s="387">
        <f ca="1">OFFSET(I326,0,-1)+1</f>
        <v>1</v>
      </c>
      <c r="J326" s="387"/>
      <c r="K326" s="61"/>
      <c r="L326" s="61"/>
      <c r="M326" s="5"/>
      <c r="N326" s="5"/>
      <c r="O326" s="5"/>
      <c r="P326" s="5"/>
      <c r="Q326" s="5"/>
      <c r="R326" s="5"/>
      <c r="S326" s="5"/>
      <c r="T326" s="5"/>
      <c r="U326" s="5"/>
      <c r="V326" s="5"/>
      <c r="X326" s="5"/>
      <c r="Y326" s="20"/>
      <c r="Z326" s="5"/>
      <c r="AA326" s="5"/>
      <c r="AB326" s="5"/>
      <c r="AC326" s="5"/>
      <c r="AD326" s="5"/>
      <c r="AE326" s="5"/>
      <c r="AF326" s="5"/>
      <c r="AG326" s="5"/>
      <c r="AH326" s="5"/>
      <c r="AI326" s="5"/>
      <c r="AJ326" s="5"/>
      <c r="AK326" s="5"/>
      <c r="AL326" s="5"/>
      <c r="AM326" s="5"/>
      <c r="AN326" s="5"/>
      <c r="AO326" s="5"/>
      <c r="AP326" s="5"/>
      <c r="AQ326" s="5"/>
      <c r="AR326" s="5"/>
      <c r="AS326" s="22"/>
    </row>
    <row r="327" spans="1:713" s="2" customFormat="1" ht="18.75" hidden="1">
      <c r="A327" s="309"/>
      <c r="B327" s="1023" t="s">
        <v>886</v>
      </c>
      <c r="C327" s="723"/>
      <c r="D327" s="1004"/>
      <c r="E327" s="382" t="s">
        <v>888</v>
      </c>
      <c r="F327" s="383"/>
      <c r="G327" s="382"/>
      <c r="H327" s="384"/>
      <c r="I327" s="385"/>
      <c r="J327" s="384"/>
      <c r="K327" s="9"/>
      <c r="L327" s="9"/>
      <c r="M327" s="9"/>
      <c r="N327" s="9"/>
      <c r="O327" s="9"/>
      <c r="P327" s="9"/>
      <c r="Q327" s="9"/>
      <c r="R327" s="9"/>
      <c r="S327" s="4"/>
      <c r="T327" s="4"/>
      <c r="AC327" s="4"/>
      <c r="AD327" s="8"/>
      <c r="AE327" s="4"/>
      <c r="AF327" s="4"/>
      <c r="AG327" s="4"/>
      <c r="AH327" s="4"/>
      <c r="AI327" s="4"/>
      <c r="AJ327" s="4"/>
      <c r="AK327" s="4"/>
      <c r="AL327" s="4"/>
      <c r="AM327" s="4"/>
      <c r="AN327" s="4"/>
      <c r="AO327" s="4"/>
      <c r="AP327" s="4"/>
      <c r="AQ327" s="4"/>
      <c r="AR327" s="4"/>
      <c r="AS327" s="4"/>
      <c r="AT327" s="4"/>
      <c r="AU327" s="4"/>
      <c r="AV327" s="4"/>
      <c r="AW327" s="4"/>
      <c r="AX327" s="22"/>
    </row>
    <row r="328" spans="1:713" hidden="1">
      <c r="B328" s="1023" t="s">
        <v>886</v>
      </c>
      <c r="C328" s="723"/>
      <c r="D328" s="999"/>
      <c r="E328" s="395" t="s">
        <v>889</v>
      </c>
      <c r="F328" s="396"/>
      <c r="G328" s="395" t="s">
        <v>166</v>
      </c>
      <c r="H328" s="408"/>
      <c r="I328" s="522">
        <v>1</v>
      </c>
      <c r="J328" s="408"/>
      <c r="K328" s="20"/>
      <c r="L328" s="16"/>
      <c r="M328" s="16"/>
      <c r="N328" s="16"/>
      <c r="O328" s="5"/>
      <c r="P328" s="5"/>
      <c r="Q328" s="5"/>
      <c r="R328" s="5"/>
      <c r="S328" s="5"/>
      <c r="T328" s="5"/>
      <c r="U328" s="5"/>
      <c r="V328" s="5"/>
      <c r="X328" s="5"/>
      <c r="Y328" s="20"/>
      <c r="Z328" s="5"/>
      <c r="AA328" s="5"/>
      <c r="AB328" s="5"/>
      <c r="AC328" s="5"/>
      <c r="AD328" s="5"/>
      <c r="AE328" s="5"/>
      <c r="AF328" s="5"/>
      <c r="AG328" s="5"/>
      <c r="AH328" s="5"/>
      <c r="AI328" s="5"/>
      <c r="AJ328" s="5"/>
      <c r="AK328" s="5"/>
      <c r="AL328" s="5"/>
      <c r="AM328" s="5"/>
      <c r="AN328" s="5"/>
      <c r="AO328" s="5"/>
      <c r="AP328" s="5"/>
      <c r="AQ328" s="5"/>
      <c r="AR328" s="5"/>
      <c r="AS328" s="22"/>
    </row>
    <row r="329" spans="1:713" hidden="1">
      <c r="B329" s="1023" t="s">
        <v>886</v>
      </c>
      <c r="C329" s="723"/>
      <c r="D329" s="999"/>
      <c r="E329" s="395" t="s">
        <v>890</v>
      </c>
      <c r="F329" s="396"/>
      <c r="G329" s="395" t="s">
        <v>166</v>
      </c>
      <c r="H329" s="408"/>
      <c r="I329" s="522">
        <v>1</v>
      </c>
      <c r="J329" s="408"/>
      <c r="K329" s="20"/>
      <c r="L329" s="16"/>
      <c r="M329" s="16"/>
      <c r="N329" s="16"/>
      <c r="O329" s="5"/>
      <c r="P329" s="5"/>
      <c r="Q329" s="5"/>
      <c r="R329" s="5"/>
      <c r="S329" s="5"/>
      <c r="T329" s="5"/>
      <c r="U329" s="5"/>
      <c r="V329" s="5"/>
      <c r="X329" s="5"/>
      <c r="Y329" s="20"/>
      <c r="Z329" s="5"/>
      <c r="AA329" s="5"/>
      <c r="AB329" s="5"/>
      <c r="AC329" s="5"/>
      <c r="AD329" s="5"/>
      <c r="AE329" s="5"/>
      <c r="AF329" s="5"/>
      <c r="AG329" s="5"/>
      <c r="AH329" s="5"/>
      <c r="AI329" s="5"/>
      <c r="AJ329" s="5"/>
      <c r="AK329" s="5"/>
      <c r="AL329" s="5"/>
      <c r="AM329" s="5"/>
      <c r="AN329" s="5"/>
      <c r="AO329" s="5"/>
      <c r="AP329" s="5"/>
      <c r="AQ329" s="5"/>
      <c r="AR329" s="5"/>
      <c r="AS329" s="22"/>
    </row>
    <row r="330" spans="1:713" hidden="1">
      <c r="B330" s="1023" t="s">
        <v>886</v>
      </c>
      <c r="C330" s="723"/>
      <c r="D330" s="999"/>
      <c r="E330" s="5"/>
      <c r="F330" s="5"/>
      <c r="G330" s="5"/>
      <c r="H330" s="16"/>
      <c r="I330" s="16"/>
      <c r="J330" s="16"/>
      <c r="K330" s="16"/>
      <c r="L330" s="16"/>
      <c r="M330" s="16"/>
      <c r="N330" s="16"/>
      <c r="O330" s="16"/>
      <c r="P330" s="16"/>
      <c r="Q330" s="16"/>
      <c r="R330" s="16"/>
      <c r="S330" s="16"/>
      <c r="T330" s="16"/>
      <c r="U330" s="16"/>
      <c r="V330" s="16"/>
      <c r="X330" s="16"/>
      <c r="Y330" s="20"/>
      <c r="Z330" s="16"/>
      <c r="AA330" s="5"/>
      <c r="AB330" s="5"/>
      <c r="AC330" s="5"/>
      <c r="AD330" s="5"/>
      <c r="AE330" s="5"/>
      <c r="AF330" s="5"/>
      <c r="AG330" s="5"/>
      <c r="AH330" s="5"/>
      <c r="AI330" s="5"/>
      <c r="AJ330" s="5"/>
      <c r="AK330" s="5"/>
      <c r="AL330" s="5"/>
      <c r="AM330" s="5"/>
      <c r="AN330" s="5"/>
      <c r="AO330" s="5"/>
      <c r="AP330" s="5"/>
      <c r="AQ330" s="5"/>
      <c r="AR330" s="5"/>
      <c r="AS330" s="22"/>
    </row>
    <row r="331" spans="1:713" hidden="1">
      <c r="B331" s="1023" t="s">
        <v>1866</v>
      </c>
      <c r="C331" s="723"/>
      <c r="D331" s="999"/>
      <c r="E331" s="5"/>
      <c r="F331" s="5"/>
      <c r="G331" s="5"/>
      <c r="H331" s="16"/>
      <c r="I331" s="20"/>
      <c r="J331" s="16"/>
      <c r="K331" s="16"/>
      <c r="L331" s="16"/>
      <c r="M331" s="16"/>
      <c r="N331" s="16"/>
      <c r="O331" s="16"/>
      <c r="P331" s="16"/>
      <c r="Q331" s="16"/>
      <c r="R331" s="16"/>
      <c r="S331" s="16"/>
      <c r="T331" s="16"/>
      <c r="U331" s="16"/>
      <c r="V331" s="16"/>
      <c r="W331" s="16"/>
      <c r="X331" s="16"/>
      <c r="Y331" s="20"/>
      <c r="Z331" s="16"/>
      <c r="AA331" s="16"/>
      <c r="AB331" s="5"/>
      <c r="AC331" s="5"/>
      <c r="AD331" s="5"/>
      <c r="AE331" s="5"/>
      <c r="AF331" s="5"/>
      <c r="AG331" s="5"/>
      <c r="AH331" s="5"/>
      <c r="AI331" s="5"/>
      <c r="AJ331" s="5"/>
      <c r="AK331" s="5"/>
      <c r="AL331" s="5"/>
      <c r="AM331" s="5"/>
      <c r="AN331" s="5"/>
      <c r="AO331" s="5"/>
      <c r="AP331" s="5"/>
      <c r="AQ331" s="5"/>
      <c r="AR331" s="5"/>
      <c r="AS331" s="22"/>
      <c r="CS331" s="20"/>
    </row>
    <row r="332" spans="1:713" ht="21" hidden="1">
      <c r="B332" s="1023" t="s">
        <v>1866</v>
      </c>
      <c r="C332" s="723"/>
      <c r="D332" s="999"/>
      <c r="E332" s="240" t="s">
        <v>1867</v>
      </c>
      <c r="F332" s="240"/>
      <c r="G332" s="240"/>
      <c r="H332" s="240"/>
      <c r="I332" s="240"/>
      <c r="J332" s="240"/>
      <c r="K332" s="240"/>
      <c r="L332" s="240"/>
      <c r="M332" s="240"/>
      <c r="N332" s="240"/>
      <c r="O332" s="240"/>
      <c r="P332" s="240"/>
      <c r="Q332" s="240"/>
      <c r="R332" s="240"/>
      <c r="S332" s="240"/>
      <c r="T332" s="240"/>
      <c r="U332" s="240"/>
      <c r="V332" s="240"/>
      <c r="W332" s="240"/>
      <c r="X332" s="240"/>
      <c r="Y332" s="240"/>
      <c r="Z332" s="240"/>
      <c r="AA332" s="240"/>
      <c r="AB332" s="240"/>
      <c r="AC332" s="240"/>
      <c r="AD332" s="240"/>
      <c r="AE332" s="240"/>
      <c r="AF332" s="240"/>
      <c r="AG332" s="240"/>
      <c r="AH332" s="240"/>
      <c r="AI332" s="240"/>
      <c r="AJ332" s="24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0"/>
      <c r="BH332" s="240"/>
      <c r="BI332" s="240"/>
      <c r="BJ332" s="240"/>
      <c r="BK332" s="240"/>
      <c r="BL332" s="240"/>
      <c r="BM332" s="240"/>
      <c r="BN332" s="240"/>
      <c r="BO332" s="240"/>
      <c r="BP332" s="240"/>
      <c r="BQ332" s="240"/>
      <c r="BR332" s="240"/>
      <c r="BS332" s="240"/>
      <c r="BT332" s="240"/>
      <c r="BU332" s="240"/>
      <c r="BV332" s="240"/>
      <c r="BW332" s="240"/>
      <c r="BX332" s="240"/>
      <c r="BY332" s="240"/>
      <c r="BZ332" s="240"/>
      <c r="CA332" s="240"/>
      <c r="CB332" s="240"/>
      <c r="CC332" s="240"/>
      <c r="CD332" s="240"/>
      <c r="CE332" s="240"/>
      <c r="CF332" s="240"/>
      <c r="CG332" s="240"/>
      <c r="CH332" s="240"/>
      <c r="CI332" s="240"/>
      <c r="CJ332" s="240"/>
      <c r="CK332" s="240"/>
      <c r="CL332" s="240"/>
      <c r="CM332" s="240"/>
      <c r="CN332" s="240"/>
      <c r="CO332" s="240"/>
      <c r="CP332" s="240"/>
      <c r="CQ332" s="240"/>
      <c r="CR332" s="240"/>
      <c r="CS332" s="240"/>
      <c r="CT332" s="240"/>
      <c r="CU332" s="240"/>
      <c r="CV332" s="240"/>
      <c r="CW332" s="240"/>
      <c r="CX332" s="240"/>
      <c r="CY332" s="240"/>
      <c r="CZ332" s="240"/>
      <c r="DA332" s="240"/>
      <c r="DB332" s="240"/>
      <c r="DC332" s="240"/>
      <c r="DD332" s="240"/>
      <c r="DE332" s="240"/>
      <c r="DF332" s="240"/>
      <c r="DG332" s="240"/>
      <c r="DH332" s="240"/>
      <c r="DI332" s="240"/>
      <c r="DJ332" s="240"/>
      <c r="DK332" s="240"/>
      <c r="DL332" s="240"/>
      <c r="DM332" s="240"/>
      <c r="DN332" s="240"/>
      <c r="DO332" s="240"/>
      <c r="DP332" s="240"/>
      <c r="DQ332" s="240"/>
      <c r="DR332" s="240"/>
      <c r="DS332" s="240"/>
      <c r="DT332" s="240"/>
      <c r="DU332" s="240"/>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c r="FW332" s="240"/>
      <c r="FX332" s="240"/>
      <c r="FY332" s="240"/>
      <c r="FZ332" s="240"/>
      <c r="GA332" s="240"/>
      <c r="GB332" s="240"/>
      <c r="GC332" s="240"/>
      <c r="GD332" s="240"/>
      <c r="GE332" s="240"/>
      <c r="GF332" s="240"/>
      <c r="GG332" s="240"/>
      <c r="GH332" s="240"/>
      <c r="GI332" s="240"/>
      <c r="GJ332" s="240"/>
      <c r="GK332" s="240"/>
      <c r="GL332" s="240"/>
      <c r="GM332" s="240"/>
      <c r="GN332" s="240"/>
      <c r="GO332" s="240"/>
      <c r="GP332" s="240"/>
      <c r="GQ332" s="240"/>
      <c r="GR332" s="240"/>
      <c r="GS332" s="240"/>
      <c r="GT332" s="240"/>
      <c r="GU332" s="240"/>
      <c r="GV332" s="240"/>
      <c r="GW332" s="240"/>
      <c r="GX332" s="240"/>
      <c r="GY332" s="240"/>
      <c r="GZ332" s="240"/>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0"/>
      <c r="HW332" s="240"/>
      <c r="HX332" s="240"/>
      <c r="HY332" s="240"/>
      <c r="HZ332" s="240"/>
      <c r="IA332" s="240"/>
      <c r="IB332" s="240"/>
      <c r="IC332" s="240"/>
      <c r="ID332" s="240"/>
      <c r="IE332" s="240"/>
      <c r="IF332" s="240"/>
      <c r="IG332" s="240"/>
      <c r="IH332" s="240"/>
      <c r="II332" s="240"/>
      <c r="IJ332" s="240"/>
      <c r="IK332" s="240"/>
      <c r="IL332" s="240"/>
      <c r="IM332" s="240"/>
      <c r="IN332" s="240"/>
      <c r="IO332" s="240"/>
      <c r="IP332" s="240"/>
      <c r="IQ332" s="240"/>
      <c r="IR332" s="240"/>
      <c r="IS332" s="240"/>
      <c r="IT332" s="240"/>
      <c r="IU332" s="240"/>
      <c r="IV332" s="240"/>
      <c r="IW332" s="240"/>
      <c r="IX332" s="240"/>
      <c r="IY332" s="240"/>
      <c r="IZ332" s="240"/>
      <c r="JA332" s="240"/>
      <c r="JB332" s="240"/>
      <c r="JC332" s="240"/>
      <c r="JD332" s="240"/>
      <c r="JE332" s="240"/>
      <c r="JF332" s="240"/>
      <c r="JG332" s="240"/>
      <c r="JH332" s="240"/>
      <c r="JI332" s="240"/>
      <c r="JJ332" s="240"/>
      <c r="JK332" s="240"/>
      <c r="JL332" s="240"/>
      <c r="JM332" s="240"/>
      <c r="JN332" s="240"/>
      <c r="JO332" s="240"/>
      <c r="JP332" s="240"/>
      <c r="JQ332" s="240"/>
      <c r="JR332" s="240"/>
      <c r="JS332" s="240"/>
      <c r="JT332" s="240"/>
      <c r="JU332" s="240"/>
      <c r="JV332" s="240"/>
      <c r="JW332" s="240"/>
      <c r="JX332" s="240"/>
      <c r="JY332" s="240"/>
      <c r="JZ332" s="240"/>
      <c r="KA332" s="240"/>
      <c r="KB332" s="240"/>
      <c r="KC332" s="240"/>
      <c r="KD332" s="240"/>
      <c r="KE332" s="240"/>
      <c r="KF332" s="240"/>
      <c r="KG332" s="240"/>
      <c r="KH332" s="240"/>
      <c r="KI332" s="240"/>
      <c r="KJ332" s="240"/>
      <c r="KK332" s="240"/>
      <c r="KL332" s="240"/>
      <c r="KM332" s="240"/>
      <c r="KN332" s="240"/>
      <c r="KO332" s="240"/>
      <c r="KP332" s="240"/>
      <c r="KQ332" s="240"/>
      <c r="KR332" s="240"/>
      <c r="KS332" s="240"/>
      <c r="KT332" s="240"/>
      <c r="KU332" s="240"/>
      <c r="KV332" s="240"/>
      <c r="KW332" s="240"/>
      <c r="KX332" s="240"/>
      <c r="KY332" s="240"/>
      <c r="KZ332" s="240"/>
      <c r="LA332" s="240"/>
      <c r="LB332" s="240"/>
      <c r="LC332" s="240"/>
      <c r="LD332" s="240"/>
      <c r="LE332" s="240"/>
      <c r="LF332" s="240"/>
      <c r="LG332" s="240"/>
      <c r="LH332" s="240"/>
      <c r="LI332" s="240"/>
      <c r="LJ332" s="240"/>
      <c r="LK332" s="240"/>
      <c r="LL332" s="240"/>
      <c r="LM332" s="240"/>
      <c r="LN332" s="240"/>
      <c r="LO332" s="240"/>
      <c r="LP332" s="240"/>
      <c r="LQ332" s="240"/>
      <c r="LR332" s="240"/>
      <c r="LS332" s="240"/>
      <c r="LT332" s="240"/>
      <c r="LU332" s="240"/>
      <c r="LV332" s="240"/>
      <c r="LW332" s="240"/>
      <c r="LX332" s="240"/>
      <c r="LY332" s="240"/>
      <c r="LZ332" s="240"/>
      <c r="MA332" s="240"/>
      <c r="MB332" s="240"/>
      <c r="MC332" s="240"/>
      <c r="MD332" s="240"/>
      <c r="ME332" s="240"/>
      <c r="MF332" s="240"/>
      <c r="MG332" s="240"/>
      <c r="MH332" s="240"/>
      <c r="MI332" s="240"/>
      <c r="MJ332" s="240"/>
      <c r="MK332" s="240"/>
      <c r="ML332" s="240"/>
      <c r="MM332" s="240"/>
      <c r="MN332" s="240"/>
      <c r="MO332" s="240"/>
      <c r="MP332" s="240"/>
      <c r="MQ332" s="240"/>
      <c r="MR332" s="240"/>
      <c r="MS332" s="240"/>
      <c r="MT332" s="240"/>
      <c r="MU332" s="240"/>
      <c r="MV332" s="240"/>
      <c r="MW332" s="240"/>
      <c r="MX332" s="240"/>
      <c r="MY332" s="240"/>
      <c r="MZ332" s="240"/>
      <c r="NA332" s="240"/>
      <c r="NB332" s="240"/>
      <c r="NC332" s="240"/>
      <c r="ND332" s="240"/>
      <c r="NE332" s="240"/>
      <c r="NF332" s="240"/>
      <c r="NG332" s="240"/>
      <c r="NH332" s="240"/>
      <c r="NI332" s="240"/>
      <c r="NJ332" s="240"/>
      <c r="NK332" s="240"/>
      <c r="NL332" s="240"/>
      <c r="NM332" s="240"/>
      <c r="NN332" s="240"/>
      <c r="NO332" s="240"/>
      <c r="NP332" s="240"/>
      <c r="NQ332" s="240"/>
      <c r="NR332" s="240"/>
      <c r="NS332" s="240"/>
      <c r="NT332" s="240"/>
      <c r="NU332" s="240"/>
      <c r="NV332" s="240"/>
      <c r="NW332" s="240"/>
      <c r="NX332" s="240"/>
      <c r="NY332" s="240"/>
      <c r="NZ332" s="240"/>
      <c r="OA332" s="240"/>
      <c r="OB332" s="240"/>
      <c r="OC332" s="240"/>
      <c r="OD332" s="240"/>
      <c r="OE332" s="240"/>
      <c r="OF332" s="240"/>
      <c r="OG332" s="240"/>
      <c r="OH332" s="240"/>
      <c r="OI332" s="240"/>
      <c r="OJ332" s="240"/>
      <c r="OK332" s="240"/>
      <c r="OL332" s="240"/>
      <c r="OM332" s="240"/>
      <c r="ON332" s="240"/>
      <c r="OO332" s="240"/>
      <c r="OP332" s="240"/>
      <c r="OQ332" s="240"/>
      <c r="OR332" s="240"/>
      <c r="OS332" s="240"/>
      <c r="OT332" s="240"/>
      <c r="OU332" s="240"/>
      <c r="OV332" s="240"/>
      <c r="OW332" s="240"/>
      <c r="OX332" s="240"/>
      <c r="OY332" s="240"/>
      <c r="OZ332" s="240"/>
      <c r="PA332" s="240"/>
      <c r="PB332" s="240"/>
      <c r="PC332" s="240"/>
      <c r="PD332" s="240"/>
      <c r="PE332" s="240"/>
      <c r="PF332" s="240"/>
      <c r="PG332" s="240"/>
      <c r="PH332" s="240"/>
      <c r="PI332" s="240"/>
      <c r="PJ332" s="240"/>
      <c r="PK332" s="240"/>
      <c r="PL332" s="240"/>
      <c r="PM332" s="240"/>
      <c r="PN332" s="240"/>
      <c r="PO332" s="240"/>
      <c r="PP332" s="240"/>
      <c r="PQ332" s="240"/>
      <c r="PR332" s="240"/>
      <c r="PS332" s="240"/>
      <c r="PT332" s="240"/>
      <c r="PU332" s="240"/>
      <c r="PV332" s="240"/>
      <c r="PW332" s="240"/>
      <c r="PX332" s="240"/>
      <c r="PY332" s="240"/>
      <c r="PZ332" s="240"/>
      <c r="QA332" s="240"/>
      <c r="QB332" s="240"/>
      <c r="QC332" s="240"/>
      <c r="QD332" s="240"/>
      <c r="QE332" s="240"/>
      <c r="QF332" s="240"/>
      <c r="QG332" s="240"/>
      <c r="QH332" s="240"/>
      <c r="QI332" s="240"/>
      <c r="QJ332" s="240"/>
      <c r="QK332" s="240"/>
      <c r="QL332" s="240"/>
      <c r="QM332" s="240"/>
      <c r="QN332" s="240"/>
      <c r="QO332" s="240"/>
      <c r="QP332" s="240"/>
      <c r="QQ332" s="240"/>
      <c r="QR332" s="240"/>
      <c r="QS332" s="240"/>
      <c r="QT332" s="240"/>
      <c r="QU332" s="240"/>
      <c r="QV332" s="240"/>
      <c r="QW332" s="240"/>
      <c r="QX332" s="240"/>
      <c r="QY332" s="240"/>
      <c r="QZ332" s="240"/>
      <c r="RA332" s="240"/>
      <c r="RB332" s="240"/>
      <c r="RC332" s="240"/>
      <c r="RD332" s="240"/>
      <c r="RE332" s="240"/>
      <c r="RF332" s="240"/>
      <c r="RG332" s="240"/>
      <c r="RH332" s="240"/>
      <c r="RI332" s="240"/>
      <c r="RJ332" s="240"/>
      <c r="RK332" s="240"/>
      <c r="RL332" s="240"/>
      <c r="RM332" s="240"/>
      <c r="RN332" s="240"/>
      <c r="RO332" s="240"/>
      <c r="RP332" s="240"/>
      <c r="RQ332" s="240"/>
      <c r="RR332" s="240"/>
      <c r="RS332" s="240"/>
      <c r="RT332" s="240"/>
      <c r="RU332" s="240"/>
      <c r="RV332" s="240"/>
      <c r="RW332" s="240"/>
      <c r="RX332" s="240"/>
      <c r="RY332" s="240"/>
      <c r="RZ332" s="240"/>
      <c r="SA332" s="240"/>
      <c r="SB332" s="240"/>
      <c r="SC332" s="240"/>
      <c r="SD332" s="240"/>
      <c r="SE332" s="240"/>
      <c r="SF332" s="240"/>
      <c r="SG332" s="240"/>
      <c r="SH332" s="240"/>
      <c r="SI332" s="240"/>
      <c r="SJ332" s="240"/>
      <c r="SK332" s="240"/>
      <c r="SL332" s="240"/>
      <c r="SM332" s="240"/>
      <c r="SN332" s="240"/>
      <c r="SO332" s="240"/>
      <c r="SP332" s="240"/>
      <c r="SQ332" s="240"/>
      <c r="SR332" s="240"/>
      <c r="SS332" s="240"/>
      <c r="ST332" s="240"/>
      <c r="SU332" s="240"/>
      <c r="SV332" s="240"/>
      <c r="SW332" s="240"/>
      <c r="SX332" s="240"/>
      <c r="SY332" s="240"/>
      <c r="SZ332" s="240"/>
      <c r="TA332" s="240"/>
      <c r="TB332" s="240"/>
      <c r="TC332" s="240"/>
      <c r="TD332" s="240"/>
      <c r="TE332" s="240"/>
      <c r="TF332" s="240"/>
      <c r="TG332" s="240"/>
      <c r="TH332" s="240"/>
      <c r="TI332" s="240"/>
      <c r="TJ332" s="240"/>
      <c r="TK332" s="240"/>
      <c r="TL332" s="240"/>
      <c r="TM332" s="240"/>
      <c r="TN332" s="240"/>
      <c r="TO332" s="240"/>
      <c r="TP332" s="240"/>
      <c r="TQ332" s="240"/>
      <c r="TR332" s="240"/>
      <c r="TS332" s="240"/>
      <c r="TT332" s="240"/>
      <c r="TU332" s="240"/>
      <c r="TV332" s="240"/>
      <c r="TW332" s="240"/>
      <c r="TX332" s="240"/>
      <c r="TY332" s="240"/>
      <c r="TZ332" s="240"/>
      <c r="UA332" s="240"/>
      <c r="UB332" s="240"/>
      <c r="UC332" s="240"/>
      <c r="UD332" s="240"/>
      <c r="UE332" s="240"/>
      <c r="UF332" s="240"/>
      <c r="UG332" s="240"/>
      <c r="UH332" s="240"/>
      <c r="UI332" s="240"/>
      <c r="UJ332" s="240"/>
      <c r="UK332" s="240"/>
      <c r="UL332" s="240"/>
      <c r="UM332" s="240"/>
      <c r="UN332" s="240"/>
      <c r="UO332" s="240"/>
      <c r="UP332" s="240"/>
      <c r="UQ332" s="240"/>
      <c r="UR332" s="240"/>
      <c r="US332" s="240"/>
      <c r="UT332" s="240"/>
      <c r="UU332" s="240"/>
      <c r="UV332" s="240"/>
      <c r="UW332" s="240"/>
      <c r="UX332" s="240"/>
      <c r="UY332" s="240"/>
      <c r="UZ332" s="240"/>
      <c r="VA332" s="240"/>
      <c r="VB332" s="240"/>
      <c r="VC332" s="240"/>
      <c r="VD332" s="240"/>
      <c r="VE332" s="240"/>
      <c r="VF332" s="240"/>
      <c r="VG332" s="240"/>
      <c r="VH332" s="240"/>
      <c r="VI332" s="240"/>
      <c r="VJ332" s="240"/>
      <c r="VK332" s="240"/>
      <c r="VL332" s="240"/>
      <c r="VM332" s="240"/>
      <c r="VN332" s="240"/>
      <c r="VO332" s="240"/>
      <c r="VP332" s="240"/>
      <c r="VQ332" s="240"/>
      <c r="VR332" s="240"/>
      <c r="VS332" s="240"/>
      <c r="VT332" s="240"/>
      <c r="VU332" s="240"/>
      <c r="VV332" s="240"/>
      <c r="VW332" s="240"/>
      <c r="VX332" s="240"/>
      <c r="VY332" s="240"/>
      <c r="VZ332" s="240"/>
      <c r="WA332" s="240"/>
      <c r="WB332" s="240"/>
      <c r="WC332" s="240"/>
      <c r="WD332" s="240"/>
      <c r="WE332" s="240"/>
      <c r="WF332" s="240"/>
      <c r="WG332" s="240"/>
      <c r="WH332" s="240"/>
      <c r="WI332" s="240"/>
      <c r="WJ332" s="240"/>
      <c r="WK332" s="240"/>
      <c r="WL332" s="240"/>
      <c r="WM332" s="240"/>
      <c r="WN332" s="240"/>
      <c r="WO332" s="240"/>
      <c r="WP332" s="240"/>
      <c r="WQ332" s="240"/>
      <c r="WR332" s="240"/>
      <c r="WS332" s="240"/>
      <c r="WT332" s="240"/>
      <c r="WU332" s="240"/>
      <c r="WV332" s="240"/>
      <c r="WW332" s="240"/>
      <c r="WX332" s="240"/>
      <c r="WY332" s="240"/>
      <c r="WZ332" s="240"/>
      <c r="XA332" s="240"/>
      <c r="XB332" s="240"/>
      <c r="XC332" s="240"/>
      <c r="XD332" s="240"/>
      <c r="XE332" s="240"/>
      <c r="XF332" s="240"/>
      <c r="XG332" s="240"/>
      <c r="XH332" s="240"/>
      <c r="XI332" s="240"/>
      <c r="XJ332" s="240"/>
      <c r="XK332" s="240"/>
      <c r="XL332" s="240"/>
      <c r="XM332" s="240"/>
      <c r="XN332" s="240"/>
      <c r="XO332" s="240"/>
      <c r="XP332" s="240"/>
      <c r="XQ332" s="240"/>
      <c r="XR332" s="240"/>
      <c r="XS332" s="240"/>
      <c r="XT332" s="240"/>
      <c r="XU332" s="240"/>
      <c r="XV332" s="240"/>
      <c r="XW332" s="240"/>
      <c r="XX332" s="240"/>
      <c r="XY332" s="240"/>
      <c r="XZ332" s="240"/>
      <c r="YA332" s="240"/>
      <c r="YB332" s="240"/>
      <c r="YC332" s="240"/>
      <c r="YD332" s="240"/>
      <c r="YE332" s="240"/>
      <c r="YF332" s="240"/>
      <c r="YG332" s="240"/>
      <c r="YH332" s="240"/>
      <c r="YI332" s="240"/>
      <c r="YJ332" s="240"/>
      <c r="YK332" s="240"/>
      <c r="YL332" s="240"/>
      <c r="YM332" s="240"/>
      <c r="YN332" s="240"/>
      <c r="YO332" s="240"/>
      <c r="YP332" s="240"/>
      <c r="YQ332" s="240"/>
      <c r="YR332" s="240"/>
      <c r="YS332" s="240"/>
      <c r="YT332" s="240"/>
      <c r="YU332" s="240"/>
      <c r="YV332" s="240"/>
      <c r="YW332" s="240"/>
      <c r="YX332" s="240"/>
      <c r="YY332" s="240"/>
      <c r="YZ332" s="240"/>
      <c r="ZA332" s="240"/>
      <c r="ZB332" s="240"/>
      <c r="ZC332" s="240"/>
      <c r="ZD332" s="240"/>
      <c r="ZE332" s="240"/>
      <c r="ZF332" s="240"/>
      <c r="ZG332" s="240"/>
      <c r="ZH332" s="240"/>
      <c r="ZI332" s="240"/>
      <c r="ZJ332" s="240"/>
      <c r="ZK332" s="240"/>
      <c r="ZL332" s="240"/>
      <c r="ZM332" s="240"/>
      <c r="ZN332" s="240"/>
      <c r="ZO332" s="240"/>
      <c r="ZP332" s="240"/>
      <c r="ZQ332" s="240"/>
      <c r="ZR332" s="240"/>
      <c r="ZS332" s="240"/>
      <c r="ZT332" s="240"/>
      <c r="ZU332" s="240"/>
      <c r="ZV332" s="240"/>
      <c r="ZW332" s="240"/>
      <c r="ZX332" s="240"/>
      <c r="ZY332" s="240"/>
      <c r="ZZ332" s="240"/>
      <c r="AAA332" s="240"/>
      <c r="AAB332" s="240"/>
      <c r="AAC332" s="240"/>
      <c r="AAD332" s="240"/>
      <c r="AAE332" s="240"/>
      <c r="AAF332" s="240"/>
      <c r="AAG332" s="240"/>
      <c r="AAH332" s="240"/>
      <c r="AAI332" s="240"/>
      <c r="AAJ332" s="240"/>
      <c r="AAK332" s="240"/>
    </row>
    <row r="333" spans="1:713" hidden="1">
      <c r="B333" s="1023" t="s">
        <v>1866</v>
      </c>
      <c r="C333" s="723"/>
      <c r="D333" s="999"/>
      <c r="E333" s="386" t="s">
        <v>483</v>
      </c>
      <c r="F333" s="386"/>
      <c r="G333" s="386" t="s">
        <v>420</v>
      </c>
      <c r="H333" s="387"/>
      <c r="I333" s="387">
        <f t="shared" ref="I333:BT333" ca="1" si="82">OFFSET(I333,0,-1)+1</f>
        <v>1</v>
      </c>
      <c r="J333" s="387">
        <f t="shared" ca="1" si="82"/>
        <v>2</v>
      </c>
      <c r="K333" s="387">
        <f t="shared" ca="1" si="82"/>
        <v>3</v>
      </c>
      <c r="L333" s="387">
        <f t="shared" ca="1" si="82"/>
        <v>4</v>
      </c>
      <c r="M333" s="387">
        <f t="shared" ca="1" si="82"/>
        <v>5</v>
      </c>
      <c r="N333" s="387">
        <f t="shared" ca="1" si="82"/>
        <v>6</v>
      </c>
      <c r="O333" s="387">
        <f t="shared" ca="1" si="82"/>
        <v>7</v>
      </c>
      <c r="P333" s="387">
        <f t="shared" ca="1" si="82"/>
        <v>8</v>
      </c>
      <c r="Q333" s="387">
        <f t="shared" ca="1" si="82"/>
        <v>9</v>
      </c>
      <c r="R333" s="387">
        <f t="shared" ca="1" si="82"/>
        <v>10</v>
      </c>
      <c r="S333" s="387">
        <f t="shared" ca="1" si="82"/>
        <v>11</v>
      </c>
      <c r="T333" s="387">
        <f t="shared" ca="1" si="82"/>
        <v>12</v>
      </c>
      <c r="U333" s="387">
        <f t="shared" ca="1" si="82"/>
        <v>13</v>
      </c>
      <c r="V333" s="387">
        <f t="shared" ca="1" si="82"/>
        <v>14</v>
      </c>
      <c r="W333" s="387">
        <f t="shared" ca="1" si="82"/>
        <v>15</v>
      </c>
      <c r="X333" s="387">
        <f t="shared" ca="1" si="82"/>
        <v>16</v>
      </c>
      <c r="Y333" s="387">
        <f t="shared" ca="1" si="82"/>
        <v>17</v>
      </c>
      <c r="Z333" s="387">
        <f t="shared" ca="1" si="82"/>
        <v>18</v>
      </c>
      <c r="AA333" s="387">
        <f t="shared" ca="1" si="82"/>
        <v>19</v>
      </c>
      <c r="AB333" s="387">
        <f t="shared" ca="1" si="82"/>
        <v>20</v>
      </c>
      <c r="AC333" s="387">
        <f t="shared" ca="1" si="82"/>
        <v>21</v>
      </c>
      <c r="AD333" s="387">
        <f t="shared" ca="1" si="82"/>
        <v>22</v>
      </c>
      <c r="AE333" s="387">
        <f t="shared" ca="1" si="82"/>
        <v>23</v>
      </c>
      <c r="AF333" s="387">
        <f t="shared" ca="1" si="82"/>
        <v>24</v>
      </c>
      <c r="AG333" s="387">
        <f t="shared" ca="1" si="82"/>
        <v>25</v>
      </c>
      <c r="AH333" s="387">
        <f t="shared" ca="1" si="82"/>
        <v>26</v>
      </c>
      <c r="AI333" s="387">
        <f t="shared" ca="1" si="82"/>
        <v>27</v>
      </c>
      <c r="AJ333" s="387">
        <f t="shared" ca="1" si="82"/>
        <v>28</v>
      </c>
      <c r="AK333" s="387">
        <f t="shared" ca="1" si="82"/>
        <v>29</v>
      </c>
      <c r="AL333" s="387">
        <f t="shared" ca="1" si="82"/>
        <v>30</v>
      </c>
      <c r="AM333" s="387">
        <f t="shared" ca="1" si="82"/>
        <v>31</v>
      </c>
      <c r="AN333" s="387">
        <f t="shared" ca="1" si="82"/>
        <v>32</v>
      </c>
      <c r="AO333" s="387">
        <f t="shared" ca="1" si="82"/>
        <v>33</v>
      </c>
      <c r="AP333" s="387">
        <f t="shared" ca="1" si="82"/>
        <v>34</v>
      </c>
      <c r="AQ333" s="387">
        <f t="shared" ca="1" si="82"/>
        <v>35</v>
      </c>
      <c r="AR333" s="387">
        <f t="shared" ca="1" si="82"/>
        <v>36</v>
      </c>
      <c r="AS333" s="387">
        <f t="shared" ca="1" si="82"/>
        <v>37</v>
      </c>
      <c r="AT333" s="387">
        <f t="shared" ca="1" si="82"/>
        <v>38</v>
      </c>
      <c r="AU333" s="387">
        <f t="shared" ca="1" si="82"/>
        <v>39</v>
      </c>
      <c r="AV333" s="387">
        <f t="shared" ca="1" si="82"/>
        <v>40</v>
      </c>
      <c r="AW333" s="387">
        <f t="shared" ca="1" si="82"/>
        <v>41</v>
      </c>
      <c r="AX333" s="387">
        <f t="shared" ca="1" si="82"/>
        <v>42</v>
      </c>
      <c r="AY333" s="387">
        <f t="shared" ca="1" si="82"/>
        <v>43</v>
      </c>
      <c r="AZ333" s="387">
        <f t="shared" ca="1" si="82"/>
        <v>44</v>
      </c>
      <c r="BA333" s="387">
        <f t="shared" ca="1" si="82"/>
        <v>45</v>
      </c>
      <c r="BB333" s="387">
        <f t="shared" ca="1" si="82"/>
        <v>46</v>
      </c>
      <c r="BC333" s="387">
        <f t="shared" ca="1" si="82"/>
        <v>47</v>
      </c>
      <c r="BD333" s="387">
        <f t="shared" ca="1" si="82"/>
        <v>48</v>
      </c>
      <c r="BE333" s="387">
        <f t="shared" ca="1" si="82"/>
        <v>49</v>
      </c>
      <c r="BF333" s="387">
        <f t="shared" ca="1" si="82"/>
        <v>50</v>
      </c>
      <c r="BG333" s="387">
        <f t="shared" ca="1" si="82"/>
        <v>51</v>
      </c>
      <c r="BH333" s="387">
        <f t="shared" ca="1" si="82"/>
        <v>52</v>
      </c>
      <c r="BI333" s="387">
        <f t="shared" ca="1" si="82"/>
        <v>53</v>
      </c>
      <c r="BJ333" s="387">
        <f t="shared" ca="1" si="82"/>
        <v>54</v>
      </c>
      <c r="BK333" s="387">
        <f t="shared" ca="1" si="82"/>
        <v>55</v>
      </c>
      <c r="BL333" s="387">
        <f t="shared" ca="1" si="82"/>
        <v>56</v>
      </c>
      <c r="BM333" s="387">
        <f t="shared" ca="1" si="82"/>
        <v>57</v>
      </c>
      <c r="BN333" s="387">
        <f t="shared" ca="1" si="82"/>
        <v>58</v>
      </c>
      <c r="BO333" s="387">
        <f t="shared" ca="1" si="82"/>
        <v>59</v>
      </c>
      <c r="BP333" s="387">
        <f t="shared" ca="1" si="82"/>
        <v>60</v>
      </c>
      <c r="BQ333" s="387">
        <f t="shared" ca="1" si="82"/>
        <v>61</v>
      </c>
      <c r="BR333" s="387">
        <f t="shared" ca="1" si="82"/>
        <v>62</v>
      </c>
      <c r="BS333" s="387">
        <f t="shared" ca="1" si="82"/>
        <v>63</v>
      </c>
      <c r="BT333" s="387">
        <f t="shared" ca="1" si="82"/>
        <v>64</v>
      </c>
      <c r="BU333" s="387">
        <f t="shared" ref="BU333:EF333" ca="1" si="83">OFFSET(BU333,0,-1)+1</f>
        <v>65</v>
      </c>
      <c r="BV333" s="387">
        <f t="shared" ca="1" si="83"/>
        <v>66</v>
      </c>
      <c r="BW333" s="387">
        <f t="shared" ca="1" si="83"/>
        <v>67</v>
      </c>
      <c r="BX333" s="387">
        <f t="shared" ca="1" si="83"/>
        <v>68</v>
      </c>
      <c r="BY333" s="387">
        <f t="shared" ca="1" si="83"/>
        <v>69</v>
      </c>
      <c r="BZ333" s="387">
        <f t="shared" ca="1" si="83"/>
        <v>70</v>
      </c>
      <c r="CA333" s="387">
        <f t="shared" ca="1" si="83"/>
        <v>71</v>
      </c>
      <c r="CB333" s="387">
        <f t="shared" ca="1" si="83"/>
        <v>72</v>
      </c>
      <c r="CC333" s="387">
        <f t="shared" ca="1" si="83"/>
        <v>73</v>
      </c>
      <c r="CD333" s="387">
        <f t="shared" ca="1" si="83"/>
        <v>74</v>
      </c>
      <c r="CE333" s="387">
        <f t="shared" ca="1" si="83"/>
        <v>75</v>
      </c>
      <c r="CF333" s="387">
        <f t="shared" ca="1" si="83"/>
        <v>76</v>
      </c>
      <c r="CG333" s="387">
        <f t="shared" ca="1" si="83"/>
        <v>77</v>
      </c>
      <c r="CH333" s="387">
        <f t="shared" ca="1" si="83"/>
        <v>78</v>
      </c>
      <c r="CI333" s="387">
        <f t="shared" ca="1" si="83"/>
        <v>79</v>
      </c>
      <c r="CJ333" s="387">
        <f t="shared" ca="1" si="83"/>
        <v>80</v>
      </c>
      <c r="CK333" s="387">
        <f t="shared" ca="1" si="83"/>
        <v>81</v>
      </c>
      <c r="CL333" s="387">
        <f t="shared" ca="1" si="83"/>
        <v>82</v>
      </c>
      <c r="CM333" s="387">
        <f t="shared" ca="1" si="83"/>
        <v>83</v>
      </c>
      <c r="CN333" s="387">
        <f t="shared" ca="1" si="83"/>
        <v>84</v>
      </c>
      <c r="CO333" s="387">
        <f t="shared" ca="1" si="83"/>
        <v>85</v>
      </c>
      <c r="CP333" s="387">
        <f t="shared" ca="1" si="83"/>
        <v>86</v>
      </c>
      <c r="CQ333" s="387">
        <f t="shared" ca="1" si="83"/>
        <v>87</v>
      </c>
      <c r="CR333" s="387">
        <f t="shared" ca="1" si="83"/>
        <v>88</v>
      </c>
      <c r="CS333" s="387">
        <f t="shared" ca="1" si="83"/>
        <v>89</v>
      </c>
      <c r="CT333" s="387">
        <f t="shared" ca="1" si="83"/>
        <v>90</v>
      </c>
      <c r="CU333" s="387">
        <f t="shared" ca="1" si="83"/>
        <v>91</v>
      </c>
      <c r="CV333" s="387">
        <f t="shared" ca="1" si="83"/>
        <v>92</v>
      </c>
      <c r="CW333" s="387">
        <f t="shared" ca="1" si="83"/>
        <v>93</v>
      </c>
      <c r="CX333" s="387">
        <f t="shared" ca="1" si="83"/>
        <v>94</v>
      </c>
      <c r="CY333" s="387">
        <f t="shared" ca="1" si="83"/>
        <v>95</v>
      </c>
      <c r="CZ333" s="387">
        <f t="shared" ca="1" si="83"/>
        <v>96</v>
      </c>
      <c r="DA333" s="387">
        <f t="shared" ca="1" si="83"/>
        <v>97</v>
      </c>
      <c r="DB333" s="387">
        <f t="shared" ca="1" si="83"/>
        <v>98</v>
      </c>
      <c r="DC333" s="387">
        <f t="shared" ca="1" si="83"/>
        <v>99</v>
      </c>
      <c r="DD333" s="387">
        <f t="shared" ca="1" si="83"/>
        <v>100</v>
      </c>
      <c r="DE333" s="387">
        <f t="shared" ca="1" si="83"/>
        <v>101</v>
      </c>
      <c r="DF333" s="387">
        <f t="shared" ca="1" si="83"/>
        <v>102</v>
      </c>
      <c r="DG333" s="387">
        <f t="shared" ca="1" si="83"/>
        <v>103</v>
      </c>
      <c r="DH333" s="387">
        <f t="shared" ca="1" si="83"/>
        <v>104</v>
      </c>
      <c r="DI333" s="387">
        <f t="shared" ca="1" si="83"/>
        <v>105</v>
      </c>
      <c r="DJ333" s="387">
        <f t="shared" ca="1" si="83"/>
        <v>106</v>
      </c>
      <c r="DK333" s="387">
        <f t="shared" ca="1" si="83"/>
        <v>107</v>
      </c>
      <c r="DL333" s="387">
        <f t="shared" ca="1" si="83"/>
        <v>108</v>
      </c>
      <c r="DM333" s="387">
        <f t="shared" ca="1" si="83"/>
        <v>109</v>
      </c>
      <c r="DN333" s="387">
        <f t="shared" ca="1" si="83"/>
        <v>110</v>
      </c>
      <c r="DO333" s="387">
        <f t="shared" ca="1" si="83"/>
        <v>111</v>
      </c>
      <c r="DP333" s="387">
        <f t="shared" ca="1" si="83"/>
        <v>112</v>
      </c>
      <c r="DQ333" s="387">
        <f t="shared" ca="1" si="83"/>
        <v>113</v>
      </c>
      <c r="DR333" s="387">
        <f t="shared" ca="1" si="83"/>
        <v>114</v>
      </c>
      <c r="DS333" s="387">
        <f t="shared" ca="1" si="83"/>
        <v>115</v>
      </c>
      <c r="DT333" s="387">
        <f t="shared" ca="1" si="83"/>
        <v>116</v>
      </c>
      <c r="DU333" s="387">
        <f t="shared" ca="1" si="83"/>
        <v>117</v>
      </c>
      <c r="DV333" s="387">
        <f t="shared" ca="1" si="83"/>
        <v>118</v>
      </c>
      <c r="DW333" s="387">
        <f t="shared" ca="1" si="83"/>
        <v>119</v>
      </c>
      <c r="DX333" s="387">
        <f t="shared" ca="1" si="83"/>
        <v>120</v>
      </c>
      <c r="DY333" s="387">
        <f t="shared" ca="1" si="83"/>
        <v>121</v>
      </c>
      <c r="DZ333" s="387">
        <f t="shared" ca="1" si="83"/>
        <v>122</v>
      </c>
      <c r="EA333" s="387">
        <f t="shared" ca="1" si="83"/>
        <v>123</v>
      </c>
      <c r="EB333" s="387">
        <f t="shared" ca="1" si="83"/>
        <v>124</v>
      </c>
      <c r="EC333" s="387">
        <f t="shared" ca="1" si="83"/>
        <v>125</v>
      </c>
      <c r="ED333" s="387">
        <f t="shared" ca="1" si="83"/>
        <v>126</v>
      </c>
      <c r="EE333" s="387">
        <f t="shared" ca="1" si="83"/>
        <v>127</v>
      </c>
      <c r="EF333" s="387">
        <f t="shared" ca="1" si="83"/>
        <v>128</v>
      </c>
      <c r="EG333" s="387">
        <f t="shared" ref="EG333:GR333" ca="1" si="84">OFFSET(EG333,0,-1)+1</f>
        <v>129</v>
      </c>
      <c r="EH333" s="387">
        <f t="shared" ca="1" si="84"/>
        <v>130</v>
      </c>
      <c r="EI333" s="387">
        <f t="shared" ca="1" si="84"/>
        <v>131</v>
      </c>
      <c r="EJ333" s="387">
        <f t="shared" ca="1" si="84"/>
        <v>132</v>
      </c>
      <c r="EK333" s="387">
        <f t="shared" ca="1" si="84"/>
        <v>133</v>
      </c>
      <c r="EL333" s="387">
        <f t="shared" ca="1" si="84"/>
        <v>134</v>
      </c>
      <c r="EM333" s="387">
        <f t="shared" ca="1" si="84"/>
        <v>135</v>
      </c>
      <c r="EN333" s="387">
        <f t="shared" ca="1" si="84"/>
        <v>136</v>
      </c>
      <c r="EO333" s="387">
        <f t="shared" ca="1" si="84"/>
        <v>137</v>
      </c>
      <c r="EP333" s="387">
        <f t="shared" ca="1" si="84"/>
        <v>138</v>
      </c>
      <c r="EQ333" s="387">
        <f t="shared" ca="1" si="84"/>
        <v>139</v>
      </c>
      <c r="ER333" s="387">
        <f t="shared" ca="1" si="84"/>
        <v>140</v>
      </c>
      <c r="ES333" s="387">
        <f t="shared" ca="1" si="84"/>
        <v>141</v>
      </c>
      <c r="ET333" s="387">
        <f t="shared" ca="1" si="84"/>
        <v>142</v>
      </c>
      <c r="EU333" s="387">
        <f t="shared" ca="1" si="84"/>
        <v>143</v>
      </c>
      <c r="EV333" s="387">
        <f t="shared" ca="1" si="84"/>
        <v>144</v>
      </c>
      <c r="EW333" s="387">
        <f t="shared" ca="1" si="84"/>
        <v>145</v>
      </c>
      <c r="EX333" s="387">
        <f t="shared" ca="1" si="84"/>
        <v>146</v>
      </c>
      <c r="EY333" s="387">
        <f t="shared" ca="1" si="84"/>
        <v>147</v>
      </c>
      <c r="EZ333" s="387">
        <f t="shared" ca="1" si="84"/>
        <v>148</v>
      </c>
      <c r="FA333" s="387">
        <f t="shared" ca="1" si="84"/>
        <v>149</v>
      </c>
      <c r="FB333" s="387">
        <f t="shared" ca="1" si="84"/>
        <v>150</v>
      </c>
      <c r="FC333" s="387">
        <f t="shared" ca="1" si="84"/>
        <v>151</v>
      </c>
      <c r="FD333" s="387">
        <f t="shared" ca="1" si="84"/>
        <v>152</v>
      </c>
      <c r="FE333" s="387">
        <f t="shared" ca="1" si="84"/>
        <v>153</v>
      </c>
      <c r="FF333" s="387">
        <f t="shared" ca="1" si="84"/>
        <v>154</v>
      </c>
      <c r="FG333" s="387">
        <f t="shared" ca="1" si="84"/>
        <v>155</v>
      </c>
      <c r="FH333" s="387">
        <f t="shared" ca="1" si="84"/>
        <v>156</v>
      </c>
      <c r="FI333" s="387">
        <f t="shared" ca="1" si="84"/>
        <v>157</v>
      </c>
      <c r="FJ333" s="387">
        <f t="shared" ca="1" si="84"/>
        <v>158</v>
      </c>
      <c r="FK333" s="387">
        <f t="shared" ca="1" si="84"/>
        <v>159</v>
      </c>
      <c r="FL333" s="387">
        <f t="shared" ca="1" si="84"/>
        <v>160</v>
      </c>
      <c r="FM333" s="387">
        <f t="shared" ca="1" si="84"/>
        <v>161</v>
      </c>
      <c r="FN333" s="387">
        <f t="shared" ca="1" si="84"/>
        <v>162</v>
      </c>
      <c r="FO333" s="387">
        <f t="shared" ca="1" si="84"/>
        <v>163</v>
      </c>
      <c r="FP333" s="387">
        <f t="shared" ca="1" si="84"/>
        <v>164</v>
      </c>
      <c r="FQ333" s="387">
        <f t="shared" ca="1" si="84"/>
        <v>165</v>
      </c>
      <c r="FR333" s="387">
        <f t="shared" ca="1" si="84"/>
        <v>166</v>
      </c>
      <c r="FS333" s="387">
        <f t="shared" ca="1" si="84"/>
        <v>167</v>
      </c>
      <c r="FT333" s="387">
        <f t="shared" ca="1" si="84"/>
        <v>168</v>
      </c>
      <c r="FU333" s="387">
        <f t="shared" ca="1" si="84"/>
        <v>169</v>
      </c>
      <c r="FV333" s="387">
        <f t="shared" ca="1" si="84"/>
        <v>170</v>
      </c>
      <c r="FW333" s="387">
        <f t="shared" ca="1" si="84"/>
        <v>171</v>
      </c>
      <c r="FX333" s="387">
        <f t="shared" ca="1" si="84"/>
        <v>172</v>
      </c>
      <c r="FY333" s="387">
        <f t="shared" ca="1" si="84"/>
        <v>173</v>
      </c>
      <c r="FZ333" s="387">
        <f t="shared" ca="1" si="84"/>
        <v>174</v>
      </c>
      <c r="GA333" s="387">
        <f t="shared" ca="1" si="84"/>
        <v>175</v>
      </c>
      <c r="GB333" s="387">
        <f t="shared" ca="1" si="84"/>
        <v>176</v>
      </c>
      <c r="GC333" s="387">
        <f t="shared" ca="1" si="84"/>
        <v>177</v>
      </c>
      <c r="GD333" s="387">
        <f t="shared" ca="1" si="84"/>
        <v>178</v>
      </c>
      <c r="GE333" s="387">
        <f t="shared" ca="1" si="84"/>
        <v>179</v>
      </c>
      <c r="GF333" s="387">
        <f t="shared" ca="1" si="84"/>
        <v>180</v>
      </c>
      <c r="GG333" s="387">
        <f t="shared" ca="1" si="84"/>
        <v>181</v>
      </c>
      <c r="GH333" s="387">
        <f t="shared" ca="1" si="84"/>
        <v>182</v>
      </c>
      <c r="GI333" s="387">
        <f t="shared" ca="1" si="84"/>
        <v>183</v>
      </c>
      <c r="GJ333" s="387">
        <f t="shared" ca="1" si="84"/>
        <v>184</v>
      </c>
      <c r="GK333" s="387">
        <f t="shared" ca="1" si="84"/>
        <v>185</v>
      </c>
      <c r="GL333" s="387">
        <f t="shared" ca="1" si="84"/>
        <v>186</v>
      </c>
      <c r="GM333" s="387">
        <f t="shared" ca="1" si="84"/>
        <v>187</v>
      </c>
      <c r="GN333" s="387">
        <f t="shared" ca="1" si="84"/>
        <v>188</v>
      </c>
      <c r="GO333" s="387">
        <f t="shared" ca="1" si="84"/>
        <v>189</v>
      </c>
      <c r="GP333" s="387">
        <f t="shared" ca="1" si="84"/>
        <v>190</v>
      </c>
      <c r="GQ333" s="387">
        <f t="shared" ca="1" si="84"/>
        <v>191</v>
      </c>
      <c r="GR333" s="387">
        <f t="shared" ca="1" si="84"/>
        <v>192</v>
      </c>
      <c r="GS333" s="387">
        <f t="shared" ref="GS333:JD333" ca="1" si="85">OFFSET(GS333,0,-1)+1</f>
        <v>193</v>
      </c>
      <c r="GT333" s="387">
        <f t="shared" ca="1" si="85"/>
        <v>194</v>
      </c>
      <c r="GU333" s="387">
        <f t="shared" ca="1" si="85"/>
        <v>195</v>
      </c>
      <c r="GV333" s="387">
        <f t="shared" ca="1" si="85"/>
        <v>196</v>
      </c>
      <c r="GW333" s="387">
        <f t="shared" ca="1" si="85"/>
        <v>197</v>
      </c>
      <c r="GX333" s="387">
        <f t="shared" ca="1" si="85"/>
        <v>198</v>
      </c>
      <c r="GY333" s="387">
        <f t="shared" ca="1" si="85"/>
        <v>199</v>
      </c>
      <c r="GZ333" s="387">
        <f t="shared" ca="1" si="85"/>
        <v>200</v>
      </c>
      <c r="HA333" s="387">
        <f t="shared" ca="1" si="85"/>
        <v>201</v>
      </c>
      <c r="HB333" s="387">
        <f t="shared" ca="1" si="85"/>
        <v>202</v>
      </c>
      <c r="HC333" s="387">
        <f t="shared" ca="1" si="85"/>
        <v>203</v>
      </c>
      <c r="HD333" s="387">
        <f t="shared" ca="1" si="85"/>
        <v>204</v>
      </c>
      <c r="HE333" s="387">
        <f t="shared" ca="1" si="85"/>
        <v>205</v>
      </c>
      <c r="HF333" s="387">
        <f t="shared" ca="1" si="85"/>
        <v>206</v>
      </c>
      <c r="HG333" s="387">
        <f t="shared" ca="1" si="85"/>
        <v>207</v>
      </c>
      <c r="HH333" s="387">
        <f t="shared" ca="1" si="85"/>
        <v>208</v>
      </c>
      <c r="HI333" s="387">
        <f t="shared" ca="1" si="85"/>
        <v>209</v>
      </c>
      <c r="HJ333" s="387">
        <f t="shared" ca="1" si="85"/>
        <v>210</v>
      </c>
      <c r="HK333" s="387">
        <f t="shared" ca="1" si="85"/>
        <v>211</v>
      </c>
      <c r="HL333" s="387">
        <f t="shared" ca="1" si="85"/>
        <v>212</v>
      </c>
      <c r="HM333" s="387">
        <f t="shared" ca="1" si="85"/>
        <v>213</v>
      </c>
      <c r="HN333" s="387">
        <f t="shared" ca="1" si="85"/>
        <v>214</v>
      </c>
      <c r="HO333" s="387">
        <f t="shared" ca="1" si="85"/>
        <v>215</v>
      </c>
      <c r="HP333" s="387">
        <f t="shared" ca="1" si="85"/>
        <v>216</v>
      </c>
      <c r="HQ333" s="387">
        <f t="shared" ca="1" si="85"/>
        <v>217</v>
      </c>
      <c r="HR333" s="387">
        <f t="shared" ca="1" si="85"/>
        <v>218</v>
      </c>
      <c r="HS333" s="387">
        <f t="shared" ca="1" si="85"/>
        <v>219</v>
      </c>
      <c r="HT333" s="387">
        <f t="shared" ca="1" si="85"/>
        <v>220</v>
      </c>
      <c r="HU333" s="387">
        <f t="shared" ca="1" si="85"/>
        <v>221</v>
      </c>
      <c r="HV333" s="387">
        <f t="shared" ca="1" si="85"/>
        <v>222</v>
      </c>
      <c r="HW333" s="387">
        <f t="shared" ca="1" si="85"/>
        <v>223</v>
      </c>
      <c r="HX333" s="387">
        <f t="shared" ca="1" si="85"/>
        <v>224</v>
      </c>
      <c r="HY333" s="387">
        <f t="shared" ca="1" si="85"/>
        <v>225</v>
      </c>
      <c r="HZ333" s="387">
        <f t="shared" ca="1" si="85"/>
        <v>226</v>
      </c>
      <c r="IA333" s="387">
        <f t="shared" ca="1" si="85"/>
        <v>227</v>
      </c>
      <c r="IB333" s="387">
        <f t="shared" ca="1" si="85"/>
        <v>228</v>
      </c>
      <c r="IC333" s="387">
        <f t="shared" ca="1" si="85"/>
        <v>229</v>
      </c>
      <c r="ID333" s="387">
        <f t="shared" ca="1" si="85"/>
        <v>230</v>
      </c>
      <c r="IE333" s="387">
        <f t="shared" ca="1" si="85"/>
        <v>231</v>
      </c>
      <c r="IF333" s="387">
        <f t="shared" ca="1" si="85"/>
        <v>232</v>
      </c>
      <c r="IG333" s="387">
        <f t="shared" ca="1" si="85"/>
        <v>233</v>
      </c>
      <c r="IH333" s="387">
        <f t="shared" ca="1" si="85"/>
        <v>234</v>
      </c>
      <c r="II333" s="387">
        <f t="shared" ca="1" si="85"/>
        <v>235</v>
      </c>
      <c r="IJ333" s="387">
        <f t="shared" ca="1" si="85"/>
        <v>236</v>
      </c>
      <c r="IK333" s="387">
        <f t="shared" ca="1" si="85"/>
        <v>237</v>
      </c>
      <c r="IL333" s="387">
        <f t="shared" ca="1" si="85"/>
        <v>238</v>
      </c>
      <c r="IM333" s="387">
        <f t="shared" ca="1" si="85"/>
        <v>239</v>
      </c>
      <c r="IN333" s="387">
        <f t="shared" ca="1" si="85"/>
        <v>240</v>
      </c>
      <c r="IO333" s="387">
        <f t="shared" ca="1" si="85"/>
        <v>241</v>
      </c>
      <c r="IP333" s="387">
        <f t="shared" ca="1" si="85"/>
        <v>242</v>
      </c>
      <c r="IQ333" s="387">
        <f t="shared" ca="1" si="85"/>
        <v>243</v>
      </c>
      <c r="IR333" s="387">
        <f t="shared" ca="1" si="85"/>
        <v>244</v>
      </c>
      <c r="IS333" s="387">
        <f t="shared" ca="1" si="85"/>
        <v>245</v>
      </c>
      <c r="IT333" s="387">
        <f t="shared" ca="1" si="85"/>
        <v>246</v>
      </c>
      <c r="IU333" s="387">
        <f t="shared" ca="1" si="85"/>
        <v>247</v>
      </c>
      <c r="IV333" s="387">
        <f t="shared" ca="1" si="85"/>
        <v>248</v>
      </c>
      <c r="IW333" s="387">
        <f t="shared" ca="1" si="85"/>
        <v>249</v>
      </c>
      <c r="IX333" s="387">
        <f t="shared" ca="1" si="85"/>
        <v>250</v>
      </c>
      <c r="IY333" s="387">
        <f t="shared" ca="1" si="85"/>
        <v>251</v>
      </c>
      <c r="IZ333" s="387">
        <f t="shared" ca="1" si="85"/>
        <v>252</v>
      </c>
      <c r="JA333" s="387">
        <f t="shared" ca="1" si="85"/>
        <v>253</v>
      </c>
      <c r="JB333" s="387">
        <f t="shared" ca="1" si="85"/>
        <v>254</v>
      </c>
      <c r="JC333" s="387">
        <f t="shared" ca="1" si="85"/>
        <v>255</v>
      </c>
      <c r="JD333" s="387">
        <f t="shared" ca="1" si="85"/>
        <v>256</v>
      </c>
      <c r="JE333" s="387">
        <f t="shared" ref="JE333:LP333" ca="1" si="86">OFFSET(JE333,0,-1)+1</f>
        <v>257</v>
      </c>
      <c r="JF333" s="387">
        <f t="shared" ca="1" si="86"/>
        <v>258</v>
      </c>
      <c r="JG333" s="387">
        <f t="shared" ca="1" si="86"/>
        <v>259</v>
      </c>
      <c r="JH333" s="387">
        <f t="shared" ca="1" si="86"/>
        <v>260</v>
      </c>
      <c r="JI333" s="387">
        <f t="shared" ca="1" si="86"/>
        <v>261</v>
      </c>
      <c r="JJ333" s="387">
        <f t="shared" ca="1" si="86"/>
        <v>262</v>
      </c>
      <c r="JK333" s="387">
        <f t="shared" ca="1" si="86"/>
        <v>263</v>
      </c>
      <c r="JL333" s="387">
        <f t="shared" ca="1" si="86"/>
        <v>264</v>
      </c>
      <c r="JM333" s="387">
        <f t="shared" ca="1" si="86"/>
        <v>265</v>
      </c>
      <c r="JN333" s="387">
        <f t="shared" ca="1" si="86"/>
        <v>266</v>
      </c>
      <c r="JO333" s="387">
        <f t="shared" ca="1" si="86"/>
        <v>267</v>
      </c>
      <c r="JP333" s="387">
        <f t="shared" ca="1" si="86"/>
        <v>268</v>
      </c>
      <c r="JQ333" s="387">
        <f t="shared" ca="1" si="86"/>
        <v>269</v>
      </c>
      <c r="JR333" s="387">
        <f t="shared" ca="1" si="86"/>
        <v>270</v>
      </c>
      <c r="JS333" s="387">
        <f t="shared" ca="1" si="86"/>
        <v>271</v>
      </c>
      <c r="JT333" s="387">
        <f t="shared" ca="1" si="86"/>
        <v>272</v>
      </c>
      <c r="JU333" s="387">
        <f t="shared" ca="1" si="86"/>
        <v>273</v>
      </c>
      <c r="JV333" s="387">
        <f t="shared" ca="1" si="86"/>
        <v>274</v>
      </c>
      <c r="JW333" s="387">
        <f t="shared" ca="1" si="86"/>
        <v>275</v>
      </c>
      <c r="JX333" s="387">
        <f t="shared" ca="1" si="86"/>
        <v>276</v>
      </c>
      <c r="JY333" s="387">
        <f t="shared" ca="1" si="86"/>
        <v>277</v>
      </c>
      <c r="JZ333" s="387">
        <f t="shared" ca="1" si="86"/>
        <v>278</v>
      </c>
      <c r="KA333" s="387">
        <f t="shared" ca="1" si="86"/>
        <v>279</v>
      </c>
      <c r="KB333" s="387">
        <f t="shared" ca="1" si="86"/>
        <v>280</v>
      </c>
      <c r="KC333" s="387">
        <f t="shared" ca="1" si="86"/>
        <v>281</v>
      </c>
      <c r="KD333" s="387">
        <f t="shared" ca="1" si="86"/>
        <v>282</v>
      </c>
      <c r="KE333" s="387">
        <f t="shared" ca="1" si="86"/>
        <v>283</v>
      </c>
      <c r="KF333" s="387">
        <f t="shared" ca="1" si="86"/>
        <v>284</v>
      </c>
      <c r="KG333" s="387">
        <f t="shared" ca="1" si="86"/>
        <v>285</v>
      </c>
      <c r="KH333" s="387">
        <f t="shared" ca="1" si="86"/>
        <v>286</v>
      </c>
      <c r="KI333" s="387">
        <f t="shared" ca="1" si="86"/>
        <v>287</v>
      </c>
      <c r="KJ333" s="387">
        <f t="shared" ca="1" si="86"/>
        <v>288</v>
      </c>
      <c r="KK333" s="387">
        <f t="shared" ca="1" si="86"/>
        <v>289</v>
      </c>
      <c r="KL333" s="387">
        <f t="shared" ca="1" si="86"/>
        <v>290</v>
      </c>
      <c r="KM333" s="387">
        <f t="shared" ca="1" si="86"/>
        <v>291</v>
      </c>
      <c r="KN333" s="387">
        <f t="shared" ca="1" si="86"/>
        <v>292</v>
      </c>
      <c r="KO333" s="387">
        <f t="shared" ca="1" si="86"/>
        <v>293</v>
      </c>
      <c r="KP333" s="387">
        <f t="shared" ca="1" si="86"/>
        <v>294</v>
      </c>
      <c r="KQ333" s="387">
        <f t="shared" ca="1" si="86"/>
        <v>295</v>
      </c>
      <c r="KR333" s="387">
        <f t="shared" ca="1" si="86"/>
        <v>296</v>
      </c>
      <c r="KS333" s="387">
        <f t="shared" ca="1" si="86"/>
        <v>297</v>
      </c>
      <c r="KT333" s="387">
        <f t="shared" ca="1" si="86"/>
        <v>298</v>
      </c>
      <c r="KU333" s="387">
        <f t="shared" ca="1" si="86"/>
        <v>299</v>
      </c>
      <c r="KV333" s="387">
        <f t="shared" ca="1" si="86"/>
        <v>300</v>
      </c>
      <c r="KW333" s="387">
        <f t="shared" ca="1" si="86"/>
        <v>301</v>
      </c>
      <c r="KX333" s="387">
        <f t="shared" ca="1" si="86"/>
        <v>302</v>
      </c>
      <c r="KY333" s="387">
        <f t="shared" ca="1" si="86"/>
        <v>303</v>
      </c>
      <c r="KZ333" s="387">
        <f t="shared" ca="1" si="86"/>
        <v>304</v>
      </c>
      <c r="LA333" s="387">
        <f t="shared" ca="1" si="86"/>
        <v>305</v>
      </c>
      <c r="LB333" s="387">
        <f t="shared" ca="1" si="86"/>
        <v>306</v>
      </c>
      <c r="LC333" s="387">
        <f t="shared" ca="1" si="86"/>
        <v>307</v>
      </c>
      <c r="LD333" s="387">
        <f t="shared" ca="1" si="86"/>
        <v>308</v>
      </c>
      <c r="LE333" s="387">
        <f t="shared" ca="1" si="86"/>
        <v>309</v>
      </c>
      <c r="LF333" s="387">
        <f t="shared" ca="1" si="86"/>
        <v>310</v>
      </c>
      <c r="LG333" s="387">
        <f t="shared" ca="1" si="86"/>
        <v>311</v>
      </c>
      <c r="LH333" s="387">
        <f t="shared" ca="1" si="86"/>
        <v>312</v>
      </c>
      <c r="LI333" s="387">
        <f t="shared" ca="1" si="86"/>
        <v>313</v>
      </c>
      <c r="LJ333" s="387">
        <f t="shared" ca="1" si="86"/>
        <v>314</v>
      </c>
      <c r="LK333" s="387">
        <f t="shared" ca="1" si="86"/>
        <v>315</v>
      </c>
      <c r="LL333" s="387">
        <f t="shared" ca="1" si="86"/>
        <v>316</v>
      </c>
      <c r="LM333" s="387">
        <f t="shared" ca="1" si="86"/>
        <v>317</v>
      </c>
      <c r="LN333" s="387">
        <f t="shared" ca="1" si="86"/>
        <v>318</v>
      </c>
      <c r="LO333" s="387">
        <f t="shared" ca="1" si="86"/>
        <v>319</v>
      </c>
      <c r="LP333" s="387">
        <f t="shared" ca="1" si="86"/>
        <v>320</v>
      </c>
      <c r="LQ333" s="387">
        <f t="shared" ref="LQ333:OB333" ca="1" si="87">OFFSET(LQ333,0,-1)+1</f>
        <v>321</v>
      </c>
      <c r="LR333" s="387">
        <f t="shared" ca="1" si="87"/>
        <v>322</v>
      </c>
      <c r="LS333" s="387">
        <f t="shared" ca="1" si="87"/>
        <v>323</v>
      </c>
      <c r="LT333" s="387">
        <f t="shared" ca="1" si="87"/>
        <v>324</v>
      </c>
      <c r="LU333" s="387">
        <f t="shared" ca="1" si="87"/>
        <v>325</v>
      </c>
      <c r="LV333" s="387">
        <f t="shared" ca="1" si="87"/>
        <v>326</v>
      </c>
      <c r="LW333" s="387">
        <f t="shared" ca="1" si="87"/>
        <v>327</v>
      </c>
      <c r="LX333" s="387">
        <f t="shared" ca="1" si="87"/>
        <v>328</v>
      </c>
      <c r="LY333" s="387">
        <f t="shared" ca="1" si="87"/>
        <v>329</v>
      </c>
      <c r="LZ333" s="387">
        <f t="shared" ca="1" si="87"/>
        <v>330</v>
      </c>
      <c r="MA333" s="387">
        <f t="shared" ca="1" si="87"/>
        <v>331</v>
      </c>
      <c r="MB333" s="387">
        <f t="shared" ca="1" si="87"/>
        <v>332</v>
      </c>
      <c r="MC333" s="387">
        <f t="shared" ca="1" si="87"/>
        <v>333</v>
      </c>
      <c r="MD333" s="387">
        <f t="shared" ca="1" si="87"/>
        <v>334</v>
      </c>
      <c r="ME333" s="387">
        <f t="shared" ca="1" si="87"/>
        <v>335</v>
      </c>
      <c r="MF333" s="387">
        <f t="shared" ca="1" si="87"/>
        <v>336</v>
      </c>
      <c r="MG333" s="387">
        <f t="shared" ca="1" si="87"/>
        <v>337</v>
      </c>
      <c r="MH333" s="387">
        <f t="shared" ca="1" si="87"/>
        <v>338</v>
      </c>
      <c r="MI333" s="387">
        <f t="shared" ca="1" si="87"/>
        <v>339</v>
      </c>
      <c r="MJ333" s="387">
        <f t="shared" ca="1" si="87"/>
        <v>340</v>
      </c>
      <c r="MK333" s="387">
        <f t="shared" ca="1" si="87"/>
        <v>341</v>
      </c>
      <c r="ML333" s="387">
        <f t="shared" ca="1" si="87"/>
        <v>342</v>
      </c>
      <c r="MM333" s="387">
        <f t="shared" ca="1" si="87"/>
        <v>343</v>
      </c>
      <c r="MN333" s="387">
        <f t="shared" ca="1" si="87"/>
        <v>344</v>
      </c>
      <c r="MO333" s="387">
        <f t="shared" ca="1" si="87"/>
        <v>345</v>
      </c>
      <c r="MP333" s="387">
        <f t="shared" ca="1" si="87"/>
        <v>346</v>
      </c>
      <c r="MQ333" s="387">
        <f t="shared" ca="1" si="87"/>
        <v>347</v>
      </c>
      <c r="MR333" s="387">
        <f t="shared" ca="1" si="87"/>
        <v>348</v>
      </c>
      <c r="MS333" s="387">
        <f t="shared" ca="1" si="87"/>
        <v>349</v>
      </c>
      <c r="MT333" s="387">
        <f t="shared" ca="1" si="87"/>
        <v>350</v>
      </c>
      <c r="MU333" s="387">
        <f t="shared" ca="1" si="87"/>
        <v>351</v>
      </c>
      <c r="MV333" s="387">
        <f t="shared" ca="1" si="87"/>
        <v>352</v>
      </c>
      <c r="MW333" s="387">
        <f t="shared" ca="1" si="87"/>
        <v>353</v>
      </c>
      <c r="MX333" s="387">
        <f t="shared" ca="1" si="87"/>
        <v>354</v>
      </c>
      <c r="MY333" s="387">
        <f t="shared" ca="1" si="87"/>
        <v>355</v>
      </c>
      <c r="MZ333" s="387">
        <f t="shared" ca="1" si="87"/>
        <v>356</v>
      </c>
      <c r="NA333" s="387">
        <f t="shared" ca="1" si="87"/>
        <v>357</v>
      </c>
      <c r="NB333" s="387">
        <f t="shared" ca="1" si="87"/>
        <v>358</v>
      </c>
      <c r="NC333" s="387">
        <f t="shared" ca="1" si="87"/>
        <v>359</v>
      </c>
      <c r="ND333" s="387">
        <f t="shared" ca="1" si="87"/>
        <v>360</v>
      </c>
      <c r="NE333" s="387">
        <f t="shared" ca="1" si="87"/>
        <v>361</v>
      </c>
      <c r="NF333" s="387">
        <f t="shared" ca="1" si="87"/>
        <v>362</v>
      </c>
      <c r="NG333" s="387">
        <f t="shared" ca="1" si="87"/>
        <v>363</v>
      </c>
      <c r="NH333" s="387">
        <f t="shared" ca="1" si="87"/>
        <v>364</v>
      </c>
      <c r="NI333" s="387">
        <f t="shared" ca="1" si="87"/>
        <v>365</v>
      </c>
      <c r="NJ333" s="387">
        <f t="shared" ca="1" si="87"/>
        <v>366</v>
      </c>
      <c r="NK333" s="387">
        <f t="shared" ca="1" si="87"/>
        <v>367</v>
      </c>
      <c r="NL333" s="387">
        <f t="shared" ca="1" si="87"/>
        <v>368</v>
      </c>
      <c r="NM333" s="387">
        <f t="shared" ca="1" si="87"/>
        <v>369</v>
      </c>
      <c r="NN333" s="387">
        <f t="shared" ca="1" si="87"/>
        <v>370</v>
      </c>
      <c r="NO333" s="387">
        <f t="shared" ca="1" si="87"/>
        <v>371</v>
      </c>
      <c r="NP333" s="387">
        <f t="shared" ca="1" si="87"/>
        <v>372</v>
      </c>
      <c r="NQ333" s="387">
        <f t="shared" ca="1" si="87"/>
        <v>373</v>
      </c>
      <c r="NR333" s="387">
        <f t="shared" ca="1" si="87"/>
        <v>374</v>
      </c>
      <c r="NS333" s="387">
        <f t="shared" ca="1" si="87"/>
        <v>375</v>
      </c>
      <c r="NT333" s="387">
        <f t="shared" ca="1" si="87"/>
        <v>376</v>
      </c>
      <c r="NU333" s="387">
        <f t="shared" ca="1" si="87"/>
        <v>377</v>
      </c>
      <c r="NV333" s="387">
        <f t="shared" ca="1" si="87"/>
        <v>378</v>
      </c>
      <c r="NW333" s="387">
        <f t="shared" ca="1" si="87"/>
        <v>379</v>
      </c>
      <c r="NX333" s="387">
        <f t="shared" ca="1" si="87"/>
        <v>380</v>
      </c>
      <c r="NY333" s="387">
        <f t="shared" ca="1" si="87"/>
        <v>381</v>
      </c>
      <c r="NZ333" s="387">
        <f t="shared" ca="1" si="87"/>
        <v>382</v>
      </c>
      <c r="OA333" s="387">
        <f t="shared" ca="1" si="87"/>
        <v>383</v>
      </c>
      <c r="OB333" s="387">
        <f t="shared" ca="1" si="87"/>
        <v>384</v>
      </c>
      <c r="OC333" s="387">
        <f t="shared" ref="OC333:QN333" ca="1" si="88">OFFSET(OC333,0,-1)+1</f>
        <v>385</v>
      </c>
      <c r="OD333" s="387">
        <f t="shared" ca="1" si="88"/>
        <v>386</v>
      </c>
      <c r="OE333" s="387">
        <f t="shared" ca="1" si="88"/>
        <v>387</v>
      </c>
      <c r="OF333" s="387">
        <f t="shared" ca="1" si="88"/>
        <v>388</v>
      </c>
      <c r="OG333" s="387">
        <f t="shared" ca="1" si="88"/>
        <v>389</v>
      </c>
      <c r="OH333" s="387">
        <f t="shared" ca="1" si="88"/>
        <v>390</v>
      </c>
      <c r="OI333" s="387">
        <f t="shared" ca="1" si="88"/>
        <v>391</v>
      </c>
      <c r="OJ333" s="387">
        <f t="shared" ca="1" si="88"/>
        <v>392</v>
      </c>
      <c r="OK333" s="387">
        <f t="shared" ca="1" si="88"/>
        <v>393</v>
      </c>
      <c r="OL333" s="387">
        <f t="shared" ca="1" si="88"/>
        <v>394</v>
      </c>
      <c r="OM333" s="387">
        <f t="shared" ca="1" si="88"/>
        <v>395</v>
      </c>
      <c r="ON333" s="387">
        <f t="shared" ca="1" si="88"/>
        <v>396</v>
      </c>
      <c r="OO333" s="387">
        <f t="shared" ca="1" si="88"/>
        <v>397</v>
      </c>
      <c r="OP333" s="387">
        <f t="shared" ca="1" si="88"/>
        <v>398</v>
      </c>
      <c r="OQ333" s="387">
        <f t="shared" ca="1" si="88"/>
        <v>399</v>
      </c>
      <c r="OR333" s="387">
        <f t="shared" ca="1" si="88"/>
        <v>400</v>
      </c>
      <c r="OS333" s="387">
        <f t="shared" ca="1" si="88"/>
        <v>401</v>
      </c>
      <c r="OT333" s="387">
        <f t="shared" ca="1" si="88"/>
        <v>402</v>
      </c>
      <c r="OU333" s="387">
        <f t="shared" ca="1" si="88"/>
        <v>403</v>
      </c>
      <c r="OV333" s="387">
        <f t="shared" ca="1" si="88"/>
        <v>404</v>
      </c>
      <c r="OW333" s="387">
        <f t="shared" ca="1" si="88"/>
        <v>405</v>
      </c>
      <c r="OX333" s="387">
        <f t="shared" ca="1" si="88"/>
        <v>406</v>
      </c>
      <c r="OY333" s="387">
        <f t="shared" ca="1" si="88"/>
        <v>407</v>
      </c>
      <c r="OZ333" s="387">
        <f t="shared" ca="1" si="88"/>
        <v>408</v>
      </c>
      <c r="PA333" s="387">
        <f t="shared" ca="1" si="88"/>
        <v>409</v>
      </c>
      <c r="PB333" s="387">
        <f t="shared" ca="1" si="88"/>
        <v>410</v>
      </c>
      <c r="PC333" s="387">
        <f t="shared" ca="1" si="88"/>
        <v>411</v>
      </c>
      <c r="PD333" s="387">
        <f t="shared" ca="1" si="88"/>
        <v>412</v>
      </c>
      <c r="PE333" s="387">
        <f t="shared" ca="1" si="88"/>
        <v>413</v>
      </c>
      <c r="PF333" s="387">
        <f t="shared" ca="1" si="88"/>
        <v>414</v>
      </c>
      <c r="PG333" s="387">
        <f t="shared" ca="1" si="88"/>
        <v>415</v>
      </c>
      <c r="PH333" s="387">
        <f t="shared" ca="1" si="88"/>
        <v>416</v>
      </c>
      <c r="PI333" s="387">
        <f t="shared" ca="1" si="88"/>
        <v>417</v>
      </c>
      <c r="PJ333" s="387">
        <f t="shared" ca="1" si="88"/>
        <v>418</v>
      </c>
      <c r="PK333" s="387">
        <f t="shared" ca="1" si="88"/>
        <v>419</v>
      </c>
      <c r="PL333" s="387">
        <f t="shared" ca="1" si="88"/>
        <v>420</v>
      </c>
      <c r="PM333" s="387">
        <f t="shared" ca="1" si="88"/>
        <v>421</v>
      </c>
      <c r="PN333" s="387">
        <f t="shared" ca="1" si="88"/>
        <v>422</v>
      </c>
      <c r="PO333" s="387">
        <f t="shared" ca="1" si="88"/>
        <v>423</v>
      </c>
      <c r="PP333" s="387">
        <f t="shared" ca="1" si="88"/>
        <v>424</v>
      </c>
      <c r="PQ333" s="387">
        <f t="shared" ca="1" si="88"/>
        <v>425</v>
      </c>
      <c r="PR333" s="387">
        <f t="shared" ca="1" si="88"/>
        <v>426</v>
      </c>
      <c r="PS333" s="387">
        <f t="shared" ca="1" si="88"/>
        <v>427</v>
      </c>
      <c r="PT333" s="387">
        <f t="shared" ca="1" si="88"/>
        <v>428</v>
      </c>
      <c r="PU333" s="387">
        <f t="shared" ca="1" si="88"/>
        <v>429</v>
      </c>
      <c r="PV333" s="387">
        <f t="shared" ca="1" si="88"/>
        <v>430</v>
      </c>
      <c r="PW333" s="387">
        <f t="shared" ca="1" si="88"/>
        <v>431</v>
      </c>
      <c r="PX333" s="387">
        <f t="shared" ca="1" si="88"/>
        <v>432</v>
      </c>
      <c r="PY333" s="387">
        <f t="shared" ca="1" si="88"/>
        <v>433</v>
      </c>
      <c r="PZ333" s="387">
        <f t="shared" ca="1" si="88"/>
        <v>434</v>
      </c>
      <c r="QA333" s="387">
        <f t="shared" ca="1" si="88"/>
        <v>435</v>
      </c>
      <c r="QB333" s="387">
        <f t="shared" ca="1" si="88"/>
        <v>436</v>
      </c>
      <c r="QC333" s="387">
        <f t="shared" ca="1" si="88"/>
        <v>437</v>
      </c>
      <c r="QD333" s="387">
        <f t="shared" ca="1" si="88"/>
        <v>438</v>
      </c>
      <c r="QE333" s="387">
        <f t="shared" ca="1" si="88"/>
        <v>439</v>
      </c>
      <c r="QF333" s="387">
        <f t="shared" ca="1" si="88"/>
        <v>440</v>
      </c>
      <c r="QG333" s="387">
        <f t="shared" ca="1" si="88"/>
        <v>441</v>
      </c>
      <c r="QH333" s="387">
        <f t="shared" ca="1" si="88"/>
        <v>442</v>
      </c>
      <c r="QI333" s="387">
        <f t="shared" ca="1" si="88"/>
        <v>443</v>
      </c>
      <c r="QJ333" s="387">
        <f t="shared" ca="1" si="88"/>
        <v>444</v>
      </c>
      <c r="QK333" s="387">
        <f t="shared" ca="1" si="88"/>
        <v>445</v>
      </c>
      <c r="QL333" s="387">
        <f t="shared" ca="1" si="88"/>
        <v>446</v>
      </c>
      <c r="QM333" s="387">
        <f t="shared" ca="1" si="88"/>
        <v>447</v>
      </c>
      <c r="QN333" s="387">
        <f t="shared" ca="1" si="88"/>
        <v>448</v>
      </c>
      <c r="QO333" s="387">
        <f t="shared" ref="QO333:SZ333" ca="1" si="89">OFFSET(QO333,0,-1)+1</f>
        <v>449</v>
      </c>
      <c r="QP333" s="387">
        <f t="shared" ca="1" si="89"/>
        <v>450</v>
      </c>
      <c r="QQ333" s="387">
        <f t="shared" ca="1" si="89"/>
        <v>451</v>
      </c>
      <c r="QR333" s="387">
        <f t="shared" ca="1" si="89"/>
        <v>452</v>
      </c>
      <c r="QS333" s="387">
        <f t="shared" ca="1" si="89"/>
        <v>453</v>
      </c>
      <c r="QT333" s="387">
        <f t="shared" ca="1" si="89"/>
        <v>454</v>
      </c>
      <c r="QU333" s="387">
        <f t="shared" ca="1" si="89"/>
        <v>455</v>
      </c>
      <c r="QV333" s="387">
        <f t="shared" ca="1" si="89"/>
        <v>456</v>
      </c>
      <c r="QW333" s="387">
        <f t="shared" ca="1" si="89"/>
        <v>457</v>
      </c>
      <c r="QX333" s="387">
        <f t="shared" ca="1" si="89"/>
        <v>458</v>
      </c>
      <c r="QY333" s="387">
        <f t="shared" ca="1" si="89"/>
        <v>459</v>
      </c>
      <c r="QZ333" s="387">
        <f t="shared" ca="1" si="89"/>
        <v>460</v>
      </c>
      <c r="RA333" s="387">
        <f t="shared" ca="1" si="89"/>
        <v>461</v>
      </c>
      <c r="RB333" s="387">
        <f t="shared" ca="1" si="89"/>
        <v>462</v>
      </c>
      <c r="RC333" s="387">
        <f t="shared" ca="1" si="89"/>
        <v>463</v>
      </c>
      <c r="RD333" s="387">
        <f t="shared" ca="1" si="89"/>
        <v>464</v>
      </c>
      <c r="RE333" s="387">
        <f t="shared" ca="1" si="89"/>
        <v>465</v>
      </c>
      <c r="RF333" s="387">
        <f t="shared" ca="1" si="89"/>
        <v>466</v>
      </c>
      <c r="RG333" s="387">
        <f t="shared" ca="1" si="89"/>
        <v>467</v>
      </c>
      <c r="RH333" s="387">
        <f t="shared" ca="1" si="89"/>
        <v>468</v>
      </c>
      <c r="RI333" s="387">
        <f t="shared" ca="1" si="89"/>
        <v>469</v>
      </c>
      <c r="RJ333" s="387">
        <f t="shared" ca="1" si="89"/>
        <v>470</v>
      </c>
      <c r="RK333" s="387">
        <f t="shared" ca="1" si="89"/>
        <v>471</v>
      </c>
      <c r="RL333" s="387">
        <f t="shared" ca="1" si="89"/>
        <v>472</v>
      </c>
      <c r="RM333" s="387">
        <f t="shared" ca="1" si="89"/>
        <v>473</v>
      </c>
      <c r="RN333" s="387">
        <f t="shared" ca="1" si="89"/>
        <v>474</v>
      </c>
      <c r="RO333" s="387">
        <f t="shared" ca="1" si="89"/>
        <v>475</v>
      </c>
      <c r="RP333" s="387">
        <f t="shared" ca="1" si="89"/>
        <v>476</v>
      </c>
      <c r="RQ333" s="387">
        <f t="shared" ca="1" si="89"/>
        <v>477</v>
      </c>
      <c r="RR333" s="387">
        <f t="shared" ca="1" si="89"/>
        <v>478</v>
      </c>
      <c r="RS333" s="387">
        <f t="shared" ca="1" si="89"/>
        <v>479</v>
      </c>
      <c r="RT333" s="387">
        <f t="shared" ca="1" si="89"/>
        <v>480</v>
      </c>
      <c r="RU333" s="387">
        <f t="shared" ca="1" si="89"/>
        <v>481</v>
      </c>
      <c r="RV333" s="387">
        <f t="shared" ca="1" si="89"/>
        <v>482</v>
      </c>
      <c r="RW333" s="387">
        <f t="shared" ca="1" si="89"/>
        <v>483</v>
      </c>
      <c r="RX333" s="387">
        <f t="shared" ca="1" si="89"/>
        <v>484</v>
      </c>
      <c r="RY333" s="387">
        <f t="shared" ca="1" si="89"/>
        <v>485</v>
      </c>
      <c r="RZ333" s="387">
        <f t="shared" ca="1" si="89"/>
        <v>486</v>
      </c>
      <c r="SA333" s="387">
        <f t="shared" ca="1" si="89"/>
        <v>487</v>
      </c>
      <c r="SB333" s="387">
        <f t="shared" ca="1" si="89"/>
        <v>488</v>
      </c>
      <c r="SC333" s="387">
        <f t="shared" ca="1" si="89"/>
        <v>489</v>
      </c>
      <c r="SD333" s="387">
        <f t="shared" ca="1" si="89"/>
        <v>490</v>
      </c>
      <c r="SE333" s="387">
        <f t="shared" ca="1" si="89"/>
        <v>491</v>
      </c>
      <c r="SF333" s="387">
        <f t="shared" ca="1" si="89"/>
        <v>492</v>
      </c>
      <c r="SG333" s="387">
        <f t="shared" ca="1" si="89"/>
        <v>493</v>
      </c>
      <c r="SH333" s="387">
        <f t="shared" ca="1" si="89"/>
        <v>494</v>
      </c>
      <c r="SI333" s="387">
        <f t="shared" ca="1" si="89"/>
        <v>495</v>
      </c>
      <c r="SJ333" s="387">
        <f t="shared" ca="1" si="89"/>
        <v>496</v>
      </c>
      <c r="SK333" s="387">
        <f t="shared" ca="1" si="89"/>
        <v>497</v>
      </c>
      <c r="SL333" s="387">
        <f t="shared" ca="1" si="89"/>
        <v>498</v>
      </c>
      <c r="SM333" s="387">
        <f t="shared" ca="1" si="89"/>
        <v>499</v>
      </c>
      <c r="SN333" s="387">
        <f t="shared" ca="1" si="89"/>
        <v>500</v>
      </c>
      <c r="SO333" s="387">
        <f t="shared" ca="1" si="89"/>
        <v>501</v>
      </c>
      <c r="SP333" s="387">
        <f t="shared" ca="1" si="89"/>
        <v>502</v>
      </c>
      <c r="SQ333" s="387">
        <f t="shared" ca="1" si="89"/>
        <v>503</v>
      </c>
      <c r="SR333" s="387">
        <f t="shared" ca="1" si="89"/>
        <v>504</v>
      </c>
      <c r="SS333" s="387">
        <f t="shared" ca="1" si="89"/>
        <v>505</v>
      </c>
      <c r="ST333" s="387">
        <f t="shared" ca="1" si="89"/>
        <v>506</v>
      </c>
      <c r="SU333" s="387">
        <f t="shared" ca="1" si="89"/>
        <v>507</v>
      </c>
      <c r="SV333" s="387">
        <f t="shared" ca="1" si="89"/>
        <v>508</v>
      </c>
      <c r="SW333" s="387">
        <f t="shared" ca="1" si="89"/>
        <v>509</v>
      </c>
      <c r="SX333" s="387">
        <f t="shared" ca="1" si="89"/>
        <v>510</v>
      </c>
      <c r="SY333" s="387">
        <f t="shared" ca="1" si="89"/>
        <v>511</v>
      </c>
      <c r="SZ333" s="387">
        <f t="shared" ca="1" si="89"/>
        <v>512</v>
      </c>
      <c r="TA333" s="387">
        <f t="shared" ref="TA333:VL333" ca="1" si="90">OFFSET(TA333,0,-1)+1</f>
        <v>513</v>
      </c>
      <c r="TB333" s="387">
        <f t="shared" ca="1" si="90"/>
        <v>514</v>
      </c>
      <c r="TC333" s="387">
        <f t="shared" ca="1" si="90"/>
        <v>515</v>
      </c>
      <c r="TD333" s="387">
        <f t="shared" ca="1" si="90"/>
        <v>516</v>
      </c>
      <c r="TE333" s="387">
        <f t="shared" ca="1" si="90"/>
        <v>517</v>
      </c>
      <c r="TF333" s="387">
        <f t="shared" ca="1" si="90"/>
        <v>518</v>
      </c>
      <c r="TG333" s="387">
        <f t="shared" ca="1" si="90"/>
        <v>519</v>
      </c>
      <c r="TH333" s="387">
        <f t="shared" ca="1" si="90"/>
        <v>520</v>
      </c>
      <c r="TI333" s="387">
        <f t="shared" ca="1" si="90"/>
        <v>521</v>
      </c>
      <c r="TJ333" s="387">
        <f t="shared" ca="1" si="90"/>
        <v>522</v>
      </c>
      <c r="TK333" s="387">
        <f t="shared" ca="1" si="90"/>
        <v>523</v>
      </c>
      <c r="TL333" s="387">
        <f t="shared" ca="1" si="90"/>
        <v>524</v>
      </c>
      <c r="TM333" s="387">
        <f t="shared" ca="1" si="90"/>
        <v>525</v>
      </c>
      <c r="TN333" s="387">
        <f t="shared" ca="1" si="90"/>
        <v>526</v>
      </c>
      <c r="TO333" s="387">
        <f t="shared" ca="1" si="90"/>
        <v>527</v>
      </c>
      <c r="TP333" s="387">
        <f t="shared" ca="1" si="90"/>
        <v>528</v>
      </c>
      <c r="TQ333" s="387">
        <f t="shared" ca="1" si="90"/>
        <v>529</v>
      </c>
      <c r="TR333" s="387">
        <f t="shared" ca="1" si="90"/>
        <v>530</v>
      </c>
      <c r="TS333" s="387">
        <f t="shared" ca="1" si="90"/>
        <v>531</v>
      </c>
      <c r="TT333" s="387">
        <f t="shared" ca="1" si="90"/>
        <v>532</v>
      </c>
      <c r="TU333" s="387">
        <f t="shared" ca="1" si="90"/>
        <v>533</v>
      </c>
      <c r="TV333" s="387">
        <f t="shared" ca="1" si="90"/>
        <v>534</v>
      </c>
      <c r="TW333" s="387">
        <f t="shared" ca="1" si="90"/>
        <v>535</v>
      </c>
      <c r="TX333" s="387">
        <f t="shared" ca="1" si="90"/>
        <v>536</v>
      </c>
      <c r="TY333" s="387">
        <f t="shared" ca="1" si="90"/>
        <v>537</v>
      </c>
      <c r="TZ333" s="387">
        <f t="shared" ca="1" si="90"/>
        <v>538</v>
      </c>
      <c r="UA333" s="387">
        <f t="shared" ca="1" si="90"/>
        <v>539</v>
      </c>
      <c r="UB333" s="387">
        <f t="shared" ca="1" si="90"/>
        <v>540</v>
      </c>
      <c r="UC333" s="387">
        <f t="shared" ca="1" si="90"/>
        <v>541</v>
      </c>
      <c r="UD333" s="387">
        <f t="shared" ca="1" si="90"/>
        <v>542</v>
      </c>
      <c r="UE333" s="387">
        <f t="shared" ca="1" si="90"/>
        <v>543</v>
      </c>
      <c r="UF333" s="387">
        <f t="shared" ca="1" si="90"/>
        <v>544</v>
      </c>
      <c r="UG333" s="387">
        <f t="shared" ca="1" si="90"/>
        <v>545</v>
      </c>
      <c r="UH333" s="387">
        <f t="shared" ca="1" si="90"/>
        <v>546</v>
      </c>
      <c r="UI333" s="387">
        <f t="shared" ca="1" si="90"/>
        <v>547</v>
      </c>
      <c r="UJ333" s="387">
        <f t="shared" ca="1" si="90"/>
        <v>548</v>
      </c>
      <c r="UK333" s="387">
        <f t="shared" ca="1" si="90"/>
        <v>549</v>
      </c>
      <c r="UL333" s="387">
        <f t="shared" ca="1" si="90"/>
        <v>550</v>
      </c>
      <c r="UM333" s="387">
        <f t="shared" ca="1" si="90"/>
        <v>551</v>
      </c>
      <c r="UN333" s="387">
        <f t="shared" ca="1" si="90"/>
        <v>552</v>
      </c>
      <c r="UO333" s="387">
        <f t="shared" ca="1" si="90"/>
        <v>553</v>
      </c>
      <c r="UP333" s="387">
        <f t="shared" ca="1" si="90"/>
        <v>554</v>
      </c>
      <c r="UQ333" s="387">
        <f t="shared" ca="1" si="90"/>
        <v>555</v>
      </c>
      <c r="UR333" s="387">
        <f t="shared" ca="1" si="90"/>
        <v>556</v>
      </c>
      <c r="US333" s="387">
        <f t="shared" ca="1" si="90"/>
        <v>557</v>
      </c>
      <c r="UT333" s="387">
        <f t="shared" ca="1" si="90"/>
        <v>558</v>
      </c>
      <c r="UU333" s="387">
        <f t="shared" ca="1" si="90"/>
        <v>559</v>
      </c>
      <c r="UV333" s="387">
        <f t="shared" ca="1" si="90"/>
        <v>560</v>
      </c>
      <c r="UW333" s="387">
        <f t="shared" ca="1" si="90"/>
        <v>561</v>
      </c>
      <c r="UX333" s="387">
        <f t="shared" ca="1" si="90"/>
        <v>562</v>
      </c>
      <c r="UY333" s="387">
        <f t="shared" ca="1" si="90"/>
        <v>563</v>
      </c>
      <c r="UZ333" s="387">
        <f t="shared" ca="1" si="90"/>
        <v>564</v>
      </c>
      <c r="VA333" s="387">
        <f t="shared" ca="1" si="90"/>
        <v>565</v>
      </c>
      <c r="VB333" s="387">
        <f t="shared" ca="1" si="90"/>
        <v>566</v>
      </c>
      <c r="VC333" s="387">
        <f t="shared" ca="1" si="90"/>
        <v>567</v>
      </c>
      <c r="VD333" s="387">
        <f t="shared" ca="1" si="90"/>
        <v>568</v>
      </c>
      <c r="VE333" s="387">
        <f t="shared" ca="1" si="90"/>
        <v>569</v>
      </c>
      <c r="VF333" s="387">
        <f t="shared" ca="1" si="90"/>
        <v>570</v>
      </c>
      <c r="VG333" s="387">
        <f t="shared" ca="1" si="90"/>
        <v>571</v>
      </c>
      <c r="VH333" s="387">
        <f t="shared" ca="1" si="90"/>
        <v>572</v>
      </c>
      <c r="VI333" s="387">
        <f t="shared" ca="1" si="90"/>
        <v>573</v>
      </c>
      <c r="VJ333" s="387">
        <f t="shared" ca="1" si="90"/>
        <v>574</v>
      </c>
      <c r="VK333" s="387">
        <f t="shared" ca="1" si="90"/>
        <v>575</v>
      </c>
      <c r="VL333" s="387">
        <f t="shared" ca="1" si="90"/>
        <v>576</v>
      </c>
      <c r="VM333" s="387">
        <f t="shared" ref="VM333:XX333" ca="1" si="91">OFFSET(VM333,0,-1)+1</f>
        <v>577</v>
      </c>
      <c r="VN333" s="387">
        <f t="shared" ca="1" si="91"/>
        <v>578</v>
      </c>
      <c r="VO333" s="387">
        <f t="shared" ca="1" si="91"/>
        <v>579</v>
      </c>
      <c r="VP333" s="387">
        <f t="shared" ca="1" si="91"/>
        <v>580</v>
      </c>
      <c r="VQ333" s="387">
        <f t="shared" ca="1" si="91"/>
        <v>581</v>
      </c>
      <c r="VR333" s="387">
        <f t="shared" ca="1" si="91"/>
        <v>582</v>
      </c>
      <c r="VS333" s="387">
        <f t="shared" ca="1" si="91"/>
        <v>583</v>
      </c>
      <c r="VT333" s="387">
        <f t="shared" ca="1" si="91"/>
        <v>584</v>
      </c>
      <c r="VU333" s="387">
        <f t="shared" ca="1" si="91"/>
        <v>585</v>
      </c>
      <c r="VV333" s="387">
        <f t="shared" ca="1" si="91"/>
        <v>586</v>
      </c>
      <c r="VW333" s="387">
        <f t="shared" ca="1" si="91"/>
        <v>587</v>
      </c>
      <c r="VX333" s="387">
        <f t="shared" ca="1" si="91"/>
        <v>588</v>
      </c>
      <c r="VY333" s="387">
        <f t="shared" ca="1" si="91"/>
        <v>589</v>
      </c>
      <c r="VZ333" s="387">
        <f t="shared" ca="1" si="91"/>
        <v>590</v>
      </c>
      <c r="WA333" s="387">
        <f t="shared" ca="1" si="91"/>
        <v>591</v>
      </c>
      <c r="WB333" s="387">
        <f t="shared" ca="1" si="91"/>
        <v>592</v>
      </c>
      <c r="WC333" s="387">
        <f t="shared" ca="1" si="91"/>
        <v>593</v>
      </c>
      <c r="WD333" s="387">
        <f t="shared" ca="1" si="91"/>
        <v>594</v>
      </c>
      <c r="WE333" s="387">
        <f t="shared" ca="1" si="91"/>
        <v>595</v>
      </c>
      <c r="WF333" s="387">
        <f t="shared" ca="1" si="91"/>
        <v>596</v>
      </c>
      <c r="WG333" s="387">
        <f t="shared" ca="1" si="91"/>
        <v>597</v>
      </c>
      <c r="WH333" s="387">
        <f t="shared" ca="1" si="91"/>
        <v>598</v>
      </c>
      <c r="WI333" s="387">
        <f t="shared" ca="1" si="91"/>
        <v>599</v>
      </c>
      <c r="WJ333" s="387">
        <f t="shared" ca="1" si="91"/>
        <v>600</v>
      </c>
      <c r="WK333" s="387">
        <f t="shared" ca="1" si="91"/>
        <v>601</v>
      </c>
      <c r="WL333" s="387">
        <f t="shared" ca="1" si="91"/>
        <v>602</v>
      </c>
      <c r="WM333" s="387">
        <f t="shared" ca="1" si="91"/>
        <v>603</v>
      </c>
      <c r="WN333" s="387">
        <f t="shared" ca="1" si="91"/>
        <v>604</v>
      </c>
      <c r="WO333" s="387">
        <f t="shared" ca="1" si="91"/>
        <v>605</v>
      </c>
      <c r="WP333" s="387">
        <f t="shared" ca="1" si="91"/>
        <v>606</v>
      </c>
      <c r="WQ333" s="387">
        <f t="shared" ca="1" si="91"/>
        <v>607</v>
      </c>
      <c r="WR333" s="387">
        <f t="shared" ca="1" si="91"/>
        <v>608</v>
      </c>
      <c r="WS333" s="387">
        <f t="shared" ca="1" si="91"/>
        <v>609</v>
      </c>
      <c r="WT333" s="387">
        <f t="shared" ca="1" si="91"/>
        <v>610</v>
      </c>
      <c r="WU333" s="387">
        <f t="shared" ca="1" si="91"/>
        <v>611</v>
      </c>
      <c r="WV333" s="387">
        <f t="shared" ca="1" si="91"/>
        <v>612</v>
      </c>
      <c r="WW333" s="387">
        <f t="shared" ca="1" si="91"/>
        <v>613</v>
      </c>
      <c r="WX333" s="387">
        <f t="shared" ca="1" si="91"/>
        <v>614</v>
      </c>
      <c r="WY333" s="387">
        <f t="shared" ca="1" si="91"/>
        <v>615</v>
      </c>
      <c r="WZ333" s="387">
        <f t="shared" ca="1" si="91"/>
        <v>616</v>
      </c>
      <c r="XA333" s="387">
        <f t="shared" ca="1" si="91"/>
        <v>617</v>
      </c>
      <c r="XB333" s="387">
        <f t="shared" ca="1" si="91"/>
        <v>618</v>
      </c>
      <c r="XC333" s="387">
        <f t="shared" ca="1" si="91"/>
        <v>619</v>
      </c>
      <c r="XD333" s="387">
        <f t="shared" ca="1" si="91"/>
        <v>620</v>
      </c>
      <c r="XE333" s="387">
        <f t="shared" ca="1" si="91"/>
        <v>621</v>
      </c>
      <c r="XF333" s="387">
        <f t="shared" ca="1" si="91"/>
        <v>622</v>
      </c>
      <c r="XG333" s="387">
        <f t="shared" ca="1" si="91"/>
        <v>623</v>
      </c>
      <c r="XH333" s="387">
        <f t="shared" ca="1" si="91"/>
        <v>624</v>
      </c>
      <c r="XI333" s="387">
        <f t="shared" ca="1" si="91"/>
        <v>625</v>
      </c>
      <c r="XJ333" s="387">
        <f t="shared" ca="1" si="91"/>
        <v>626</v>
      </c>
      <c r="XK333" s="387">
        <f t="shared" ca="1" si="91"/>
        <v>627</v>
      </c>
      <c r="XL333" s="387">
        <f t="shared" ca="1" si="91"/>
        <v>628</v>
      </c>
      <c r="XM333" s="387">
        <f t="shared" ca="1" si="91"/>
        <v>629</v>
      </c>
      <c r="XN333" s="387">
        <f t="shared" ca="1" si="91"/>
        <v>630</v>
      </c>
      <c r="XO333" s="387">
        <f t="shared" ca="1" si="91"/>
        <v>631</v>
      </c>
      <c r="XP333" s="387">
        <f t="shared" ca="1" si="91"/>
        <v>632</v>
      </c>
      <c r="XQ333" s="387">
        <f t="shared" ca="1" si="91"/>
        <v>633</v>
      </c>
      <c r="XR333" s="387">
        <f t="shared" ca="1" si="91"/>
        <v>634</v>
      </c>
      <c r="XS333" s="387">
        <f t="shared" ca="1" si="91"/>
        <v>635</v>
      </c>
      <c r="XT333" s="387">
        <f t="shared" ca="1" si="91"/>
        <v>636</v>
      </c>
      <c r="XU333" s="387">
        <f t="shared" ca="1" si="91"/>
        <v>637</v>
      </c>
      <c r="XV333" s="387">
        <f t="shared" ca="1" si="91"/>
        <v>638</v>
      </c>
      <c r="XW333" s="387">
        <f t="shared" ca="1" si="91"/>
        <v>639</v>
      </c>
      <c r="XX333" s="387">
        <f t="shared" ca="1" si="91"/>
        <v>640</v>
      </c>
      <c r="XY333" s="387">
        <f t="shared" ref="XY333:AAJ333" ca="1" si="92">OFFSET(XY333,0,-1)+1</f>
        <v>641</v>
      </c>
      <c r="XZ333" s="387">
        <f t="shared" ca="1" si="92"/>
        <v>642</v>
      </c>
      <c r="YA333" s="387">
        <f t="shared" ca="1" si="92"/>
        <v>643</v>
      </c>
      <c r="YB333" s="387">
        <f t="shared" ca="1" si="92"/>
        <v>644</v>
      </c>
      <c r="YC333" s="387">
        <f t="shared" ca="1" si="92"/>
        <v>645</v>
      </c>
      <c r="YD333" s="387">
        <f t="shared" ca="1" si="92"/>
        <v>646</v>
      </c>
      <c r="YE333" s="387">
        <f t="shared" ca="1" si="92"/>
        <v>647</v>
      </c>
      <c r="YF333" s="387">
        <f t="shared" ca="1" si="92"/>
        <v>648</v>
      </c>
      <c r="YG333" s="387">
        <f t="shared" ca="1" si="92"/>
        <v>649</v>
      </c>
      <c r="YH333" s="387">
        <f t="shared" ca="1" si="92"/>
        <v>650</v>
      </c>
      <c r="YI333" s="387">
        <f t="shared" ca="1" si="92"/>
        <v>651</v>
      </c>
      <c r="YJ333" s="387">
        <f t="shared" ca="1" si="92"/>
        <v>652</v>
      </c>
      <c r="YK333" s="387">
        <f t="shared" ca="1" si="92"/>
        <v>653</v>
      </c>
      <c r="YL333" s="387">
        <f t="shared" ca="1" si="92"/>
        <v>654</v>
      </c>
      <c r="YM333" s="387">
        <f t="shared" ca="1" si="92"/>
        <v>655</v>
      </c>
      <c r="YN333" s="387">
        <f t="shared" ca="1" si="92"/>
        <v>656</v>
      </c>
      <c r="YO333" s="387">
        <f t="shared" ca="1" si="92"/>
        <v>657</v>
      </c>
      <c r="YP333" s="387">
        <f t="shared" ca="1" si="92"/>
        <v>658</v>
      </c>
      <c r="YQ333" s="387">
        <f t="shared" ca="1" si="92"/>
        <v>659</v>
      </c>
      <c r="YR333" s="387">
        <f t="shared" ca="1" si="92"/>
        <v>660</v>
      </c>
      <c r="YS333" s="387">
        <f t="shared" ca="1" si="92"/>
        <v>661</v>
      </c>
      <c r="YT333" s="387">
        <f t="shared" ca="1" si="92"/>
        <v>662</v>
      </c>
      <c r="YU333" s="387">
        <f t="shared" ca="1" si="92"/>
        <v>663</v>
      </c>
      <c r="YV333" s="387">
        <f t="shared" ca="1" si="92"/>
        <v>664</v>
      </c>
      <c r="YW333" s="387">
        <f t="shared" ca="1" si="92"/>
        <v>665</v>
      </c>
      <c r="YX333" s="387">
        <f t="shared" ca="1" si="92"/>
        <v>666</v>
      </c>
      <c r="YY333" s="387">
        <f t="shared" ca="1" si="92"/>
        <v>667</v>
      </c>
      <c r="YZ333" s="387">
        <f t="shared" ca="1" si="92"/>
        <v>668</v>
      </c>
      <c r="ZA333" s="387">
        <f t="shared" ca="1" si="92"/>
        <v>669</v>
      </c>
      <c r="ZB333" s="387">
        <f t="shared" ca="1" si="92"/>
        <v>670</v>
      </c>
      <c r="ZC333" s="387">
        <f t="shared" ca="1" si="92"/>
        <v>671</v>
      </c>
      <c r="ZD333" s="387">
        <f t="shared" ca="1" si="92"/>
        <v>672</v>
      </c>
      <c r="ZE333" s="387">
        <f t="shared" ca="1" si="92"/>
        <v>673</v>
      </c>
      <c r="ZF333" s="387">
        <f t="shared" ca="1" si="92"/>
        <v>674</v>
      </c>
      <c r="ZG333" s="387">
        <f t="shared" ca="1" si="92"/>
        <v>675</v>
      </c>
      <c r="ZH333" s="387">
        <f t="shared" ca="1" si="92"/>
        <v>676</v>
      </c>
      <c r="ZI333" s="387">
        <f t="shared" ca="1" si="92"/>
        <v>677</v>
      </c>
      <c r="ZJ333" s="387">
        <f t="shared" ca="1" si="92"/>
        <v>678</v>
      </c>
      <c r="ZK333" s="387">
        <f t="shared" ca="1" si="92"/>
        <v>679</v>
      </c>
      <c r="ZL333" s="387">
        <f t="shared" ca="1" si="92"/>
        <v>680</v>
      </c>
      <c r="ZM333" s="387">
        <f t="shared" ca="1" si="92"/>
        <v>681</v>
      </c>
      <c r="ZN333" s="387">
        <f t="shared" ca="1" si="92"/>
        <v>682</v>
      </c>
      <c r="ZO333" s="387">
        <f t="shared" ca="1" si="92"/>
        <v>683</v>
      </c>
      <c r="ZP333" s="387">
        <f t="shared" ca="1" si="92"/>
        <v>684</v>
      </c>
      <c r="ZQ333" s="387">
        <f t="shared" ca="1" si="92"/>
        <v>685</v>
      </c>
      <c r="ZR333" s="387">
        <f t="shared" ca="1" si="92"/>
        <v>686</v>
      </c>
      <c r="ZS333" s="387">
        <f t="shared" ca="1" si="92"/>
        <v>687</v>
      </c>
      <c r="ZT333" s="387">
        <f t="shared" ca="1" si="92"/>
        <v>688</v>
      </c>
      <c r="ZU333" s="387">
        <f t="shared" ca="1" si="92"/>
        <v>689</v>
      </c>
      <c r="ZV333" s="387">
        <f t="shared" ca="1" si="92"/>
        <v>690</v>
      </c>
      <c r="ZW333" s="387">
        <f t="shared" ca="1" si="92"/>
        <v>691</v>
      </c>
      <c r="ZX333" s="387">
        <f t="shared" ca="1" si="92"/>
        <v>692</v>
      </c>
      <c r="ZY333" s="387">
        <f t="shared" ca="1" si="92"/>
        <v>693</v>
      </c>
      <c r="ZZ333" s="387">
        <f t="shared" ca="1" si="92"/>
        <v>694</v>
      </c>
      <c r="AAA333" s="387">
        <f t="shared" ca="1" si="92"/>
        <v>695</v>
      </c>
      <c r="AAB333" s="387">
        <f t="shared" ca="1" si="92"/>
        <v>696</v>
      </c>
      <c r="AAC333" s="387">
        <f t="shared" ca="1" si="92"/>
        <v>697</v>
      </c>
      <c r="AAD333" s="387">
        <f t="shared" ca="1" si="92"/>
        <v>698</v>
      </c>
      <c r="AAE333" s="387">
        <f t="shared" ca="1" si="92"/>
        <v>699</v>
      </c>
      <c r="AAF333" s="387">
        <f t="shared" ca="1" si="92"/>
        <v>700</v>
      </c>
      <c r="AAG333" s="387">
        <f t="shared" ca="1" si="92"/>
        <v>701</v>
      </c>
      <c r="AAH333" s="387">
        <f t="shared" ca="1" si="92"/>
        <v>702</v>
      </c>
      <c r="AAI333" s="387">
        <f t="shared" ca="1" si="92"/>
        <v>703</v>
      </c>
      <c r="AAJ333" s="387">
        <f t="shared" ca="1" si="92"/>
        <v>704</v>
      </c>
      <c r="AAK333" s="387"/>
    </row>
    <row r="334" spans="1:713" hidden="1">
      <c r="B334" s="1023" t="s">
        <v>1866</v>
      </c>
      <c r="C334" s="723"/>
      <c r="D334" s="999"/>
      <c r="E334" s="534" t="s">
        <v>122</v>
      </c>
      <c r="F334" s="534"/>
      <c r="G334" s="534" t="s">
        <v>68</v>
      </c>
      <c r="H334" s="534"/>
      <c r="I334" s="1047" t="s">
        <v>1127</v>
      </c>
      <c r="J334" s="1047" t="s">
        <v>1127</v>
      </c>
      <c r="K334" s="1047" t="s">
        <v>1127</v>
      </c>
      <c r="L334" s="1047" t="s">
        <v>1127</v>
      </c>
      <c r="M334" s="1047" t="s">
        <v>1127</v>
      </c>
      <c r="N334" s="1047" t="s">
        <v>1127</v>
      </c>
      <c r="O334" s="1047" t="s">
        <v>1127</v>
      </c>
      <c r="P334" s="1047" t="s">
        <v>1127</v>
      </c>
      <c r="Q334" s="1047" t="s">
        <v>1128</v>
      </c>
      <c r="R334" s="1047" t="s">
        <v>1128</v>
      </c>
      <c r="S334" s="1047" t="s">
        <v>1128</v>
      </c>
      <c r="T334" s="1047" t="s">
        <v>1128</v>
      </c>
      <c r="U334" s="1047" t="s">
        <v>1128</v>
      </c>
      <c r="V334" s="1047" t="s">
        <v>1128</v>
      </c>
      <c r="W334" s="1047" t="s">
        <v>1128</v>
      </c>
      <c r="X334" s="1047" t="s">
        <v>1128</v>
      </c>
      <c r="Y334" s="1047" t="s">
        <v>462</v>
      </c>
      <c r="Z334" s="1047" t="s">
        <v>462</v>
      </c>
      <c r="AA334" s="1047" t="s">
        <v>462</v>
      </c>
      <c r="AB334" s="1047" t="s">
        <v>462</v>
      </c>
      <c r="AC334" s="1047" t="s">
        <v>462</v>
      </c>
      <c r="AD334" s="1047" t="s">
        <v>462</v>
      </c>
      <c r="AE334" s="1047" t="s">
        <v>462</v>
      </c>
      <c r="AF334" s="1047" t="s">
        <v>462</v>
      </c>
      <c r="AG334" s="1047" t="s">
        <v>1129</v>
      </c>
      <c r="AH334" s="1047" t="s">
        <v>1129</v>
      </c>
      <c r="AI334" s="1047" t="s">
        <v>1129</v>
      </c>
      <c r="AJ334" s="1047" t="s">
        <v>1129</v>
      </c>
      <c r="AK334" s="1047" t="s">
        <v>1129</v>
      </c>
      <c r="AL334" s="1047" t="s">
        <v>1129</v>
      </c>
      <c r="AM334" s="1047" t="s">
        <v>1129</v>
      </c>
      <c r="AN334" s="1047" t="s">
        <v>1129</v>
      </c>
      <c r="AO334" s="1047" t="s">
        <v>463</v>
      </c>
      <c r="AP334" s="1047" t="s">
        <v>463</v>
      </c>
      <c r="AQ334" s="1047" t="s">
        <v>463</v>
      </c>
      <c r="AR334" s="1047" t="s">
        <v>463</v>
      </c>
      <c r="AS334" s="1047" t="s">
        <v>463</v>
      </c>
      <c r="AT334" s="1047" t="s">
        <v>463</v>
      </c>
      <c r="AU334" s="1047" t="s">
        <v>463</v>
      </c>
      <c r="AV334" s="1047" t="s">
        <v>463</v>
      </c>
      <c r="AW334" s="1047" t="s">
        <v>464</v>
      </c>
      <c r="AX334" s="1047" t="s">
        <v>464</v>
      </c>
      <c r="AY334" s="1047" t="s">
        <v>464</v>
      </c>
      <c r="AZ334" s="1047" t="s">
        <v>464</v>
      </c>
      <c r="BA334" s="1047" t="s">
        <v>464</v>
      </c>
      <c r="BB334" s="1047" t="s">
        <v>464</v>
      </c>
      <c r="BC334" s="1047" t="s">
        <v>464</v>
      </c>
      <c r="BD334" s="1047" t="s">
        <v>464</v>
      </c>
      <c r="BE334" s="1047" t="s">
        <v>465</v>
      </c>
      <c r="BF334" s="1047" t="s">
        <v>465</v>
      </c>
      <c r="BG334" s="1047" t="s">
        <v>465</v>
      </c>
      <c r="BH334" s="1047" t="s">
        <v>465</v>
      </c>
      <c r="BI334" s="1047" t="s">
        <v>465</v>
      </c>
      <c r="BJ334" s="1047" t="s">
        <v>465</v>
      </c>
      <c r="BK334" s="1047" t="s">
        <v>465</v>
      </c>
      <c r="BL334" s="1047" t="s">
        <v>465</v>
      </c>
      <c r="BM334" s="1047" t="s">
        <v>466</v>
      </c>
      <c r="BN334" s="1047" t="s">
        <v>466</v>
      </c>
      <c r="BO334" s="1047" t="s">
        <v>466</v>
      </c>
      <c r="BP334" s="1047" t="s">
        <v>466</v>
      </c>
      <c r="BQ334" s="1047" t="s">
        <v>466</v>
      </c>
      <c r="BR334" s="1047" t="s">
        <v>466</v>
      </c>
      <c r="BS334" s="1047" t="s">
        <v>466</v>
      </c>
      <c r="BT334" s="1047" t="s">
        <v>466</v>
      </c>
      <c r="BU334" s="1047" t="s">
        <v>460</v>
      </c>
      <c r="BV334" s="1047" t="s">
        <v>460</v>
      </c>
      <c r="BW334" s="1047" t="s">
        <v>460</v>
      </c>
      <c r="BX334" s="1047" t="s">
        <v>460</v>
      </c>
      <c r="BY334" s="1047" t="s">
        <v>460</v>
      </c>
      <c r="BZ334" s="1047" t="s">
        <v>460</v>
      </c>
      <c r="CA334" s="1047" t="s">
        <v>460</v>
      </c>
      <c r="CB334" s="1047" t="s">
        <v>460</v>
      </c>
      <c r="CC334" s="1047" t="s">
        <v>1130</v>
      </c>
      <c r="CD334" s="1047" t="s">
        <v>1130</v>
      </c>
      <c r="CE334" s="1047" t="s">
        <v>1130</v>
      </c>
      <c r="CF334" s="1047" t="s">
        <v>1130</v>
      </c>
      <c r="CG334" s="1047" t="s">
        <v>1130</v>
      </c>
      <c r="CH334" s="1047" t="s">
        <v>1130</v>
      </c>
      <c r="CI334" s="1047" t="s">
        <v>1130</v>
      </c>
      <c r="CJ334" s="1047" t="s">
        <v>1130</v>
      </c>
      <c r="CK334" s="1047" t="s">
        <v>1131</v>
      </c>
      <c r="CL334" s="1047" t="s">
        <v>1131</v>
      </c>
      <c r="CM334" s="1047" t="s">
        <v>1131</v>
      </c>
      <c r="CN334" s="1047" t="s">
        <v>1131</v>
      </c>
      <c r="CO334" s="1047" t="s">
        <v>1131</v>
      </c>
      <c r="CP334" s="1047" t="s">
        <v>1131</v>
      </c>
      <c r="CQ334" s="1047" t="s">
        <v>1131</v>
      </c>
      <c r="CR334" s="1047" t="s">
        <v>1131</v>
      </c>
      <c r="CS334" s="1047" t="s">
        <v>1127</v>
      </c>
      <c r="CT334" s="1047" t="s">
        <v>1127</v>
      </c>
      <c r="CU334" s="1047" t="s">
        <v>1127</v>
      </c>
      <c r="CV334" s="1047" t="s">
        <v>1127</v>
      </c>
      <c r="CW334" s="1047" t="s">
        <v>1127</v>
      </c>
      <c r="CX334" s="1047" t="s">
        <v>1127</v>
      </c>
      <c r="CY334" s="1047" t="s">
        <v>1127</v>
      </c>
      <c r="CZ334" s="1047" t="s">
        <v>1127</v>
      </c>
      <c r="DA334" s="1047" t="s">
        <v>1128</v>
      </c>
      <c r="DB334" s="1047" t="s">
        <v>1128</v>
      </c>
      <c r="DC334" s="1047" t="s">
        <v>1128</v>
      </c>
      <c r="DD334" s="1047" t="s">
        <v>1128</v>
      </c>
      <c r="DE334" s="1047" t="s">
        <v>1128</v>
      </c>
      <c r="DF334" s="1047" t="s">
        <v>1128</v>
      </c>
      <c r="DG334" s="1047" t="s">
        <v>1128</v>
      </c>
      <c r="DH334" s="1047" t="s">
        <v>1128</v>
      </c>
      <c r="DI334" s="1047" t="s">
        <v>462</v>
      </c>
      <c r="DJ334" s="1047" t="s">
        <v>462</v>
      </c>
      <c r="DK334" s="1047" t="s">
        <v>462</v>
      </c>
      <c r="DL334" s="1047" t="s">
        <v>462</v>
      </c>
      <c r="DM334" s="1047" t="s">
        <v>462</v>
      </c>
      <c r="DN334" s="1047" t="s">
        <v>462</v>
      </c>
      <c r="DO334" s="1047" t="s">
        <v>462</v>
      </c>
      <c r="DP334" s="1047" t="s">
        <v>462</v>
      </c>
      <c r="DQ334" s="1047" t="s">
        <v>1129</v>
      </c>
      <c r="DR334" s="1047" t="s">
        <v>1129</v>
      </c>
      <c r="DS334" s="1047" t="s">
        <v>1129</v>
      </c>
      <c r="DT334" s="1047" t="s">
        <v>1129</v>
      </c>
      <c r="DU334" s="1047" t="s">
        <v>1129</v>
      </c>
      <c r="DV334" s="1047" t="s">
        <v>1129</v>
      </c>
      <c r="DW334" s="1047" t="s">
        <v>1129</v>
      </c>
      <c r="DX334" s="1047" t="s">
        <v>1129</v>
      </c>
      <c r="DY334" s="1047" t="s">
        <v>463</v>
      </c>
      <c r="DZ334" s="1047" t="s">
        <v>463</v>
      </c>
      <c r="EA334" s="1047" t="s">
        <v>463</v>
      </c>
      <c r="EB334" s="1047" t="s">
        <v>463</v>
      </c>
      <c r="EC334" s="1047" t="s">
        <v>463</v>
      </c>
      <c r="ED334" s="1047" t="s">
        <v>463</v>
      </c>
      <c r="EE334" s="1047" t="s">
        <v>463</v>
      </c>
      <c r="EF334" s="1047" t="s">
        <v>463</v>
      </c>
      <c r="EG334" s="1047" t="s">
        <v>464</v>
      </c>
      <c r="EH334" s="1047" t="s">
        <v>464</v>
      </c>
      <c r="EI334" s="1047" t="s">
        <v>464</v>
      </c>
      <c r="EJ334" s="1047" t="s">
        <v>464</v>
      </c>
      <c r="EK334" s="1047" t="s">
        <v>464</v>
      </c>
      <c r="EL334" s="1047" t="s">
        <v>464</v>
      </c>
      <c r="EM334" s="1047" t="s">
        <v>464</v>
      </c>
      <c r="EN334" s="1047" t="s">
        <v>464</v>
      </c>
      <c r="EO334" s="1047" t="s">
        <v>465</v>
      </c>
      <c r="EP334" s="1047" t="s">
        <v>465</v>
      </c>
      <c r="EQ334" s="1047" t="s">
        <v>465</v>
      </c>
      <c r="ER334" s="1047" t="s">
        <v>465</v>
      </c>
      <c r="ES334" s="1047" t="s">
        <v>465</v>
      </c>
      <c r="ET334" s="1047" t="s">
        <v>465</v>
      </c>
      <c r="EU334" s="1047" t="s">
        <v>465</v>
      </c>
      <c r="EV334" s="1047" t="s">
        <v>465</v>
      </c>
      <c r="EW334" s="1047" t="s">
        <v>466</v>
      </c>
      <c r="EX334" s="1047" t="s">
        <v>466</v>
      </c>
      <c r="EY334" s="1047" t="s">
        <v>466</v>
      </c>
      <c r="EZ334" s="1047" t="s">
        <v>466</v>
      </c>
      <c r="FA334" s="1047" t="s">
        <v>466</v>
      </c>
      <c r="FB334" s="1047" t="s">
        <v>466</v>
      </c>
      <c r="FC334" s="1047" t="s">
        <v>466</v>
      </c>
      <c r="FD334" s="1047" t="s">
        <v>466</v>
      </c>
      <c r="FE334" s="1047" t="s">
        <v>460</v>
      </c>
      <c r="FF334" s="1047" t="s">
        <v>460</v>
      </c>
      <c r="FG334" s="1047" t="s">
        <v>460</v>
      </c>
      <c r="FH334" s="1047" t="s">
        <v>460</v>
      </c>
      <c r="FI334" s="1047" t="s">
        <v>460</v>
      </c>
      <c r="FJ334" s="1047" t="s">
        <v>460</v>
      </c>
      <c r="FK334" s="1047" t="s">
        <v>460</v>
      </c>
      <c r="FL334" s="1047" t="s">
        <v>460</v>
      </c>
      <c r="FM334" s="1047" t="s">
        <v>1130</v>
      </c>
      <c r="FN334" s="1047" t="s">
        <v>1130</v>
      </c>
      <c r="FO334" s="1047" t="s">
        <v>1130</v>
      </c>
      <c r="FP334" s="1047" t="s">
        <v>1130</v>
      </c>
      <c r="FQ334" s="1047" t="s">
        <v>1130</v>
      </c>
      <c r="FR334" s="1047" t="s">
        <v>1130</v>
      </c>
      <c r="FS334" s="1047" t="s">
        <v>1130</v>
      </c>
      <c r="FT334" s="1047" t="s">
        <v>1130</v>
      </c>
      <c r="FU334" s="1047" t="s">
        <v>1131</v>
      </c>
      <c r="FV334" s="1047" t="s">
        <v>1131</v>
      </c>
      <c r="FW334" s="1047" t="s">
        <v>1131</v>
      </c>
      <c r="FX334" s="1047" t="s">
        <v>1131</v>
      </c>
      <c r="FY334" s="1047" t="s">
        <v>1131</v>
      </c>
      <c r="FZ334" s="1047" t="s">
        <v>1131</v>
      </c>
      <c r="GA334" s="1047" t="s">
        <v>1131</v>
      </c>
      <c r="GB334" s="1047" t="s">
        <v>1131</v>
      </c>
      <c r="GC334" s="1047" t="s">
        <v>1127</v>
      </c>
      <c r="GD334" s="1047" t="s">
        <v>1127</v>
      </c>
      <c r="GE334" s="1047" t="s">
        <v>1127</v>
      </c>
      <c r="GF334" s="1047" t="s">
        <v>1127</v>
      </c>
      <c r="GG334" s="1047" t="s">
        <v>1127</v>
      </c>
      <c r="GH334" s="1047" t="s">
        <v>1127</v>
      </c>
      <c r="GI334" s="1047" t="s">
        <v>1127</v>
      </c>
      <c r="GJ334" s="1047" t="s">
        <v>1127</v>
      </c>
      <c r="GK334" s="1047" t="s">
        <v>1128</v>
      </c>
      <c r="GL334" s="1047" t="s">
        <v>1128</v>
      </c>
      <c r="GM334" s="1047" t="s">
        <v>1128</v>
      </c>
      <c r="GN334" s="1047" t="s">
        <v>1128</v>
      </c>
      <c r="GO334" s="1047" t="s">
        <v>1128</v>
      </c>
      <c r="GP334" s="1047" t="s">
        <v>1128</v>
      </c>
      <c r="GQ334" s="1047" t="s">
        <v>1128</v>
      </c>
      <c r="GR334" s="1047" t="s">
        <v>1128</v>
      </c>
      <c r="GS334" s="1047" t="s">
        <v>462</v>
      </c>
      <c r="GT334" s="1047" t="s">
        <v>462</v>
      </c>
      <c r="GU334" s="1047" t="s">
        <v>462</v>
      </c>
      <c r="GV334" s="1047" t="s">
        <v>462</v>
      </c>
      <c r="GW334" s="1047" t="s">
        <v>462</v>
      </c>
      <c r="GX334" s="1047" t="s">
        <v>462</v>
      </c>
      <c r="GY334" s="1047" t="s">
        <v>462</v>
      </c>
      <c r="GZ334" s="1047" t="s">
        <v>462</v>
      </c>
      <c r="HA334" s="1047" t="s">
        <v>1129</v>
      </c>
      <c r="HB334" s="1047" t="s">
        <v>1129</v>
      </c>
      <c r="HC334" s="1047" t="s">
        <v>1129</v>
      </c>
      <c r="HD334" s="1047" t="s">
        <v>1129</v>
      </c>
      <c r="HE334" s="1047" t="s">
        <v>1129</v>
      </c>
      <c r="HF334" s="1047" t="s">
        <v>1129</v>
      </c>
      <c r="HG334" s="1047" t="s">
        <v>1129</v>
      </c>
      <c r="HH334" s="1047" t="s">
        <v>1129</v>
      </c>
      <c r="HI334" s="1047" t="s">
        <v>463</v>
      </c>
      <c r="HJ334" s="1047" t="s">
        <v>463</v>
      </c>
      <c r="HK334" s="1047" t="s">
        <v>463</v>
      </c>
      <c r="HL334" s="1047" t="s">
        <v>463</v>
      </c>
      <c r="HM334" s="1047" t="s">
        <v>463</v>
      </c>
      <c r="HN334" s="1047" t="s">
        <v>463</v>
      </c>
      <c r="HO334" s="1047" t="s">
        <v>463</v>
      </c>
      <c r="HP334" s="1047" t="s">
        <v>463</v>
      </c>
      <c r="HQ334" s="1047" t="s">
        <v>464</v>
      </c>
      <c r="HR334" s="1047" t="s">
        <v>464</v>
      </c>
      <c r="HS334" s="1047" t="s">
        <v>464</v>
      </c>
      <c r="HT334" s="1047" t="s">
        <v>464</v>
      </c>
      <c r="HU334" s="1047" t="s">
        <v>464</v>
      </c>
      <c r="HV334" s="1047" t="s">
        <v>464</v>
      </c>
      <c r="HW334" s="1047" t="s">
        <v>464</v>
      </c>
      <c r="HX334" s="1047" t="s">
        <v>464</v>
      </c>
      <c r="HY334" s="1047" t="s">
        <v>465</v>
      </c>
      <c r="HZ334" s="1047" t="s">
        <v>465</v>
      </c>
      <c r="IA334" s="1047" t="s">
        <v>465</v>
      </c>
      <c r="IB334" s="1047" t="s">
        <v>465</v>
      </c>
      <c r="IC334" s="1047" t="s">
        <v>465</v>
      </c>
      <c r="ID334" s="1047" t="s">
        <v>465</v>
      </c>
      <c r="IE334" s="1047" t="s">
        <v>465</v>
      </c>
      <c r="IF334" s="1047" t="s">
        <v>465</v>
      </c>
      <c r="IG334" s="1047" t="s">
        <v>466</v>
      </c>
      <c r="IH334" s="1047" t="s">
        <v>466</v>
      </c>
      <c r="II334" s="1047" t="s">
        <v>466</v>
      </c>
      <c r="IJ334" s="1047" t="s">
        <v>466</v>
      </c>
      <c r="IK334" s="1047" t="s">
        <v>466</v>
      </c>
      <c r="IL334" s="1047" t="s">
        <v>466</v>
      </c>
      <c r="IM334" s="1047" t="s">
        <v>466</v>
      </c>
      <c r="IN334" s="1047" t="s">
        <v>466</v>
      </c>
      <c r="IO334" s="1047" t="s">
        <v>460</v>
      </c>
      <c r="IP334" s="1047" t="s">
        <v>460</v>
      </c>
      <c r="IQ334" s="1047" t="s">
        <v>460</v>
      </c>
      <c r="IR334" s="1047" t="s">
        <v>460</v>
      </c>
      <c r="IS334" s="1047" t="s">
        <v>460</v>
      </c>
      <c r="IT334" s="1047" t="s">
        <v>460</v>
      </c>
      <c r="IU334" s="1047" t="s">
        <v>460</v>
      </c>
      <c r="IV334" s="1047" t="s">
        <v>460</v>
      </c>
      <c r="IW334" s="1047" t="s">
        <v>1130</v>
      </c>
      <c r="IX334" s="1047" t="s">
        <v>1130</v>
      </c>
      <c r="IY334" s="1047" t="s">
        <v>1130</v>
      </c>
      <c r="IZ334" s="1047" t="s">
        <v>1130</v>
      </c>
      <c r="JA334" s="1047" t="s">
        <v>1130</v>
      </c>
      <c r="JB334" s="1047" t="s">
        <v>1130</v>
      </c>
      <c r="JC334" s="1047" t="s">
        <v>1130</v>
      </c>
      <c r="JD334" s="1047" t="s">
        <v>1130</v>
      </c>
      <c r="JE334" s="1047" t="s">
        <v>1131</v>
      </c>
      <c r="JF334" s="1047" t="s">
        <v>1131</v>
      </c>
      <c r="JG334" s="1047" t="s">
        <v>1131</v>
      </c>
      <c r="JH334" s="1047" t="s">
        <v>1131</v>
      </c>
      <c r="JI334" s="1047" t="s">
        <v>1131</v>
      </c>
      <c r="JJ334" s="1047" t="s">
        <v>1131</v>
      </c>
      <c r="JK334" s="1047" t="s">
        <v>1131</v>
      </c>
      <c r="JL334" s="1047" t="s">
        <v>1131</v>
      </c>
      <c r="JM334" s="1047" t="s">
        <v>1127</v>
      </c>
      <c r="JN334" s="1047" t="s">
        <v>1127</v>
      </c>
      <c r="JO334" s="1047" t="s">
        <v>1127</v>
      </c>
      <c r="JP334" s="1047" t="s">
        <v>1127</v>
      </c>
      <c r="JQ334" s="1047" t="s">
        <v>1127</v>
      </c>
      <c r="JR334" s="1047" t="s">
        <v>1127</v>
      </c>
      <c r="JS334" s="1047" t="s">
        <v>1127</v>
      </c>
      <c r="JT334" s="1047" t="s">
        <v>1127</v>
      </c>
      <c r="JU334" s="1047" t="s">
        <v>1128</v>
      </c>
      <c r="JV334" s="1047" t="s">
        <v>1128</v>
      </c>
      <c r="JW334" s="1047" t="s">
        <v>1128</v>
      </c>
      <c r="JX334" s="1047" t="s">
        <v>1128</v>
      </c>
      <c r="JY334" s="1047" t="s">
        <v>1128</v>
      </c>
      <c r="JZ334" s="1047" t="s">
        <v>1128</v>
      </c>
      <c r="KA334" s="1047" t="s">
        <v>1128</v>
      </c>
      <c r="KB334" s="1047" t="s">
        <v>1128</v>
      </c>
      <c r="KC334" s="1047" t="s">
        <v>462</v>
      </c>
      <c r="KD334" s="1047" t="s">
        <v>462</v>
      </c>
      <c r="KE334" s="1047" t="s">
        <v>462</v>
      </c>
      <c r="KF334" s="1047" t="s">
        <v>462</v>
      </c>
      <c r="KG334" s="1047" t="s">
        <v>462</v>
      </c>
      <c r="KH334" s="1047" t="s">
        <v>462</v>
      </c>
      <c r="KI334" s="1047" t="s">
        <v>462</v>
      </c>
      <c r="KJ334" s="1047" t="s">
        <v>462</v>
      </c>
      <c r="KK334" s="1047" t="s">
        <v>1129</v>
      </c>
      <c r="KL334" s="1047" t="s">
        <v>1129</v>
      </c>
      <c r="KM334" s="1047" t="s">
        <v>1129</v>
      </c>
      <c r="KN334" s="1047" t="s">
        <v>1129</v>
      </c>
      <c r="KO334" s="1047" t="s">
        <v>1129</v>
      </c>
      <c r="KP334" s="1047" t="s">
        <v>1129</v>
      </c>
      <c r="KQ334" s="1047" t="s">
        <v>1129</v>
      </c>
      <c r="KR334" s="1047" t="s">
        <v>1129</v>
      </c>
      <c r="KS334" s="1047" t="s">
        <v>463</v>
      </c>
      <c r="KT334" s="1047" t="s">
        <v>463</v>
      </c>
      <c r="KU334" s="1047" t="s">
        <v>463</v>
      </c>
      <c r="KV334" s="1047" t="s">
        <v>463</v>
      </c>
      <c r="KW334" s="1047" t="s">
        <v>463</v>
      </c>
      <c r="KX334" s="1047" t="s">
        <v>463</v>
      </c>
      <c r="KY334" s="1047" t="s">
        <v>463</v>
      </c>
      <c r="KZ334" s="1047" t="s">
        <v>463</v>
      </c>
      <c r="LA334" s="1047" t="s">
        <v>464</v>
      </c>
      <c r="LB334" s="1047" t="s">
        <v>464</v>
      </c>
      <c r="LC334" s="1047" t="s">
        <v>464</v>
      </c>
      <c r="LD334" s="1047" t="s">
        <v>464</v>
      </c>
      <c r="LE334" s="1047" t="s">
        <v>464</v>
      </c>
      <c r="LF334" s="1047" t="s">
        <v>464</v>
      </c>
      <c r="LG334" s="1047" t="s">
        <v>464</v>
      </c>
      <c r="LH334" s="1047" t="s">
        <v>464</v>
      </c>
      <c r="LI334" s="1047" t="s">
        <v>465</v>
      </c>
      <c r="LJ334" s="1047" t="s">
        <v>465</v>
      </c>
      <c r="LK334" s="1047" t="s">
        <v>465</v>
      </c>
      <c r="LL334" s="1047" t="s">
        <v>465</v>
      </c>
      <c r="LM334" s="1047" t="s">
        <v>465</v>
      </c>
      <c r="LN334" s="1047" t="s">
        <v>465</v>
      </c>
      <c r="LO334" s="1047" t="s">
        <v>465</v>
      </c>
      <c r="LP334" s="1047" t="s">
        <v>465</v>
      </c>
      <c r="LQ334" s="1047" t="s">
        <v>466</v>
      </c>
      <c r="LR334" s="1047" t="s">
        <v>466</v>
      </c>
      <c r="LS334" s="1047" t="s">
        <v>466</v>
      </c>
      <c r="LT334" s="1047" t="s">
        <v>466</v>
      </c>
      <c r="LU334" s="1047" t="s">
        <v>466</v>
      </c>
      <c r="LV334" s="1047" t="s">
        <v>466</v>
      </c>
      <c r="LW334" s="1047" t="s">
        <v>466</v>
      </c>
      <c r="LX334" s="1047" t="s">
        <v>466</v>
      </c>
      <c r="LY334" s="1047" t="s">
        <v>460</v>
      </c>
      <c r="LZ334" s="1047" t="s">
        <v>460</v>
      </c>
      <c r="MA334" s="1047" t="s">
        <v>460</v>
      </c>
      <c r="MB334" s="1047" t="s">
        <v>460</v>
      </c>
      <c r="MC334" s="1047" t="s">
        <v>460</v>
      </c>
      <c r="MD334" s="1047" t="s">
        <v>460</v>
      </c>
      <c r="ME334" s="1047" t="s">
        <v>460</v>
      </c>
      <c r="MF334" s="1047" t="s">
        <v>460</v>
      </c>
      <c r="MG334" s="1047" t="s">
        <v>1130</v>
      </c>
      <c r="MH334" s="1047" t="s">
        <v>1130</v>
      </c>
      <c r="MI334" s="1047" t="s">
        <v>1130</v>
      </c>
      <c r="MJ334" s="1047" t="s">
        <v>1130</v>
      </c>
      <c r="MK334" s="1047" t="s">
        <v>1130</v>
      </c>
      <c r="ML334" s="1047" t="s">
        <v>1130</v>
      </c>
      <c r="MM334" s="1047" t="s">
        <v>1130</v>
      </c>
      <c r="MN334" s="1047" t="s">
        <v>1130</v>
      </c>
      <c r="MO334" s="1047" t="s">
        <v>1131</v>
      </c>
      <c r="MP334" s="1047" t="s">
        <v>1131</v>
      </c>
      <c r="MQ334" s="1047" t="s">
        <v>1131</v>
      </c>
      <c r="MR334" s="1047" t="s">
        <v>1131</v>
      </c>
      <c r="MS334" s="1047" t="s">
        <v>1131</v>
      </c>
      <c r="MT334" s="1047" t="s">
        <v>1131</v>
      </c>
      <c r="MU334" s="1047" t="s">
        <v>1131</v>
      </c>
      <c r="MV334" s="1047" t="s">
        <v>1131</v>
      </c>
      <c r="MW334" s="1047" t="s">
        <v>1127</v>
      </c>
      <c r="MX334" s="1047" t="s">
        <v>1127</v>
      </c>
      <c r="MY334" s="1047" t="s">
        <v>1127</v>
      </c>
      <c r="MZ334" s="1047" t="s">
        <v>1127</v>
      </c>
      <c r="NA334" s="1047" t="s">
        <v>1127</v>
      </c>
      <c r="NB334" s="1047" t="s">
        <v>1127</v>
      </c>
      <c r="NC334" s="1047" t="s">
        <v>1127</v>
      </c>
      <c r="ND334" s="1047" t="s">
        <v>1127</v>
      </c>
      <c r="NE334" s="1047" t="s">
        <v>1128</v>
      </c>
      <c r="NF334" s="1047" t="s">
        <v>1128</v>
      </c>
      <c r="NG334" s="1047" t="s">
        <v>1128</v>
      </c>
      <c r="NH334" s="1047" t="s">
        <v>1128</v>
      </c>
      <c r="NI334" s="1047" t="s">
        <v>1128</v>
      </c>
      <c r="NJ334" s="1047" t="s">
        <v>1128</v>
      </c>
      <c r="NK334" s="1047" t="s">
        <v>1128</v>
      </c>
      <c r="NL334" s="1047" t="s">
        <v>1128</v>
      </c>
      <c r="NM334" s="1047" t="s">
        <v>462</v>
      </c>
      <c r="NN334" s="1047" t="s">
        <v>462</v>
      </c>
      <c r="NO334" s="1047" t="s">
        <v>462</v>
      </c>
      <c r="NP334" s="1047" t="s">
        <v>462</v>
      </c>
      <c r="NQ334" s="1047" t="s">
        <v>462</v>
      </c>
      <c r="NR334" s="1047" t="s">
        <v>462</v>
      </c>
      <c r="NS334" s="1047" t="s">
        <v>462</v>
      </c>
      <c r="NT334" s="1047" t="s">
        <v>462</v>
      </c>
      <c r="NU334" s="1047" t="s">
        <v>1129</v>
      </c>
      <c r="NV334" s="1047" t="s">
        <v>1129</v>
      </c>
      <c r="NW334" s="1047" t="s">
        <v>1129</v>
      </c>
      <c r="NX334" s="1047" t="s">
        <v>1129</v>
      </c>
      <c r="NY334" s="1047" t="s">
        <v>1129</v>
      </c>
      <c r="NZ334" s="1047" t="s">
        <v>1129</v>
      </c>
      <c r="OA334" s="1047" t="s">
        <v>1129</v>
      </c>
      <c r="OB334" s="1047" t="s">
        <v>1129</v>
      </c>
      <c r="OC334" s="1047" t="s">
        <v>463</v>
      </c>
      <c r="OD334" s="1047" t="s">
        <v>463</v>
      </c>
      <c r="OE334" s="1047" t="s">
        <v>463</v>
      </c>
      <c r="OF334" s="1047" t="s">
        <v>463</v>
      </c>
      <c r="OG334" s="1047" t="s">
        <v>463</v>
      </c>
      <c r="OH334" s="1047" t="s">
        <v>463</v>
      </c>
      <c r="OI334" s="1047" t="s">
        <v>463</v>
      </c>
      <c r="OJ334" s="1047" t="s">
        <v>463</v>
      </c>
      <c r="OK334" s="1047" t="s">
        <v>464</v>
      </c>
      <c r="OL334" s="1047" t="s">
        <v>464</v>
      </c>
      <c r="OM334" s="1047" t="s">
        <v>464</v>
      </c>
      <c r="ON334" s="1047" t="s">
        <v>464</v>
      </c>
      <c r="OO334" s="1047" t="s">
        <v>464</v>
      </c>
      <c r="OP334" s="1047" t="s">
        <v>464</v>
      </c>
      <c r="OQ334" s="1047" t="s">
        <v>464</v>
      </c>
      <c r="OR334" s="1047" t="s">
        <v>464</v>
      </c>
      <c r="OS334" s="1047" t="s">
        <v>465</v>
      </c>
      <c r="OT334" s="1047" t="s">
        <v>465</v>
      </c>
      <c r="OU334" s="1047" t="s">
        <v>465</v>
      </c>
      <c r="OV334" s="1047" t="s">
        <v>465</v>
      </c>
      <c r="OW334" s="1047" t="s">
        <v>465</v>
      </c>
      <c r="OX334" s="1047" t="s">
        <v>465</v>
      </c>
      <c r="OY334" s="1047" t="s">
        <v>465</v>
      </c>
      <c r="OZ334" s="1047" t="s">
        <v>465</v>
      </c>
      <c r="PA334" s="1047" t="s">
        <v>466</v>
      </c>
      <c r="PB334" s="1047" t="s">
        <v>466</v>
      </c>
      <c r="PC334" s="1047" t="s">
        <v>466</v>
      </c>
      <c r="PD334" s="1047" t="s">
        <v>466</v>
      </c>
      <c r="PE334" s="1047" t="s">
        <v>466</v>
      </c>
      <c r="PF334" s="1047" t="s">
        <v>466</v>
      </c>
      <c r="PG334" s="1047" t="s">
        <v>466</v>
      </c>
      <c r="PH334" s="1047" t="s">
        <v>466</v>
      </c>
      <c r="PI334" s="1047" t="s">
        <v>460</v>
      </c>
      <c r="PJ334" s="1047" t="s">
        <v>460</v>
      </c>
      <c r="PK334" s="1047" t="s">
        <v>460</v>
      </c>
      <c r="PL334" s="1047" t="s">
        <v>460</v>
      </c>
      <c r="PM334" s="1047" t="s">
        <v>460</v>
      </c>
      <c r="PN334" s="1047" t="s">
        <v>460</v>
      </c>
      <c r="PO334" s="1047" t="s">
        <v>460</v>
      </c>
      <c r="PP334" s="1047" t="s">
        <v>460</v>
      </c>
      <c r="PQ334" s="1047" t="s">
        <v>1130</v>
      </c>
      <c r="PR334" s="1047" t="s">
        <v>1130</v>
      </c>
      <c r="PS334" s="1047" t="s">
        <v>1130</v>
      </c>
      <c r="PT334" s="1047" t="s">
        <v>1130</v>
      </c>
      <c r="PU334" s="1047" t="s">
        <v>1130</v>
      </c>
      <c r="PV334" s="1047" t="s">
        <v>1130</v>
      </c>
      <c r="PW334" s="1047" t="s">
        <v>1130</v>
      </c>
      <c r="PX334" s="1047" t="s">
        <v>1130</v>
      </c>
      <c r="PY334" s="1047" t="s">
        <v>1131</v>
      </c>
      <c r="PZ334" s="1047" t="s">
        <v>1131</v>
      </c>
      <c r="QA334" s="1047" t="s">
        <v>1131</v>
      </c>
      <c r="QB334" s="1047" t="s">
        <v>1131</v>
      </c>
      <c r="QC334" s="1047" t="s">
        <v>1131</v>
      </c>
      <c r="QD334" s="1047" t="s">
        <v>1131</v>
      </c>
      <c r="QE334" s="1047" t="s">
        <v>1131</v>
      </c>
      <c r="QF334" s="1047" t="s">
        <v>1131</v>
      </c>
      <c r="QG334" s="1047" t="s">
        <v>1127</v>
      </c>
      <c r="QH334" s="1047" t="s">
        <v>1127</v>
      </c>
      <c r="QI334" s="1047" t="s">
        <v>1127</v>
      </c>
      <c r="QJ334" s="1047" t="s">
        <v>1127</v>
      </c>
      <c r="QK334" s="1047" t="s">
        <v>1127</v>
      </c>
      <c r="QL334" s="1047" t="s">
        <v>1127</v>
      </c>
      <c r="QM334" s="1047" t="s">
        <v>1127</v>
      </c>
      <c r="QN334" s="1047" t="s">
        <v>1127</v>
      </c>
      <c r="QO334" s="1047" t="s">
        <v>1128</v>
      </c>
      <c r="QP334" s="1047" t="s">
        <v>1128</v>
      </c>
      <c r="QQ334" s="1047" t="s">
        <v>1128</v>
      </c>
      <c r="QR334" s="1047" t="s">
        <v>1128</v>
      </c>
      <c r="QS334" s="1047" t="s">
        <v>1128</v>
      </c>
      <c r="QT334" s="1047" t="s">
        <v>1128</v>
      </c>
      <c r="QU334" s="1047" t="s">
        <v>1128</v>
      </c>
      <c r="QV334" s="1047" t="s">
        <v>1128</v>
      </c>
      <c r="QW334" s="1047" t="s">
        <v>462</v>
      </c>
      <c r="QX334" s="1047" t="s">
        <v>462</v>
      </c>
      <c r="QY334" s="1047" t="s">
        <v>462</v>
      </c>
      <c r="QZ334" s="1047" t="s">
        <v>462</v>
      </c>
      <c r="RA334" s="1047" t="s">
        <v>462</v>
      </c>
      <c r="RB334" s="1047" t="s">
        <v>462</v>
      </c>
      <c r="RC334" s="1047" t="s">
        <v>462</v>
      </c>
      <c r="RD334" s="1047" t="s">
        <v>462</v>
      </c>
      <c r="RE334" s="1047" t="s">
        <v>1129</v>
      </c>
      <c r="RF334" s="1047" t="s">
        <v>1129</v>
      </c>
      <c r="RG334" s="1047" t="s">
        <v>1129</v>
      </c>
      <c r="RH334" s="1047" t="s">
        <v>1129</v>
      </c>
      <c r="RI334" s="1047" t="s">
        <v>1129</v>
      </c>
      <c r="RJ334" s="1047" t="s">
        <v>1129</v>
      </c>
      <c r="RK334" s="1047" t="s">
        <v>1129</v>
      </c>
      <c r="RL334" s="1047" t="s">
        <v>1129</v>
      </c>
      <c r="RM334" s="1047" t="s">
        <v>463</v>
      </c>
      <c r="RN334" s="1047" t="s">
        <v>463</v>
      </c>
      <c r="RO334" s="1047" t="s">
        <v>463</v>
      </c>
      <c r="RP334" s="1047" t="s">
        <v>463</v>
      </c>
      <c r="RQ334" s="1047" t="s">
        <v>463</v>
      </c>
      <c r="RR334" s="1047" t="s">
        <v>463</v>
      </c>
      <c r="RS334" s="1047" t="s">
        <v>463</v>
      </c>
      <c r="RT334" s="1047" t="s">
        <v>463</v>
      </c>
      <c r="RU334" s="1047" t="s">
        <v>464</v>
      </c>
      <c r="RV334" s="1047" t="s">
        <v>464</v>
      </c>
      <c r="RW334" s="1047" t="s">
        <v>464</v>
      </c>
      <c r="RX334" s="1047" t="s">
        <v>464</v>
      </c>
      <c r="RY334" s="1047" t="s">
        <v>464</v>
      </c>
      <c r="RZ334" s="1047" t="s">
        <v>464</v>
      </c>
      <c r="SA334" s="1047" t="s">
        <v>464</v>
      </c>
      <c r="SB334" s="1047" t="s">
        <v>464</v>
      </c>
      <c r="SC334" s="1047" t="s">
        <v>465</v>
      </c>
      <c r="SD334" s="1047" t="s">
        <v>465</v>
      </c>
      <c r="SE334" s="1047" t="s">
        <v>465</v>
      </c>
      <c r="SF334" s="1047" t="s">
        <v>465</v>
      </c>
      <c r="SG334" s="1047" t="s">
        <v>465</v>
      </c>
      <c r="SH334" s="1047" t="s">
        <v>465</v>
      </c>
      <c r="SI334" s="1047" t="s">
        <v>465</v>
      </c>
      <c r="SJ334" s="1047" t="s">
        <v>465</v>
      </c>
      <c r="SK334" s="1047" t="s">
        <v>466</v>
      </c>
      <c r="SL334" s="1047" t="s">
        <v>466</v>
      </c>
      <c r="SM334" s="1047" t="s">
        <v>466</v>
      </c>
      <c r="SN334" s="1047" t="s">
        <v>466</v>
      </c>
      <c r="SO334" s="1047" t="s">
        <v>466</v>
      </c>
      <c r="SP334" s="1047" t="s">
        <v>466</v>
      </c>
      <c r="SQ334" s="1047" t="s">
        <v>466</v>
      </c>
      <c r="SR334" s="1047" t="s">
        <v>466</v>
      </c>
      <c r="SS334" s="1047" t="s">
        <v>460</v>
      </c>
      <c r="ST334" s="1047" t="s">
        <v>460</v>
      </c>
      <c r="SU334" s="1047" t="s">
        <v>460</v>
      </c>
      <c r="SV334" s="1047" t="s">
        <v>460</v>
      </c>
      <c r="SW334" s="1047" t="s">
        <v>460</v>
      </c>
      <c r="SX334" s="1047" t="s">
        <v>460</v>
      </c>
      <c r="SY334" s="1047" t="s">
        <v>460</v>
      </c>
      <c r="SZ334" s="1047" t="s">
        <v>460</v>
      </c>
      <c r="TA334" s="1047" t="s">
        <v>1130</v>
      </c>
      <c r="TB334" s="1047" t="s">
        <v>1130</v>
      </c>
      <c r="TC334" s="1047" t="s">
        <v>1130</v>
      </c>
      <c r="TD334" s="1047" t="s">
        <v>1130</v>
      </c>
      <c r="TE334" s="1047" t="s">
        <v>1130</v>
      </c>
      <c r="TF334" s="1047" t="s">
        <v>1130</v>
      </c>
      <c r="TG334" s="1047" t="s">
        <v>1130</v>
      </c>
      <c r="TH334" s="1047" t="s">
        <v>1130</v>
      </c>
      <c r="TI334" s="1047" t="s">
        <v>1131</v>
      </c>
      <c r="TJ334" s="1047" t="s">
        <v>1131</v>
      </c>
      <c r="TK334" s="1047" t="s">
        <v>1131</v>
      </c>
      <c r="TL334" s="1047" t="s">
        <v>1131</v>
      </c>
      <c r="TM334" s="1047" t="s">
        <v>1131</v>
      </c>
      <c r="TN334" s="1047" t="s">
        <v>1131</v>
      </c>
      <c r="TO334" s="1047" t="s">
        <v>1131</v>
      </c>
      <c r="TP334" s="1047" t="s">
        <v>1131</v>
      </c>
      <c r="TQ334" s="1047" t="s">
        <v>1127</v>
      </c>
      <c r="TR334" s="1047" t="s">
        <v>1127</v>
      </c>
      <c r="TS334" s="1047" t="s">
        <v>1127</v>
      </c>
      <c r="TT334" s="1047" t="s">
        <v>1127</v>
      </c>
      <c r="TU334" s="1047" t="s">
        <v>1127</v>
      </c>
      <c r="TV334" s="1047" t="s">
        <v>1127</v>
      </c>
      <c r="TW334" s="1047" t="s">
        <v>1127</v>
      </c>
      <c r="TX334" s="1047" t="s">
        <v>1127</v>
      </c>
      <c r="TY334" s="1047" t="s">
        <v>1128</v>
      </c>
      <c r="TZ334" s="1047" t="s">
        <v>1128</v>
      </c>
      <c r="UA334" s="1047" t="s">
        <v>1128</v>
      </c>
      <c r="UB334" s="1047" t="s">
        <v>1128</v>
      </c>
      <c r="UC334" s="1047" t="s">
        <v>1128</v>
      </c>
      <c r="UD334" s="1047" t="s">
        <v>1128</v>
      </c>
      <c r="UE334" s="1047" t="s">
        <v>1128</v>
      </c>
      <c r="UF334" s="1047" t="s">
        <v>1128</v>
      </c>
      <c r="UG334" s="1047" t="s">
        <v>462</v>
      </c>
      <c r="UH334" s="1047" t="s">
        <v>462</v>
      </c>
      <c r="UI334" s="1047" t="s">
        <v>462</v>
      </c>
      <c r="UJ334" s="1047" t="s">
        <v>462</v>
      </c>
      <c r="UK334" s="1047" t="s">
        <v>462</v>
      </c>
      <c r="UL334" s="1047" t="s">
        <v>462</v>
      </c>
      <c r="UM334" s="1047" t="s">
        <v>462</v>
      </c>
      <c r="UN334" s="1047" t="s">
        <v>462</v>
      </c>
      <c r="UO334" s="1047" t="s">
        <v>1129</v>
      </c>
      <c r="UP334" s="1047" t="s">
        <v>1129</v>
      </c>
      <c r="UQ334" s="1047" t="s">
        <v>1129</v>
      </c>
      <c r="UR334" s="1047" t="s">
        <v>1129</v>
      </c>
      <c r="US334" s="1047" t="s">
        <v>1129</v>
      </c>
      <c r="UT334" s="1047" t="s">
        <v>1129</v>
      </c>
      <c r="UU334" s="1047" t="s">
        <v>1129</v>
      </c>
      <c r="UV334" s="1047" t="s">
        <v>1129</v>
      </c>
      <c r="UW334" s="1047" t="s">
        <v>463</v>
      </c>
      <c r="UX334" s="1047" t="s">
        <v>463</v>
      </c>
      <c r="UY334" s="1047" t="s">
        <v>463</v>
      </c>
      <c r="UZ334" s="1047" t="s">
        <v>463</v>
      </c>
      <c r="VA334" s="1047" t="s">
        <v>463</v>
      </c>
      <c r="VB334" s="1047" t="s">
        <v>463</v>
      </c>
      <c r="VC334" s="1047" t="s">
        <v>463</v>
      </c>
      <c r="VD334" s="1047" t="s">
        <v>463</v>
      </c>
      <c r="VE334" s="1047" t="s">
        <v>464</v>
      </c>
      <c r="VF334" s="1047" t="s">
        <v>464</v>
      </c>
      <c r="VG334" s="1047" t="s">
        <v>464</v>
      </c>
      <c r="VH334" s="1047" t="s">
        <v>464</v>
      </c>
      <c r="VI334" s="1047" t="s">
        <v>464</v>
      </c>
      <c r="VJ334" s="1047" t="s">
        <v>464</v>
      </c>
      <c r="VK334" s="1047" t="s">
        <v>464</v>
      </c>
      <c r="VL334" s="1047" t="s">
        <v>464</v>
      </c>
      <c r="VM334" s="1047" t="s">
        <v>465</v>
      </c>
      <c r="VN334" s="1047" t="s">
        <v>465</v>
      </c>
      <c r="VO334" s="1047" t="s">
        <v>465</v>
      </c>
      <c r="VP334" s="1047" t="s">
        <v>465</v>
      </c>
      <c r="VQ334" s="1047" t="s">
        <v>465</v>
      </c>
      <c r="VR334" s="1047" t="s">
        <v>465</v>
      </c>
      <c r="VS334" s="1047" t="s">
        <v>465</v>
      </c>
      <c r="VT334" s="1047" t="s">
        <v>465</v>
      </c>
      <c r="VU334" s="1047" t="s">
        <v>466</v>
      </c>
      <c r="VV334" s="1047" t="s">
        <v>466</v>
      </c>
      <c r="VW334" s="1047" t="s">
        <v>466</v>
      </c>
      <c r="VX334" s="1047" t="s">
        <v>466</v>
      </c>
      <c r="VY334" s="1047" t="s">
        <v>466</v>
      </c>
      <c r="VZ334" s="1047" t="s">
        <v>466</v>
      </c>
      <c r="WA334" s="1047" t="s">
        <v>466</v>
      </c>
      <c r="WB334" s="1047" t="s">
        <v>466</v>
      </c>
      <c r="WC334" s="1047" t="s">
        <v>460</v>
      </c>
      <c r="WD334" s="1047" t="s">
        <v>460</v>
      </c>
      <c r="WE334" s="1047" t="s">
        <v>460</v>
      </c>
      <c r="WF334" s="1047" t="s">
        <v>460</v>
      </c>
      <c r="WG334" s="1047" t="s">
        <v>460</v>
      </c>
      <c r="WH334" s="1047" t="s">
        <v>460</v>
      </c>
      <c r="WI334" s="1047" t="s">
        <v>460</v>
      </c>
      <c r="WJ334" s="1047" t="s">
        <v>460</v>
      </c>
      <c r="WK334" s="1047" t="s">
        <v>1130</v>
      </c>
      <c r="WL334" s="1047" t="s">
        <v>1130</v>
      </c>
      <c r="WM334" s="1047" t="s">
        <v>1130</v>
      </c>
      <c r="WN334" s="1047" t="s">
        <v>1130</v>
      </c>
      <c r="WO334" s="1047" t="s">
        <v>1130</v>
      </c>
      <c r="WP334" s="1047" t="s">
        <v>1130</v>
      </c>
      <c r="WQ334" s="1047" t="s">
        <v>1130</v>
      </c>
      <c r="WR334" s="1047" t="s">
        <v>1130</v>
      </c>
      <c r="WS334" s="1047" t="s">
        <v>1131</v>
      </c>
      <c r="WT334" s="1047" t="s">
        <v>1131</v>
      </c>
      <c r="WU334" s="1047" t="s">
        <v>1131</v>
      </c>
      <c r="WV334" s="1047" t="s">
        <v>1131</v>
      </c>
      <c r="WW334" s="1047" t="s">
        <v>1131</v>
      </c>
      <c r="WX334" s="1047" t="s">
        <v>1131</v>
      </c>
      <c r="WY334" s="1047" t="s">
        <v>1131</v>
      </c>
      <c r="WZ334" s="1047" t="s">
        <v>1131</v>
      </c>
      <c r="XA334" s="1047" t="s">
        <v>1127</v>
      </c>
      <c r="XB334" s="1047" t="s">
        <v>1127</v>
      </c>
      <c r="XC334" s="1047" t="s">
        <v>1127</v>
      </c>
      <c r="XD334" s="1047" t="s">
        <v>1127</v>
      </c>
      <c r="XE334" s="1047" t="s">
        <v>1127</v>
      </c>
      <c r="XF334" s="1047" t="s">
        <v>1127</v>
      </c>
      <c r="XG334" s="1047" t="s">
        <v>1127</v>
      </c>
      <c r="XH334" s="1047" t="s">
        <v>1127</v>
      </c>
      <c r="XI334" s="1047" t="s">
        <v>1128</v>
      </c>
      <c r="XJ334" s="1047" t="s">
        <v>1128</v>
      </c>
      <c r="XK334" s="1047" t="s">
        <v>1128</v>
      </c>
      <c r="XL334" s="1047" t="s">
        <v>1128</v>
      </c>
      <c r="XM334" s="1047" t="s">
        <v>1128</v>
      </c>
      <c r="XN334" s="1047" t="s">
        <v>1128</v>
      </c>
      <c r="XO334" s="1047" t="s">
        <v>1128</v>
      </c>
      <c r="XP334" s="1047" t="s">
        <v>1128</v>
      </c>
      <c r="XQ334" s="1047" t="s">
        <v>462</v>
      </c>
      <c r="XR334" s="1047" t="s">
        <v>462</v>
      </c>
      <c r="XS334" s="1047" t="s">
        <v>462</v>
      </c>
      <c r="XT334" s="1047" t="s">
        <v>462</v>
      </c>
      <c r="XU334" s="1047" t="s">
        <v>462</v>
      </c>
      <c r="XV334" s="1047" t="s">
        <v>462</v>
      </c>
      <c r="XW334" s="1047" t="s">
        <v>462</v>
      </c>
      <c r="XX334" s="1047" t="s">
        <v>462</v>
      </c>
      <c r="XY334" s="1047" t="s">
        <v>1129</v>
      </c>
      <c r="XZ334" s="1047" t="s">
        <v>1129</v>
      </c>
      <c r="YA334" s="1047" t="s">
        <v>1129</v>
      </c>
      <c r="YB334" s="1047" t="s">
        <v>1129</v>
      </c>
      <c r="YC334" s="1047" t="s">
        <v>1129</v>
      </c>
      <c r="YD334" s="1047" t="s">
        <v>1129</v>
      </c>
      <c r="YE334" s="1047" t="s">
        <v>1129</v>
      </c>
      <c r="YF334" s="1047" t="s">
        <v>1129</v>
      </c>
      <c r="YG334" s="1047" t="s">
        <v>463</v>
      </c>
      <c r="YH334" s="1047" t="s">
        <v>463</v>
      </c>
      <c r="YI334" s="1047" t="s">
        <v>463</v>
      </c>
      <c r="YJ334" s="1047" t="s">
        <v>463</v>
      </c>
      <c r="YK334" s="1047" t="s">
        <v>463</v>
      </c>
      <c r="YL334" s="1047" t="s">
        <v>463</v>
      </c>
      <c r="YM334" s="1047" t="s">
        <v>463</v>
      </c>
      <c r="YN334" s="1047" t="s">
        <v>463</v>
      </c>
      <c r="YO334" s="1047" t="s">
        <v>464</v>
      </c>
      <c r="YP334" s="1047" t="s">
        <v>464</v>
      </c>
      <c r="YQ334" s="1047" t="s">
        <v>464</v>
      </c>
      <c r="YR334" s="1047" t="s">
        <v>464</v>
      </c>
      <c r="YS334" s="1047" t="s">
        <v>464</v>
      </c>
      <c r="YT334" s="1047" t="s">
        <v>464</v>
      </c>
      <c r="YU334" s="1047" t="s">
        <v>464</v>
      </c>
      <c r="YV334" s="1047" t="s">
        <v>464</v>
      </c>
      <c r="YW334" s="1047" t="s">
        <v>465</v>
      </c>
      <c r="YX334" s="1047" t="s">
        <v>465</v>
      </c>
      <c r="YY334" s="1047" t="s">
        <v>465</v>
      </c>
      <c r="YZ334" s="1047" t="s">
        <v>465</v>
      </c>
      <c r="ZA334" s="1047" t="s">
        <v>465</v>
      </c>
      <c r="ZB334" s="1047" t="s">
        <v>465</v>
      </c>
      <c r="ZC334" s="1047" t="s">
        <v>465</v>
      </c>
      <c r="ZD334" s="1047" t="s">
        <v>465</v>
      </c>
      <c r="ZE334" s="1047" t="s">
        <v>466</v>
      </c>
      <c r="ZF334" s="1047" t="s">
        <v>466</v>
      </c>
      <c r="ZG334" s="1047" t="s">
        <v>466</v>
      </c>
      <c r="ZH334" s="1047" t="s">
        <v>466</v>
      </c>
      <c r="ZI334" s="1047" t="s">
        <v>466</v>
      </c>
      <c r="ZJ334" s="1047" t="s">
        <v>466</v>
      </c>
      <c r="ZK334" s="1047" t="s">
        <v>466</v>
      </c>
      <c r="ZL334" s="1047" t="s">
        <v>466</v>
      </c>
      <c r="ZM334" s="1047" t="s">
        <v>460</v>
      </c>
      <c r="ZN334" s="1047" t="s">
        <v>460</v>
      </c>
      <c r="ZO334" s="1047" t="s">
        <v>460</v>
      </c>
      <c r="ZP334" s="1047" t="s">
        <v>460</v>
      </c>
      <c r="ZQ334" s="1047" t="s">
        <v>460</v>
      </c>
      <c r="ZR334" s="1047" t="s">
        <v>460</v>
      </c>
      <c r="ZS334" s="1047" t="s">
        <v>460</v>
      </c>
      <c r="ZT334" s="1047" t="s">
        <v>460</v>
      </c>
      <c r="ZU334" s="1047" t="s">
        <v>1130</v>
      </c>
      <c r="ZV334" s="1047" t="s">
        <v>1130</v>
      </c>
      <c r="ZW334" s="1047" t="s">
        <v>1130</v>
      </c>
      <c r="ZX334" s="1047" t="s">
        <v>1130</v>
      </c>
      <c r="ZY334" s="1047" t="s">
        <v>1130</v>
      </c>
      <c r="ZZ334" s="1047" t="s">
        <v>1130</v>
      </c>
      <c r="AAA334" s="1047" t="s">
        <v>1130</v>
      </c>
      <c r="AAB334" s="1047" t="s">
        <v>1130</v>
      </c>
      <c r="AAC334" s="1047" t="s">
        <v>1131</v>
      </c>
      <c r="AAD334" s="1047" t="s">
        <v>1131</v>
      </c>
      <c r="AAE334" s="1047" t="s">
        <v>1131</v>
      </c>
      <c r="AAF334" s="1047" t="s">
        <v>1131</v>
      </c>
      <c r="AAG334" s="1047" t="s">
        <v>1131</v>
      </c>
      <c r="AAH334" s="1047" t="s">
        <v>1131</v>
      </c>
      <c r="AAI334" s="1047" t="s">
        <v>1131</v>
      </c>
      <c r="AAJ334" s="1047" t="s">
        <v>1131</v>
      </c>
      <c r="AAK334" s="1047"/>
    </row>
    <row r="335" spans="1:713" hidden="1">
      <c r="B335" s="1023" t="s">
        <v>1866</v>
      </c>
      <c r="C335" s="723"/>
      <c r="D335" s="999"/>
      <c r="E335" s="534" t="s">
        <v>1006</v>
      </c>
      <c r="F335" s="534"/>
      <c r="G335" s="534" t="s">
        <v>68</v>
      </c>
      <c r="H335" s="534"/>
      <c r="I335" s="1047" t="s">
        <v>1132</v>
      </c>
      <c r="J335" s="1047" t="s">
        <v>1133</v>
      </c>
      <c r="K335" s="1047" t="s">
        <v>528</v>
      </c>
      <c r="L335" s="1047" t="s">
        <v>1134</v>
      </c>
      <c r="M335" s="1047" t="s">
        <v>1135</v>
      </c>
      <c r="N335" s="1047" t="s">
        <v>530</v>
      </c>
      <c r="O335" s="1047" t="s">
        <v>1136</v>
      </c>
      <c r="P335" s="1047" t="s">
        <v>1137</v>
      </c>
      <c r="Q335" s="1047" t="s">
        <v>1132</v>
      </c>
      <c r="R335" s="1047" t="s">
        <v>1133</v>
      </c>
      <c r="S335" s="1047" t="s">
        <v>528</v>
      </c>
      <c r="T335" s="1047" t="s">
        <v>1134</v>
      </c>
      <c r="U335" s="1047" t="s">
        <v>1135</v>
      </c>
      <c r="V335" s="1047" t="s">
        <v>530</v>
      </c>
      <c r="W335" s="1047" t="s">
        <v>1136</v>
      </c>
      <c r="X335" s="1047" t="s">
        <v>1137</v>
      </c>
      <c r="Y335" s="1047" t="s">
        <v>1132</v>
      </c>
      <c r="Z335" s="1047" t="s">
        <v>1133</v>
      </c>
      <c r="AA335" s="1047" t="s">
        <v>528</v>
      </c>
      <c r="AB335" s="1047" t="s">
        <v>1134</v>
      </c>
      <c r="AC335" s="1047" t="s">
        <v>1135</v>
      </c>
      <c r="AD335" s="1047" t="s">
        <v>530</v>
      </c>
      <c r="AE335" s="1047" t="s">
        <v>1136</v>
      </c>
      <c r="AF335" s="1047" t="s">
        <v>1137</v>
      </c>
      <c r="AG335" s="1047" t="s">
        <v>1132</v>
      </c>
      <c r="AH335" s="1047" t="s">
        <v>1133</v>
      </c>
      <c r="AI335" s="1047" t="s">
        <v>528</v>
      </c>
      <c r="AJ335" s="1047" t="s">
        <v>1134</v>
      </c>
      <c r="AK335" s="1047" t="s">
        <v>1135</v>
      </c>
      <c r="AL335" s="1047" t="s">
        <v>530</v>
      </c>
      <c r="AM335" s="1047" t="s">
        <v>1136</v>
      </c>
      <c r="AN335" s="1047" t="s">
        <v>1137</v>
      </c>
      <c r="AO335" s="1047" t="s">
        <v>1132</v>
      </c>
      <c r="AP335" s="1047" t="s">
        <v>1133</v>
      </c>
      <c r="AQ335" s="1047" t="s">
        <v>528</v>
      </c>
      <c r="AR335" s="1047" t="s">
        <v>1134</v>
      </c>
      <c r="AS335" s="1047" t="s">
        <v>1135</v>
      </c>
      <c r="AT335" s="1047" t="s">
        <v>530</v>
      </c>
      <c r="AU335" s="1047" t="s">
        <v>1136</v>
      </c>
      <c r="AV335" s="1047" t="s">
        <v>1137</v>
      </c>
      <c r="AW335" s="1047" t="s">
        <v>1132</v>
      </c>
      <c r="AX335" s="1047" t="s">
        <v>1133</v>
      </c>
      <c r="AY335" s="1047" t="s">
        <v>528</v>
      </c>
      <c r="AZ335" s="1047" t="s">
        <v>1134</v>
      </c>
      <c r="BA335" s="1047" t="s">
        <v>1135</v>
      </c>
      <c r="BB335" s="1047" t="s">
        <v>530</v>
      </c>
      <c r="BC335" s="1047" t="s">
        <v>1136</v>
      </c>
      <c r="BD335" s="1047" t="s">
        <v>1137</v>
      </c>
      <c r="BE335" s="1047" t="s">
        <v>1132</v>
      </c>
      <c r="BF335" s="1047" t="s">
        <v>1133</v>
      </c>
      <c r="BG335" s="1047" t="s">
        <v>528</v>
      </c>
      <c r="BH335" s="1047" t="s">
        <v>1134</v>
      </c>
      <c r="BI335" s="1047" t="s">
        <v>1135</v>
      </c>
      <c r="BJ335" s="1047" t="s">
        <v>530</v>
      </c>
      <c r="BK335" s="1047" t="s">
        <v>1136</v>
      </c>
      <c r="BL335" s="1047" t="s">
        <v>1137</v>
      </c>
      <c r="BM335" s="1047" t="s">
        <v>1132</v>
      </c>
      <c r="BN335" s="1047" t="s">
        <v>1133</v>
      </c>
      <c r="BO335" s="1047" t="s">
        <v>528</v>
      </c>
      <c r="BP335" s="1047" t="s">
        <v>1134</v>
      </c>
      <c r="BQ335" s="1047" t="s">
        <v>1135</v>
      </c>
      <c r="BR335" s="1047" t="s">
        <v>530</v>
      </c>
      <c r="BS335" s="1047" t="s">
        <v>1136</v>
      </c>
      <c r="BT335" s="1047" t="s">
        <v>1137</v>
      </c>
      <c r="BU335" s="1047" t="s">
        <v>1132</v>
      </c>
      <c r="BV335" s="1047" t="s">
        <v>1133</v>
      </c>
      <c r="BW335" s="1047" t="s">
        <v>528</v>
      </c>
      <c r="BX335" s="1047" t="s">
        <v>1134</v>
      </c>
      <c r="BY335" s="1047" t="s">
        <v>1135</v>
      </c>
      <c r="BZ335" s="1047" t="s">
        <v>530</v>
      </c>
      <c r="CA335" s="1047" t="s">
        <v>1136</v>
      </c>
      <c r="CB335" s="1047" t="s">
        <v>1137</v>
      </c>
      <c r="CC335" s="1047" t="s">
        <v>1132</v>
      </c>
      <c r="CD335" s="1047" t="s">
        <v>1133</v>
      </c>
      <c r="CE335" s="1047" t="s">
        <v>528</v>
      </c>
      <c r="CF335" s="1047" t="s">
        <v>1134</v>
      </c>
      <c r="CG335" s="1047" t="s">
        <v>1135</v>
      </c>
      <c r="CH335" s="1047" t="s">
        <v>530</v>
      </c>
      <c r="CI335" s="1047" t="s">
        <v>1136</v>
      </c>
      <c r="CJ335" s="1047" t="s">
        <v>1137</v>
      </c>
      <c r="CK335" s="1047" t="s">
        <v>1132</v>
      </c>
      <c r="CL335" s="1047" t="s">
        <v>1133</v>
      </c>
      <c r="CM335" s="1047" t="s">
        <v>528</v>
      </c>
      <c r="CN335" s="1047" t="s">
        <v>1134</v>
      </c>
      <c r="CO335" s="1047" t="s">
        <v>1135</v>
      </c>
      <c r="CP335" s="1047" t="s">
        <v>530</v>
      </c>
      <c r="CQ335" s="1047" t="s">
        <v>1136</v>
      </c>
      <c r="CR335" s="1047" t="s">
        <v>1137</v>
      </c>
      <c r="CS335" s="1047" t="s">
        <v>1132</v>
      </c>
      <c r="CT335" s="1047" t="s">
        <v>1133</v>
      </c>
      <c r="CU335" s="1047" t="s">
        <v>528</v>
      </c>
      <c r="CV335" s="1047" t="s">
        <v>1134</v>
      </c>
      <c r="CW335" s="1047" t="s">
        <v>1135</v>
      </c>
      <c r="CX335" s="1047" t="s">
        <v>530</v>
      </c>
      <c r="CY335" s="1047" t="s">
        <v>1136</v>
      </c>
      <c r="CZ335" s="1047" t="s">
        <v>1137</v>
      </c>
      <c r="DA335" s="1047" t="s">
        <v>1132</v>
      </c>
      <c r="DB335" s="1047" t="s">
        <v>1133</v>
      </c>
      <c r="DC335" s="1047" t="s">
        <v>528</v>
      </c>
      <c r="DD335" s="1047" t="s">
        <v>1134</v>
      </c>
      <c r="DE335" s="1047" t="s">
        <v>1135</v>
      </c>
      <c r="DF335" s="1047" t="s">
        <v>530</v>
      </c>
      <c r="DG335" s="1047" t="s">
        <v>1136</v>
      </c>
      <c r="DH335" s="1047" t="s">
        <v>1137</v>
      </c>
      <c r="DI335" s="1047" t="s">
        <v>1132</v>
      </c>
      <c r="DJ335" s="1047" t="s">
        <v>1133</v>
      </c>
      <c r="DK335" s="1047" t="s">
        <v>528</v>
      </c>
      <c r="DL335" s="1047" t="s">
        <v>1134</v>
      </c>
      <c r="DM335" s="1047" t="s">
        <v>1135</v>
      </c>
      <c r="DN335" s="1047" t="s">
        <v>530</v>
      </c>
      <c r="DO335" s="1047" t="s">
        <v>1136</v>
      </c>
      <c r="DP335" s="1047" t="s">
        <v>1137</v>
      </c>
      <c r="DQ335" s="1047" t="s">
        <v>1132</v>
      </c>
      <c r="DR335" s="1047" t="s">
        <v>1133</v>
      </c>
      <c r="DS335" s="1047" t="s">
        <v>528</v>
      </c>
      <c r="DT335" s="1047" t="s">
        <v>1134</v>
      </c>
      <c r="DU335" s="1047" t="s">
        <v>1135</v>
      </c>
      <c r="DV335" s="1047" t="s">
        <v>530</v>
      </c>
      <c r="DW335" s="1047" t="s">
        <v>1136</v>
      </c>
      <c r="DX335" s="1047" t="s">
        <v>1137</v>
      </c>
      <c r="DY335" s="1047" t="s">
        <v>1132</v>
      </c>
      <c r="DZ335" s="1047" t="s">
        <v>1133</v>
      </c>
      <c r="EA335" s="1047" t="s">
        <v>528</v>
      </c>
      <c r="EB335" s="1047" t="s">
        <v>1134</v>
      </c>
      <c r="EC335" s="1047" t="s">
        <v>1135</v>
      </c>
      <c r="ED335" s="1047" t="s">
        <v>530</v>
      </c>
      <c r="EE335" s="1047" t="s">
        <v>1136</v>
      </c>
      <c r="EF335" s="1047" t="s">
        <v>1137</v>
      </c>
      <c r="EG335" s="1047" t="s">
        <v>1132</v>
      </c>
      <c r="EH335" s="1047" t="s">
        <v>1133</v>
      </c>
      <c r="EI335" s="1047" t="s">
        <v>528</v>
      </c>
      <c r="EJ335" s="1047" t="s">
        <v>1134</v>
      </c>
      <c r="EK335" s="1047" t="s">
        <v>1135</v>
      </c>
      <c r="EL335" s="1047" t="s">
        <v>530</v>
      </c>
      <c r="EM335" s="1047" t="s">
        <v>1136</v>
      </c>
      <c r="EN335" s="1047" t="s">
        <v>1137</v>
      </c>
      <c r="EO335" s="1047" t="s">
        <v>1132</v>
      </c>
      <c r="EP335" s="1047" t="s">
        <v>1133</v>
      </c>
      <c r="EQ335" s="1047" t="s">
        <v>528</v>
      </c>
      <c r="ER335" s="1047" t="s">
        <v>1134</v>
      </c>
      <c r="ES335" s="1047" t="s">
        <v>1135</v>
      </c>
      <c r="ET335" s="1047" t="s">
        <v>530</v>
      </c>
      <c r="EU335" s="1047" t="s">
        <v>1136</v>
      </c>
      <c r="EV335" s="1047" t="s">
        <v>1137</v>
      </c>
      <c r="EW335" s="1047" t="s">
        <v>1132</v>
      </c>
      <c r="EX335" s="1047" t="s">
        <v>1133</v>
      </c>
      <c r="EY335" s="1047" t="s">
        <v>528</v>
      </c>
      <c r="EZ335" s="1047" t="s">
        <v>1134</v>
      </c>
      <c r="FA335" s="1047" t="s">
        <v>1135</v>
      </c>
      <c r="FB335" s="1047" t="s">
        <v>530</v>
      </c>
      <c r="FC335" s="1047" t="s">
        <v>1136</v>
      </c>
      <c r="FD335" s="1047" t="s">
        <v>1137</v>
      </c>
      <c r="FE335" s="1047" t="s">
        <v>1132</v>
      </c>
      <c r="FF335" s="1047" t="s">
        <v>1133</v>
      </c>
      <c r="FG335" s="1047" t="s">
        <v>528</v>
      </c>
      <c r="FH335" s="1047" t="s">
        <v>1134</v>
      </c>
      <c r="FI335" s="1047" t="s">
        <v>1135</v>
      </c>
      <c r="FJ335" s="1047" t="s">
        <v>530</v>
      </c>
      <c r="FK335" s="1047" t="s">
        <v>1136</v>
      </c>
      <c r="FL335" s="1047" t="s">
        <v>1137</v>
      </c>
      <c r="FM335" s="1047" t="s">
        <v>1132</v>
      </c>
      <c r="FN335" s="1047" t="s">
        <v>1133</v>
      </c>
      <c r="FO335" s="1047" t="s">
        <v>528</v>
      </c>
      <c r="FP335" s="1047" t="s">
        <v>1134</v>
      </c>
      <c r="FQ335" s="1047" t="s">
        <v>1135</v>
      </c>
      <c r="FR335" s="1047" t="s">
        <v>530</v>
      </c>
      <c r="FS335" s="1047" t="s">
        <v>1136</v>
      </c>
      <c r="FT335" s="1047" t="s">
        <v>1137</v>
      </c>
      <c r="FU335" s="1047" t="s">
        <v>1132</v>
      </c>
      <c r="FV335" s="1047" t="s">
        <v>1133</v>
      </c>
      <c r="FW335" s="1047" t="s">
        <v>528</v>
      </c>
      <c r="FX335" s="1047" t="s">
        <v>1134</v>
      </c>
      <c r="FY335" s="1047" t="s">
        <v>1135</v>
      </c>
      <c r="FZ335" s="1047" t="s">
        <v>530</v>
      </c>
      <c r="GA335" s="1047" t="s">
        <v>1136</v>
      </c>
      <c r="GB335" s="1047" t="s">
        <v>1137</v>
      </c>
      <c r="GC335" s="1047" t="s">
        <v>1132</v>
      </c>
      <c r="GD335" s="1047" t="s">
        <v>1133</v>
      </c>
      <c r="GE335" s="1047" t="s">
        <v>528</v>
      </c>
      <c r="GF335" s="1047" t="s">
        <v>1134</v>
      </c>
      <c r="GG335" s="1047" t="s">
        <v>1135</v>
      </c>
      <c r="GH335" s="1047" t="s">
        <v>530</v>
      </c>
      <c r="GI335" s="1047" t="s">
        <v>1136</v>
      </c>
      <c r="GJ335" s="1047" t="s">
        <v>1137</v>
      </c>
      <c r="GK335" s="1047" t="s">
        <v>1132</v>
      </c>
      <c r="GL335" s="1047" t="s">
        <v>1133</v>
      </c>
      <c r="GM335" s="1047" t="s">
        <v>528</v>
      </c>
      <c r="GN335" s="1047" t="s">
        <v>1134</v>
      </c>
      <c r="GO335" s="1047" t="s">
        <v>1135</v>
      </c>
      <c r="GP335" s="1047" t="s">
        <v>530</v>
      </c>
      <c r="GQ335" s="1047" t="s">
        <v>1136</v>
      </c>
      <c r="GR335" s="1047" t="s">
        <v>1137</v>
      </c>
      <c r="GS335" s="1047" t="s">
        <v>1132</v>
      </c>
      <c r="GT335" s="1047" t="s">
        <v>1133</v>
      </c>
      <c r="GU335" s="1047" t="s">
        <v>528</v>
      </c>
      <c r="GV335" s="1047" t="s">
        <v>1134</v>
      </c>
      <c r="GW335" s="1047" t="s">
        <v>1135</v>
      </c>
      <c r="GX335" s="1047" t="s">
        <v>530</v>
      </c>
      <c r="GY335" s="1047" t="s">
        <v>1136</v>
      </c>
      <c r="GZ335" s="1047" t="s">
        <v>1137</v>
      </c>
      <c r="HA335" s="1047" t="s">
        <v>1132</v>
      </c>
      <c r="HB335" s="1047" t="s">
        <v>1133</v>
      </c>
      <c r="HC335" s="1047" t="s">
        <v>528</v>
      </c>
      <c r="HD335" s="1047" t="s">
        <v>1134</v>
      </c>
      <c r="HE335" s="1047" t="s">
        <v>1135</v>
      </c>
      <c r="HF335" s="1047" t="s">
        <v>530</v>
      </c>
      <c r="HG335" s="1047" t="s">
        <v>1136</v>
      </c>
      <c r="HH335" s="1047" t="s">
        <v>1137</v>
      </c>
      <c r="HI335" s="1047" t="s">
        <v>1132</v>
      </c>
      <c r="HJ335" s="1047" t="s">
        <v>1133</v>
      </c>
      <c r="HK335" s="1047" t="s">
        <v>528</v>
      </c>
      <c r="HL335" s="1047" t="s">
        <v>1134</v>
      </c>
      <c r="HM335" s="1047" t="s">
        <v>1135</v>
      </c>
      <c r="HN335" s="1047" t="s">
        <v>530</v>
      </c>
      <c r="HO335" s="1047" t="s">
        <v>1136</v>
      </c>
      <c r="HP335" s="1047" t="s">
        <v>1137</v>
      </c>
      <c r="HQ335" s="1047" t="s">
        <v>1132</v>
      </c>
      <c r="HR335" s="1047" t="s">
        <v>1133</v>
      </c>
      <c r="HS335" s="1047" t="s">
        <v>528</v>
      </c>
      <c r="HT335" s="1047" t="s">
        <v>1134</v>
      </c>
      <c r="HU335" s="1047" t="s">
        <v>1135</v>
      </c>
      <c r="HV335" s="1047" t="s">
        <v>530</v>
      </c>
      <c r="HW335" s="1047" t="s">
        <v>1136</v>
      </c>
      <c r="HX335" s="1047" t="s">
        <v>1137</v>
      </c>
      <c r="HY335" s="1047" t="s">
        <v>1132</v>
      </c>
      <c r="HZ335" s="1047" t="s">
        <v>1133</v>
      </c>
      <c r="IA335" s="1047" t="s">
        <v>528</v>
      </c>
      <c r="IB335" s="1047" t="s">
        <v>1134</v>
      </c>
      <c r="IC335" s="1047" t="s">
        <v>1135</v>
      </c>
      <c r="ID335" s="1047" t="s">
        <v>530</v>
      </c>
      <c r="IE335" s="1047" t="s">
        <v>1136</v>
      </c>
      <c r="IF335" s="1047" t="s">
        <v>1137</v>
      </c>
      <c r="IG335" s="1047" t="s">
        <v>1132</v>
      </c>
      <c r="IH335" s="1047" t="s">
        <v>1133</v>
      </c>
      <c r="II335" s="1047" t="s">
        <v>528</v>
      </c>
      <c r="IJ335" s="1047" t="s">
        <v>1134</v>
      </c>
      <c r="IK335" s="1047" t="s">
        <v>1135</v>
      </c>
      <c r="IL335" s="1047" t="s">
        <v>530</v>
      </c>
      <c r="IM335" s="1047" t="s">
        <v>1136</v>
      </c>
      <c r="IN335" s="1047" t="s">
        <v>1137</v>
      </c>
      <c r="IO335" s="1047" t="s">
        <v>1132</v>
      </c>
      <c r="IP335" s="1047" t="s">
        <v>1133</v>
      </c>
      <c r="IQ335" s="1047" t="s">
        <v>528</v>
      </c>
      <c r="IR335" s="1047" t="s">
        <v>1134</v>
      </c>
      <c r="IS335" s="1047" t="s">
        <v>1135</v>
      </c>
      <c r="IT335" s="1047" t="s">
        <v>530</v>
      </c>
      <c r="IU335" s="1047" t="s">
        <v>1136</v>
      </c>
      <c r="IV335" s="1047" t="s">
        <v>1137</v>
      </c>
      <c r="IW335" s="1047" t="s">
        <v>1132</v>
      </c>
      <c r="IX335" s="1047" t="s">
        <v>1133</v>
      </c>
      <c r="IY335" s="1047" t="s">
        <v>528</v>
      </c>
      <c r="IZ335" s="1047" t="s">
        <v>1134</v>
      </c>
      <c r="JA335" s="1047" t="s">
        <v>1135</v>
      </c>
      <c r="JB335" s="1047" t="s">
        <v>530</v>
      </c>
      <c r="JC335" s="1047" t="s">
        <v>1136</v>
      </c>
      <c r="JD335" s="1047" t="s">
        <v>1137</v>
      </c>
      <c r="JE335" s="1047" t="s">
        <v>1132</v>
      </c>
      <c r="JF335" s="1047" t="s">
        <v>1133</v>
      </c>
      <c r="JG335" s="1047" t="s">
        <v>528</v>
      </c>
      <c r="JH335" s="1047" t="s">
        <v>1134</v>
      </c>
      <c r="JI335" s="1047" t="s">
        <v>1135</v>
      </c>
      <c r="JJ335" s="1047" t="s">
        <v>530</v>
      </c>
      <c r="JK335" s="1047" t="s">
        <v>1136</v>
      </c>
      <c r="JL335" s="1047" t="s">
        <v>1137</v>
      </c>
      <c r="JM335" s="1047" t="s">
        <v>1132</v>
      </c>
      <c r="JN335" s="1047" t="s">
        <v>1133</v>
      </c>
      <c r="JO335" s="1047" t="s">
        <v>528</v>
      </c>
      <c r="JP335" s="1047" t="s">
        <v>1134</v>
      </c>
      <c r="JQ335" s="1047" t="s">
        <v>1135</v>
      </c>
      <c r="JR335" s="1047" t="s">
        <v>530</v>
      </c>
      <c r="JS335" s="1047" t="s">
        <v>1136</v>
      </c>
      <c r="JT335" s="1047" t="s">
        <v>1137</v>
      </c>
      <c r="JU335" s="1047" t="s">
        <v>1132</v>
      </c>
      <c r="JV335" s="1047" t="s">
        <v>1133</v>
      </c>
      <c r="JW335" s="1047" t="s">
        <v>528</v>
      </c>
      <c r="JX335" s="1047" t="s">
        <v>1134</v>
      </c>
      <c r="JY335" s="1047" t="s">
        <v>1135</v>
      </c>
      <c r="JZ335" s="1047" t="s">
        <v>530</v>
      </c>
      <c r="KA335" s="1047" t="s">
        <v>1136</v>
      </c>
      <c r="KB335" s="1047" t="s">
        <v>1137</v>
      </c>
      <c r="KC335" s="1047" t="s">
        <v>1132</v>
      </c>
      <c r="KD335" s="1047" t="s">
        <v>1133</v>
      </c>
      <c r="KE335" s="1047" t="s">
        <v>528</v>
      </c>
      <c r="KF335" s="1047" t="s">
        <v>1134</v>
      </c>
      <c r="KG335" s="1047" t="s">
        <v>1135</v>
      </c>
      <c r="KH335" s="1047" t="s">
        <v>530</v>
      </c>
      <c r="KI335" s="1047" t="s">
        <v>1136</v>
      </c>
      <c r="KJ335" s="1047" t="s">
        <v>1137</v>
      </c>
      <c r="KK335" s="1047" t="s">
        <v>1132</v>
      </c>
      <c r="KL335" s="1047" t="s">
        <v>1133</v>
      </c>
      <c r="KM335" s="1047" t="s">
        <v>528</v>
      </c>
      <c r="KN335" s="1047" t="s">
        <v>1134</v>
      </c>
      <c r="KO335" s="1047" t="s">
        <v>1135</v>
      </c>
      <c r="KP335" s="1047" t="s">
        <v>530</v>
      </c>
      <c r="KQ335" s="1047" t="s">
        <v>1136</v>
      </c>
      <c r="KR335" s="1047" t="s">
        <v>1137</v>
      </c>
      <c r="KS335" s="1047" t="s">
        <v>1132</v>
      </c>
      <c r="KT335" s="1047" t="s">
        <v>1133</v>
      </c>
      <c r="KU335" s="1047" t="s">
        <v>528</v>
      </c>
      <c r="KV335" s="1047" t="s">
        <v>1134</v>
      </c>
      <c r="KW335" s="1047" t="s">
        <v>1135</v>
      </c>
      <c r="KX335" s="1047" t="s">
        <v>530</v>
      </c>
      <c r="KY335" s="1047" t="s">
        <v>1136</v>
      </c>
      <c r="KZ335" s="1047" t="s">
        <v>1137</v>
      </c>
      <c r="LA335" s="1047" t="s">
        <v>1132</v>
      </c>
      <c r="LB335" s="1047" t="s">
        <v>1133</v>
      </c>
      <c r="LC335" s="1047" t="s">
        <v>528</v>
      </c>
      <c r="LD335" s="1047" t="s">
        <v>1134</v>
      </c>
      <c r="LE335" s="1047" t="s">
        <v>1135</v>
      </c>
      <c r="LF335" s="1047" t="s">
        <v>530</v>
      </c>
      <c r="LG335" s="1047" t="s">
        <v>1136</v>
      </c>
      <c r="LH335" s="1047" t="s">
        <v>1137</v>
      </c>
      <c r="LI335" s="1047" t="s">
        <v>1132</v>
      </c>
      <c r="LJ335" s="1047" t="s">
        <v>1133</v>
      </c>
      <c r="LK335" s="1047" t="s">
        <v>528</v>
      </c>
      <c r="LL335" s="1047" t="s">
        <v>1134</v>
      </c>
      <c r="LM335" s="1047" t="s">
        <v>1135</v>
      </c>
      <c r="LN335" s="1047" t="s">
        <v>530</v>
      </c>
      <c r="LO335" s="1047" t="s">
        <v>1136</v>
      </c>
      <c r="LP335" s="1047" t="s">
        <v>1137</v>
      </c>
      <c r="LQ335" s="1047" t="s">
        <v>1132</v>
      </c>
      <c r="LR335" s="1047" t="s">
        <v>1133</v>
      </c>
      <c r="LS335" s="1047" t="s">
        <v>528</v>
      </c>
      <c r="LT335" s="1047" t="s">
        <v>1134</v>
      </c>
      <c r="LU335" s="1047" t="s">
        <v>1135</v>
      </c>
      <c r="LV335" s="1047" t="s">
        <v>530</v>
      </c>
      <c r="LW335" s="1047" t="s">
        <v>1136</v>
      </c>
      <c r="LX335" s="1047" t="s">
        <v>1137</v>
      </c>
      <c r="LY335" s="1047" t="s">
        <v>1132</v>
      </c>
      <c r="LZ335" s="1047" t="s">
        <v>1133</v>
      </c>
      <c r="MA335" s="1047" t="s">
        <v>528</v>
      </c>
      <c r="MB335" s="1047" t="s">
        <v>1134</v>
      </c>
      <c r="MC335" s="1047" t="s">
        <v>1135</v>
      </c>
      <c r="MD335" s="1047" t="s">
        <v>530</v>
      </c>
      <c r="ME335" s="1047" t="s">
        <v>1136</v>
      </c>
      <c r="MF335" s="1047" t="s">
        <v>1137</v>
      </c>
      <c r="MG335" s="1047" t="s">
        <v>1132</v>
      </c>
      <c r="MH335" s="1047" t="s">
        <v>1133</v>
      </c>
      <c r="MI335" s="1047" t="s">
        <v>528</v>
      </c>
      <c r="MJ335" s="1047" t="s">
        <v>1134</v>
      </c>
      <c r="MK335" s="1047" t="s">
        <v>1135</v>
      </c>
      <c r="ML335" s="1047" t="s">
        <v>530</v>
      </c>
      <c r="MM335" s="1047" t="s">
        <v>1136</v>
      </c>
      <c r="MN335" s="1047" t="s">
        <v>1137</v>
      </c>
      <c r="MO335" s="1047" t="s">
        <v>1132</v>
      </c>
      <c r="MP335" s="1047" t="s">
        <v>1133</v>
      </c>
      <c r="MQ335" s="1047" t="s">
        <v>528</v>
      </c>
      <c r="MR335" s="1047" t="s">
        <v>1134</v>
      </c>
      <c r="MS335" s="1047" t="s">
        <v>1135</v>
      </c>
      <c r="MT335" s="1047" t="s">
        <v>530</v>
      </c>
      <c r="MU335" s="1047" t="s">
        <v>1136</v>
      </c>
      <c r="MV335" s="1047" t="s">
        <v>1137</v>
      </c>
      <c r="MW335" s="1047" t="s">
        <v>1132</v>
      </c>
      <c r="MX335" s="1047" t="s">
        <v>1133</v>
      </c>
      <c r="MY335" s="1047" t="s">
        <v>528</v>
      </c>
      <c r="MZ335" s="1047" t="s">
        <v>1134</v>
      </c>
      <c r="NA335" s="1047" t="s">
        <v>1135</v>
      </c>
      <c r="NB335" s="1047" t="s">
        <v>530</v>
      </c>
      <c r="NC335" s="1047" t="s">
        <v>1136</v>
      </c>
      <c r="ND335" s="1047" t="s">
        <v>1137</v>
      </c>
      <c r="NE335" s="1047" t="s">
        <v>1132</v>
      </c>
      <c r="NF335" s="1047" t="s">
        <v>1133</v>
      </c>
      <c r="NG335" s="1047" t="s">
        <v>528</v>
      </c>
      <c r="NH335" s="1047" t="s">
        <v>1134</v>
      </c>
      <c r="NI335" s="1047" t="s">
        <v>1135</v>
      </c>
      <c r="NJ335" s="1047" t="s">
        <v>530</v>
      </c>
      <c r="NK335" s="1047" t="s">
        <v>1136</v>
      </c>
      <c r="NL335" s="1047" t="s">
        <v>1137</v>
      </c>
      <c r="NM335" s="1047" t="s">
        <v>1132</v>
      </c>
      <c r="NN335" s="1047" t="s">
        <v>1133</v>
      </c>
      <c r="NO335" s="1047" t="s">
        <v>528</v>
      </c>
      <c r="NP335" s="1047" t="s">
        <v>1134</v>
      </c>
      <c r="NQ335" s="1047" t="s">
        <v>1135</v>
      </c>
      <c r="NR335" s="1047" t="s">
        <v>530</v>
      </c>
      <c r="NS335" s="1047" t="s">
        <v>1136</v>
      </c>
      <c r="NT335" s="1047" t="s">
        <v>1137</v>
      </c>
      <c r="NU335" s="1047" t="s">
        <v>1132</v>
      </c>
      <c r="NV335" s="1047" t="s">
        <v>1133</v>
      </c>
      <c r="NW335" s="1047" t="s">
        <v>528</v>
      </c>
      <c r="NX335" s="1047" t="s">
        <v>1134</v>
      </c>
      <c r="NY335" s="1047" t="s">
        <v>1135</v>
      </c>
      <c r="NZ335" s="1047" t="s">
        <v>530</v>
      </c>
      <c r="OA335" s="1047" t="s">
        <v>1136</v>
      </c>
      <c r="OB335" s="1047" t="s">
        <v>1137</v>
      </c>
      <c r="OC335" s="1047" t="s">
        <v>1132</v>
      </c>
      <c r="OD335" s="1047" t="s">
        <v>1133</v>
      </c>
      <c r="OE335" s="1047" t="s">
        <v>528</v>
      </c>
      <c r="OF335" s="1047" t="s">
        <v>1134</v>
      </c>
      <c r="OG335" s="1047" t="s">
        <v>1135</v>
      </c>
      <c r="OH335" s="1047" t="s">
        <v>530</v>
      </c>
      <c r="OI335" s="1047" t="s">
        <v>1136</v>
      </c>
      <c r="OJ335" s="1047" t="s">
        <v>1137</v>
      </c>
      <c r="OK335" s="1047" t="s">
        <v>1132</v>
      </c>
      <c r="OL335" s="1047" t="s">
        <v>1133</v>
      </c>
      <c r="OM335" s="1047" t="s">
        <v>528</v>
      </c>
      <c r="ON335" s="1047" t="s">
        <v>1134</v>
      </c>
      <c r="OO335" s="1047" t="s">
        <v>1135</v>
      </c>
      <c r="OP335" s="1047" t="s">
        <v>530</v>
      </c>
      <c r="OQ335" s="1047" t="s">
        <v>1136</v>
      </c>
      <c r="OR335" s="1047" t="s">
        <v>1137</v>
      </c>
      <c r="OS335" s="1047" t="s">
        <v>1132</v>
      </c>
      <c r="OT335" s="1047" t="s">
        <v>1133</v>
      </c>
      <c r="OU335" s="1047" t="s">
        <v>528</v>
      </c>
      <c r="OV335" s="1047" t="s">
        <v>1134</v>
      </c>
      <c r="OW335" s="1047" t="s">
        <v>1135</v>
      </c>
      <c r="OX335" s="1047" t="s">
        <v>530</v>
      </c>
      <c r="OY335" s="1047" t="s">
        <v>1136</v>
      </c>
      <c r="OZ335" s="1047" t="s">
        <v>1137</v>
      </c>
      <c r="PA335" s="1047" t="s">
        <v>1132</v>
      </c>
      <c r="PB335" s="1047" t="s">
        <v>1133</v>
      </c>
      <c r="PC335" s="1047" t="s">
        <v>528</v>
      </c>
      <c r="PD335" s="1047" t="s">
        <v>1134</v>
      </c>
      <c r="PE335" s="1047" t="s">
        <v>1135</v>
      </c>
      <c r="PF335" s="1047" t="s">
        <v>530</v>
      </c>
      <c r="PG335" s="1047" t="s">
        <v>1136</v>
      </c>
      <c r="PH335" s="1047" t="s">
        <v>1137</v>
      </c>
      <c r="PI335" s="1047" t="s">
        <v>1132</v>
      </c>
      <c r="PJ335" s="1047" t="s">
        <v>1133</v>
      </c>
      <c r="PK335" s="1047" t="s">
        <v>528</v>
      </c>
      <c r="PL335" s="1047" t="s">
        <v>1134</v>
      </c>
      <c r="PM335" s="1047" t="s">
        <v>1135</v>
      </c>
      <c r="PN335" s="1047" t="s">
        <v>530</v>
      </c>
      <c r="PO335" s="1047" t="s">
        <v>1136</v>
      </c>
      <c r="PP335" s="1047" t="s">
        <v>1137</v>
      </c>
      <c r="PQ335" s="1047" t="s">
        <v>1132</v>
      </c>
      <c r="PR335" s="1047" t="s">
        <v>1133</v>
      </c>
      <c r="PS335" s="1047" t="s">
        <v>528</v>
      </c>
      <c r="PT335" s="1047" t="s">
        <v>1134</v>
      </c>
      <c r="PU335" s="1047" t="s">
        <v>1135</v>
      </c>
      <c r="PV335" s="1047" t="s">
        <v>530</v>
      </c>
      <c r="PW335" s="1047" t="s">
        <v>1136</v>
      </c>
      <c r="PX335" s="1047" t="s">
        <v>1137</v>
      </c>
      <c r="PY335" s="1047" t="s">
        <v>1132</v>
      </c>
      <c r="PZ335" s="1047" t="s">
        <v>1133</v>
      </c>
      <c r="QA335" s="1047" t="s">
        <v>528</v>
      </c>
      <c r="QB335" s="1047" t="s">
        <v>1134</v>
      </c>
      <c r="QC335" s="1047" t="s">
        <v>1135</v>
      </c>
      <c r="QD335" s="1047" t="s">
        <v>530</v>
      </c>
      <c r="QE335" s="1047" t="s">
        <v>1136</v>
      </c>
      <c r="QF335" s="1047" t="s">
        <v>1137</v>
      </c>
      <c r="QG335" s="1047" t="s">
        <v>1132</v>
      </c>
      <c r="QH335" s="1047" t="s">
        <v>1133</v>
      </c>
      <c r="QI335" s="1047" t="s">
        <v>528</v>
      </c>
      <c r="QJ335" s="1047" t="s">
        <v>1134</v>
      </c>
      <c r="QK335" s="1047" t="s">
        <v>1135</v>
      </c>
      <c r="QL335" s="1047" t="s">
        <v>530</v>
      </c>
      <c r="QM335" s="1047" t="s">
        <v>1136</v>
      </c>
      <c r="QN335" s="1047" t="s">
        <v>1137</v>
      </c>
      <c r="QO335" s="1047" t="s">
        <v>1132</v>
      </c>
      <c r="QP335" s="1047" t="s">
        <v>1133</v>
      </c>
      <c r="QQ335" s="1047" t="s">
        <v>528</v>
      </c>
      <c r="QR335" s="1047" t="s">
        <v>1134</v>
      </c>
      <c r="QS335" s="1047" t="s">
        <v>1135</v>
      </c>
      <c r="QT335" s="1047" t="s">
        <v>530</v>
      </c>
      <c r="QU335" s="1047" t="s">
        <v>1136</v>
      </c>
      <c r="QV335" s="1047" t="s">
        <v>1137</v>
      </c>
      <c r="QW335" s="1047" t="s">
        <v>1132</v>
      </c>
      <c r="QX335" s="1047" t="s">
        <v>1133</v>
      </c>
      <c r="QY335" s="1047" t="s">
        <v>528</v>
      </c>
      <c r="QZ335" s="1047" t="s">
        <v>1134</v>
      </c>
      <c r="RA335" s="1047" t="s">
        <v>1135</v>
      </c>
      <c r="RB335" s="1047" t="s">
        <v>530</v>
      </c>
      <c r="RC335" s="1047" t="s">
        <v>1136</v>
      </c>
      <c r="RD335" s="1047" t="s">
        <v>1137</v>
      </c>
      <c r="RE335" s="1047" t="s">
        <v>1132</v>
      </c>
      <c r="RF335" s="1047" t="s">
        <v>1133</v>
      </c>
      <c r="RG335" s="1047" t="s">
        <v>528</v>
      </c>
      <c r="RH335" s="1047" t="s">
        <v>1134</v>
      </c>
      <c r="RI335" s="1047" t="s">
        <v>1135</v>
      </c>
      <c r="RJ335" s="1047" t="s">
        <v>530</v>
      </c>
      <c r="RK335" s="1047" t="s">
        <v>1136</v>
      </c>
      <c r="RL335" s="1047" t="s">
        <v>1137</v>
      </c>
      <c r="RM335" s="1047" t="s">
        <v>1132</v>
      </c>
      <c r="RN335" s="1047" t="s">
        <v>1133</v>
      </c>
      <c r="RO335" s="1047" t="s">
        <v>528</v>
      </c>
      <c r="RP335" s="1047" t="s">
        <v>1134</v>
      </c>
      <c r="RQ335" s="1047" t="s">
        <v>1135</v>
      </c>
      <c r="RR335" s="1047" t="s">
        <v>530</v>
      </c>
      <c r="RS335" s="1047" t="s">
        <v>1136</v>
      </c>
      <c r="RT335" s="1047" t="s">
        <v>1137</v>
      </c>
      <c r="RU335" s="1047" t="s">
        <v>1132</v>
      </c>
      <c r="RV335" s="1047" t="s">
        <v>1133</v>
      </c>
      <c r="RW335" s="1047" t="s">
        <v>528</v>
      </c>
      <c r="RX335" s="1047" t="s">
        <v>1134</v>
      </c>
      <c r="RY335" s="1047" t="s">
        <v>1135</v>
      </c>
      <c r="RZ335" s="1047" t="s">
        <v>530</v>
      </c>
      <c r="SA335" s="1047" t="s">
        <v>1136</v>
      </c>
      <c r="SB335" s="1047" t="s">
        <v>1137</v>
      </c>
      <c r="SC335" s="1047" t="s">
        <v>1132</v>
      </c>
      <c r="SD335" s="1047" t="s">
        <v>1133</v>
      </c>
      <c r="SE335" s="1047" t="s">
        <v>528</v>
      </c>
      <c r="SF335" s="1047" t="s">
        <v>1134</v>
      </c>
      <c r="SG335" s="1047" t="s">
        <v>1135</v>
      </c>
      <c r="SH335" s="1047" t="s">
        <v>530</v>
      </c>
      <c r="SI335" s="1047" t="s">
        <v>1136</v>
      </c>
      <c r="SJ335" s="1047" t="s">
        <v>1137</v>
      </c>
      <c r="SK335" s="1047" t="s">
        <v>1132</v>
      </c>
      <c r="SL335" s="1047" t="s">
        <v>1133</v>
      </c>
      <c r="SM335" s="1047" t="s">
        <v>528</v>
      </c>
      <c r="SN335" s="1047" t="s">
        <v>1134</v>
      </c>
      <c r="SO335" s="1047" t="s">
        <v>1135</v>
      </c>
      <c r="SP335" s="1047" t="s">
        <v>530</v>
      </c>
      <c r="SQ335" s="1047" t="s">
        <v>1136</v>
      </c>
      <c r="SR335" s="1047" t="s">
        <v>1137</v>
      </c>
      <c r="SS335" s="1047" t="s">
        <v>1132</v>
      </c>
      <c r="ST335" s="1047" t="s">
        <v>1133</v>
      </c>
      <c r="SU335" s="1047" t="s">
        <v>528</v>
      </c>
      <c r="SV335" s="1047" t="s">
        <v>1134</v>
      </c>
      <c r="SW335" s="1047" t="s">
        <v>1135</v>
      </c>
      <c r="SX335" s="1047" t="s">
        <v>530</v>
      </c>
      <c r="SY335" s="1047" t="s">
        <v>1136</v>
      </c>
      <c r="SZ335" s="1047" t="s">
        <v>1137</v>
      </c>
      <c r="TA335" s="1047" t="s">
        <v>1132</v>
      </c>
      <c r="TB335" s="1047" t="s">
        <v>1133</v>
      </c>
      <c r="TC335" s="1047" t="s">
        <v>528</v>
      </c>
      <c r="TD335" s="1047" t="s">
        <v>1134</v>
      </c>
      <c r="TE335" s="1047" t="s">
        <v>1135</v>
      </c>
      <c r="TF335" s="1047" t="s">
        <v>530</v>
      </c>
      <c r="TG335" s="1047" t="s">
        <v>1136</v>
      </c>
      <c r="TH335" s="1047" t="s">
        <v>1137</v>
      </c>
      <c r="TI335" s="1047" t="s">
        <v>1132</v>
      </c>
      <c r="TJ335" s="1047" t="s">
        <v>1133</v>
      </c>
      <c r="TK335" s="1047" t="s">
        <v>528</v>
      </c>
      <c r="TL335" s="1047" t="s">
        <v>1134</v>
      </c>
      <c r="TM335" s="1047" t="s">
        <v>1135</v>
      </c>
      <c r="TN335" s="1047" t="s">
        <v>530</v>
      </c>
      <c r="TO335" s="1047" t="s">
        <v>1136</v>
      </c>
      <c r="TP335" s="1047" t="s">
        <v>1137</v>
      </c>
      <c r="TQ335" s="1047" t="s">
        <v>1132</v>
      </c>
      <c r="TR335" s="1047" t="s">
        <v>1133</v>
      </c>
      <c r="TS335" s="1047" t="s">
        <v>528</v>
      </c>
      <c r="TT335" s="1047" t="s">
        <v>1134</v>
      </c>
      <c r="TU335" s="1047" t="s">
        <v>1135</v>
      </c>
      <c r="TV335" s="1047" t="s">
        <v>530</v>
      </c>
      <c r="TW335" s="1047" t="s">
        <v>1136</v>
      </c>
      <c r="TX335" s="1047" t="s">
        <v>1137</v>
      </c>
      <c r="TY335" s="1047" t="s">
        <v>1132</v>
      </c>
      <c r="TZ335" s="1047" t="s">
        <v>1133</v>
      </c>
      <c r="UA335" s="1047" t="s">
        <v>528</v>
      </c>
      <c r="UB335" s="1047" t="s">
        <v>1134</v>
      </c>
      <c r="UC335" s="1047" t="s">
        <v>1135</v>
      </c>
      <c r="UD335" s="1047" t="s">
        <v>530</v>
      </c>
      <c r="UE335" s="1047" t="s">
        <v>1136</v>
      </c>
      <c r="UF335" s="1047" t="s">
        <v>1137</v>
      </c>
      <c r="UG335" s="1047" t="s">
        <v>1132</v>
      </c>
      <c r="UH335" s="1047" t="s">
        <v>1133</v>
      </c>
      <c r="UI335" s="1047" t="s">
        <v>528</v>
      </c>
      <c r="UJ335" s="1047" t="s">
        <v>1134</v>
      </c>
      <c r="UK335" s="1047" t="s">
        <v>1135</v>
      </c>
      <c r="UL335" s="1047" t="s">
        <v>530</v>
      </c>
      <c r="UM335" s="1047" t="s">
        <v>1136</v>
      </c>
      <c r="UN335" s="1047" t="s">
        <v>1137</v>
      </c>
      <c r="UO335" s="1047" t="s">
        <v>1132</v>
      </c>
      <c r="UP335" s="1047" t="s">
        <v>1133</v>
      </c>
      <c r="UQ335" s="1047" t="s">
        <v>528</v>
      </c>
      <c r="UR335" s="1047" t="s">
        <v>1134</v>
      </c>
      <c r="US335" s="1047" t="s">
        <v>1135</v>
      </c>
      <c r="UT335" s="1047" t="s">
        <v>530</v>
      </c>
      <c r="UU335" s="1047" t="s">
        <v>1136</v>
      </c>
      <c r="UV335" s="1047" t="s">
        <v>1137</v>
      </c>
      <c r="UW335" s="1047" t="s">
        <v>1132</v>
      </c>
      <c r="UX335" s="1047" t="s">
        <v>1133</v>
      </c>
      <c r="UY335" s="1047" t="s">
        <v>528</v>
      </c>
      <c r="UZ335" s="1047" t="s">
        <v>1134</v>
      </c>
      <c r="VA335" s="1047" t="s">
        <v>1135</v>
      </c>
      <c r="VB335" s="1047" t="s">
        <v>530</v>
      </c>
      <c r="VC335" s="1047" t="s">
        <v>1136</v>
      </c>
      <c r="VD335" s="1047" t="s">
        <v>1137</v>
      </c>
      <c r="VE335" s="1047" t="s">
        <v>1132</v>
      </c>
      <c r="VF335" s="1047" t="s">
        <v>1133</v>
      </c>
      <c r="VG335" s="1047" t="s">
        <v>528</v>
      </c>
      <c r="VH335" s="1047" t="s">
        <v>1134</v>
      </c>
      <c r="VI335" s="1047" t="s">
        <v>1135</v>
      </c>
      <c r="VJ335" s="1047" t="s">
        <v>530</v>
      </c>
      <c r="VK335" s="1047" t="s">
        <v>1136</v>
      </c>
      <c r="VL335" s="1047" t="s">
        <v>1137</v>
      </c>
      <c r="VM335" s="1047" t="s">
        <v>1132</v>
      </c>
      <c r="VN335" s="1047" t="s">
        <v>1133</v>
      </c>
      <c r="VO335" s="1047" t="s">
        <v>528</v>
      </c>
      <c r="VP335" s="1047" t="s">
        <v>1134</v>
      </c>
      <c r="VQ335" s="1047" t="s">
        <v>1135</v>
      </c>
      <c r="VR335" s="1047" t="s">
        <v>530</v>
      </c>
      <c r="VS335" s="1047" t="s">
        <v>1136</v>
      </c>
      <c r="VT335" s="1047" t="s">
        <v>1137</v>
      </c>
      <c r="VU335" s="1047" t="s">
        <v>1132</v>
      </c>
      <c r="VV335" s="1047" t="s">
        <v>1133</v>
      </c>
      <c r="VW335" s="1047" t="s">
        <v>528</v>
      </c>
      <c r="VX335" s="1047" t="s">
        <v>1134</v>
      </c>
      <c r="VY335" s="1047" t="s">
        <v>1135</v>
      </c>
      <c r="VZ335" s="1047" t="s">
        <v>530</v>
      </c>
      <c r="WA335" s="1047" t="s">
        <v>1136</v>
      </c>
      <c r="WB335" s="1047" t="s">
        <v>1137</v>
      </c>
      <c r="WC335" s="1047" t="s">
        <v>1132</v>
      </c>
      <c r="WD335" s="1047" t="s">
        <v>1133</v>
      </c>
      <c r="WE335" s="1047" t="s">
        <v>528</v>
      </c>
      <c r="WF335" s="1047" t="s">
        <v>1134</v>
      </c>
      <c r="WG335" s="1047" t="s">
        <v>1135</v>
      </c>
      <c r="WH335" s="1047" t="s">
        <v>530</v>
      </c>
      <c r="WI335" s="1047" t="s">
        <v>1136</v>
      </c>
      <c r="WJ335" s="1047" t="s">
        <v>1137</v>
      </c>
      <c r="WK335" s="1047" t="s">
        <v>1132</v>
      </c>
      <c r="WL335" s="1047" t="s">
        <v>1133</v>
      </c>
      <c r="WM335" s="1047" t="s">
        <v>528</v>
      </c>
      <c r="WN335" s="1047" t="s">
        <v>1134</v>
      </c>
      <c r="WO335" s="1047" t="s">
        <v>1135</v>
      </c>
      <c r="WP335" s="1047" t="s">
        <v>530</v>
      </c>
      <c r="WQ335" s="1047" t="s">
        <v>1136</v>
      </c>
      <c r="WR335" s="1047" t="s">
        <v>1137</v>
      </c>
      <c r="WS335" s="1047" t="s">
        <v>1132</v>
      </c>
      <c r="WT335" s="1047" t="s">
        <v>1133</v>
      </c>
      <c r="WU335" s="1047" t="s">
        <v>528</v>
      </c>
      <c r="WV335" s="1047" t="s">
        <v>1134</v>
      </c>
      <c r="WW335" s="1047" t="s">
        <v>1135</v>
      </c>
      <c r="WX335" s="1047" t="s">
        <v>530</v>
      </c>
      <c r="WY335" s="1047" t="s">
        <v>1136</v>
      </c>
      <c r="WZ335" s="1047" t="s">
        <v>1137</v>
      </c>
      <c r="XA335" s="1047" t="s">
        <v>1132</v>
      </c>
      <c r="XB335" s="1047" t="s">
        <v>1133</v>
      </c>
      <c r="XC335" s="1047" t="s">
        <v>528</v>
      </c>
      <c r="XD335" s="1047" t="s">
        <v>1134</v>
      </c>
      <c r="XE335" s="1047" t="s">
        <v>1135</v>
      </c>
      <c r="XF335" s="1047" t="s">
        <v>530</v>
      </c>
      <c r="XG335" s="1047" t="s">
        <v>1136</v>
      </c>
      <c r="XH335" s="1047" t="s">
        <v>1137</v>
      </c>
      <c r="XI335" s="1047" t="s">
        <v>1132</v>
      </c>
      <c r="XJ335" s="1047" t="s">
        <v>1133</v>
      </c>
      <c r="XK335" s="1047" t="s">
        <v>528</v>
      </c>
      <c r="XL335" s="1047" t="s">
        <v>1134</v>
      </c>
      <c r="XM335" s="1047" t="s">
        <v>1135</v>
      </c>
      <c r="XN335" s="1047" t="s">
        <v>530</v>
      </c>
      <c r="XO335" s="1047" t="s">
        <v>1136</v>
      </c>
      <c r="XP335" s="1047" t="s">
        <v>1137</v>
      </c>
      <c r="XQ335" s="1047" t="s">
        <v>1132</v>
      </c>
      <c r="XR335" s="1047" t="s">
        <v>1133</v>
      </c>
      <c r="XS335" s="1047" t="s">
        <v>528</v>
      </c>
      <c r="XT335" s="1047" t="s">
        <v>1134</v>
      </c>
      <c r="XU335" s="1047" t="s">
        <v>1135</v>
      </c>
      <c r="XV335" s="1047" t="s">
        <v>530</v>
      </c>
      <c r="XW335" s="1047" t="s">
        <v>1136</v>
      </c>
      <c r="XX335" s="1047" t="s">
        <v>1137</v>
      </c>
      <c r="XY335" s="1047" t="s">
        <v>1132</v>
      </c>
      <c r="XZ335" s="1047" t="s">
        <v>1133</v>
      </c>
      <c r="YA335" s="1047" t="s">
        <v>528</v>
      </c>
      <c r="YB335" s="1047" t="s">
        <v>1134</v>
      </c>
      <c r="YC335" s="1047" t="s">
        <v>1135</v>
      </c>
      <c r="YD335" s="1047" t="s">
        <v>530</v>
      </c>
      <c r="YE335" s="1047" t="s">
        <v>1136</v>
      </c>
      <c r="YF335" s="1047" t="s">
        <v>1137</v>
      </c>
      <c r="YG335" s="1047" t="s">
        <v>1132</v>
      </c>
      <c r="YH335" s="1047" t="s">
        <v>1133</v>
      </c>
      <c r="YI335" s="1047" t="s">
        <v>528</v>
      </c>
      <c r="YJ335" s="1047" t="s">
        <v>1134</v>
      </c>
      <c r="YK335" s="1047" t="s">
        <v>1135</v>
      </c>
      <c r="YL335" s="1047" t="s">
        <v>530</v>
      </c>
      <c r="YM335" s="1047" t="s">
        <v>1136</v>
      </c>
      <c r="YN335" s="1047" t="s">
        <v>1137</v>
      </c>
      <c r="YO335" s="1047" t="s">
        <v>1132</v>
      </c>
      <c r="YP335" s="1047" t="s">
        <v>1133</v>
      </c>
      <c r="YQ335" s="1047" t="s">
        <v>528</v>
      </c>
      <c r="YR335" s="1047" t="s">
        <v>1134</v>
      </c>
      <c r="YS335" s="1047" t="s">
        <v>1135</v>
      </c>
      <c r="YT335" s="1047" t="s">
        <v>530</v>
      </c>
      <c r="YU335" s="1047" t="s">
        <v>1136</v>
      </c>
      <c r="YV335" s="1047" t="s">
        <v>1137</v>
      </c>
      <c r="YW335" s="1047" t="s">
        <v>1132</v>
      </c>
      <c r="YX335" s="1047" t="s">
        <v>1133</v>
      </c>
      <c r="YY335" s="1047" t="s">
        <v>528</v>
      </c>
      <c r="YZ335" s="1047" t="s">
        <v>1134</v>
      </c>
      <c r="ZA335" s="1047" t="s">
        <v>1135</v>
      </c>
      <c r="ZB335" s="1047" t="s">
        <v>530</v>
      </c>
      <c r="ZC335" s="1047" t="s">
        <v>1136</v>
      </c>
      <c r="ZD335" s="1047" t="s">
        <v>1137</v>
      </c>
      <c r="ZE335" s="1047" t="s">
        <v>1132</v>
      </c>
      <c r="ZF335" s="1047" t="s">
        <v>1133</v>
      </c>
      <c r="ZG335" s="1047" t="s">
        <v>528</v>
      </c>
      <c r="ZH335" s="1047" t="s">
        <v>1134</v>
      </c>
      <c r="ZI335" s="1047" t="s">
        <v>1135</v>
      </c>
      <c r="ZJ335" s="1047" t="s">
        <v>530</v>
      </c>
      <c r="ZK335" s="1047" t="s">
        <v>1136</v>
      </c>
      <c r="ZL335" s="1047" t="s">
        <v>1137</v>
      </c>
      <c r="ZM335" s="1047" t="s">
        <v>1132</v>
      </c>
      <c r="ZN335" s="1047" t="s">
        <v>1133</v>
      </c>
      <c r="ZO335" s="1047" t="s">
        <v>528</v>
      </c>
      <c r="ZP335" s="1047" t="s">
        <v>1134</v>
      </c>
      <c r="ZQ335" s="1047" t="s">
        <v>1135</v>
      </c>
      <c r="ZR335" s="1047" t="s">
        <v>530</v>
      </c>
      <c r="ZS335" s="1047" t="s">
        <v>1136</v>
      </c>
      <c r="ZT335" s="1047" t="s">
        <v>1137</v>
      </c>
      <c r="ZU335" s="1047" t="s">
        <v>1132</v>
      </c>
      <c r="ZV335" s="1047" t="s">
        <v>1133</v>
      </c>
      <c r="ZW335" s="1047" t="s">
        <v>528</v>
      </c>
      <c r="ZX335" s="1047" t="s">
        <v>1134</v>
      </c>
      <c r="ZY335" s="1047" t="s">
        <v>1135</v>
      </c>
      <c r="ZZ335" s="1047" t="s">
        <v>530</v>
      </c>
      <c r="AAA335" s="1047" t="s">
        <v>1136</v>
      </c>
      <c r="AAB335" s="1047" t="s">
        <v>1137</v>
      </c>
      <c r="AAC335" s="1047" t="s">
        <v>1132</v>
      </c>
      <c r="AAD335" s="1047" t="s">
        <v>1133</v>
      </c>
      <c r="AAE335" s="1047" t="s">
        <v>528</v>
      </c>
      <c r="AAF335" s="1047" t="s">
        <v>1134</v>
      </c>
      <c r="AAG335" s="1047" t="s">
        <v>1135</v>
      </c>
      <c r="AAH335" s="1047" t="s">
        <v>530</v>
      </c>
      <c r="AAI335" s="1047" t="s">
        <v>1136</v>
      </c>
      <c r="AAJ335" s="1047" t="s">
        <v>1137</v>
      </c>
      <c r="AAK335" s="1047"/>
    </row>
    <row r="336" spans="1:713" hidden="1">
      <c r="B336" s="1023" t="s">
        <v>1866</v>
      </c>
      <c r="C336" s="723"/>
      <c r="D336" s="999"/>
      <c r="E336" s="1056" t="s">
        <v>1126</v>
      </c>
      <c r="F336" s="1056"/>
      <c r="G336" s="1056" t="s">
        <v>68</v>
      </c>
      <c r="H336" s="1056"/>
      <c r="I336" s="1057">
        <v>450</v>
      </c>
      <c r="J336" s="1057">
        <v>450</v>
      </c>
      <c r="K336" s="1057">
        <v>450</v>
      </c>
      <c r="L336" s="1057">
        <v>450</v>
      </c>
      <c r="M336" s="1057">
        <v>450</v>
      </c>
      <c r="N336" s="1057">
        <v>450</v>
      </c>
      <c r="O336" s="1057">
        <v>450</v>
      </c>
      <c r="P336" s="1057">
        <v>450</v>
      </c>
      <c r="Q336" s="1057">
        <v>450</v>
      </c>
      <c r="R336" s="1057">
        <v>450</v>
      </c>
      <c r="S336" s="1057">
        <v>450</v>
      </c>
      <c r="T336" s="1057">
        <v>450</v>
      </c>
      <c r="U336" s="1057">
        <v>450</v>
      </c>
      <c r="V336" s="1057">
        <v>450</v>
      </c>
      <c r="W336" s="1057">
        <v>450</v>
      </c>
      <c r="X336" s="1057">
        <v>450</v>
      </c>
      <c r="Y336" s="1057">
        <v>450</v>
      </c>
      <c r="Z336" s="1057">
        <v>450</v>
      </c>
      <c r="AA336" s="1057">
        <v>450</v>
      </c>
      <c r="AB336" s="1057">
        <v>450</v>
      </c>
      <c r="AC336" s="1057">
        <v>450</v>
      </c>
      <c r="AD336" s="1057">
        <v>450</v>
      </c>
      <c r="AE336" s="1057">
        <v>450</v>
      </c>
      <c r="AF336" s="1057">
        <v>450</v>
      </c>
      <c r="AG336" s="1057">
        <v>450</v>
      </c>
      <c r="AH336" s="1057">
        <v>450</v>
      </c>
      <c r="AI336" s="1057">
        <v>450</v>
      </c>
      <c r="AJ336" s="1057">
        <v>450</v>
      </c>
      <c r="AK336" s="1057">
        <v>450</v>
      </c>
      <c r="AL336" s="1057">
        <v>450</v>
      </c>
      <c r="AM336" s="1057">
        <v>450</v>
      </c>
      <c r="AN336" s="1057">
        <v>450</v>
      </c>
      <c r="AO336" s="1057">
        <v>450</v>
      </c>
      <c r="AP336" s="1057">
        <v>450</v>
      </c>
      <c r="AQ336" s="1057">
        <v>450</v>
      </c>
      <c r="AR336" s="1057">
        <v>450</v>
      </c>
      <c r="AS336" s="1057">
        <v>450</v>
      </c>
      <c r="AT336" s="1057">
        <v>450</v>
      </c>
      <c r="AU336" s="1057">
        <v>450</v>
      </c>
      <c r="AV336" s="1057">
        <v>450</v>
      </c>
      <c r="AW336" s="1057">
        <v>450</v>
      </c>
      <c r="AX336" s="1057">
        <v>450</v>
      </c>
      <c r="AY336" s="1057">
        <v>450</v>
      </c>
      <c r="AZ336" s="1057">
        <v>450</v>
      </c>
      <c r="BA336" s="1057">
        <v>450</v>
      </c>
      <c r="BB336" s="1057">
        <v>450</v>
      </c>
      <c r="BC336" s="1057">
        <v>450</v>
      </c>
      <c r="BD336" s="1057">
        <v>450</v>
      </c>
      <c r="BE336" s="1057">
        <v>450</v>
      </c>
      <c r="BF336" s="1057">
        <v>450</v>
      </c>
      <c r="BG336" s="1057">
        <v>450</v>
      </c>
      <c r="BH336" s="1057">
        <v>450</v>
      </c>
      <c r="BI336" s="1057">
        <v>450</v>
      </c>
      <c r="BJ336" s="1057">
        <v>450</v>
      </c>
      <c r="BK336" s="1057">
        <v>450</v>
      </c>
      <c r="BL336" s="1057">
        <v>450</v>
      </c>
      <c r="BM336" s="1057">
        <v>450</v>
      </c>
      <c r="BN336" s="1057">
        <v>450</v>
      </c>
      <c r="BO336" s="1057">
        <v>450</v>
      </c>
      <c r="BP336" s="1057">
        <v>450</v>
      </c>
      <c r="BQ336" s="1057">
        <v>450</v>
      </c>
      <c r="BR336" s="1057">
        <v>450</v>
      </c>
      <c r="BS336" s="1057">
        <v>450</v>
      </c>
      <c r="BT336" s="1057">
        <v>450</v>
      </c>
      <c r="BU336" s="1057">
        <v>450</v>
      </c>
      <c r="BV336" s="1057">
        <v>450</v>
      </c>
      <c r="BW336" s="1057">
        <v>450</v>
      </c>
      <c r="BX336" s="1057">
        <v>450</v>
      </c>
      <c r="BY336" s="1057">
        <v>450</v>
      </c>
      <c r="BZ336" s="1057">
        <v>450</v>
      </c>
      <c r="CA336" s="1057">
        <v>450</v>
      </c>
      <c r="CB336" s="1057">
        <v>450</v>
      </c>
      <c r="CC336" s="1057">
        <v>450</v>
      </c>
      <c r="CD336" s="1057">
        <v>450</v>
      </c>
      <c r="CE336" s="1057">
        <v>450</v>
      </c>
      <c r="CF336" s="1057">
        <v>450</v>
      </c>
      <c r="CG336" s="1057">
        <v>450</v>
      </c>
      <c r="CH336" s="1057">
        <v>450</v>
      </c>
      <c r="CI336" s="1057">
        <v>450</v>
      </c>
      <c r="CJ336" s="1057">
        <v>450</v>
      </c>
      <c r="CK336" s="1057">
        <v>450</v>
      </c>
      <c r="CL336" s="1057">
        <v>450</v>
      </c>
      <c r="CM336" s="1057">
        <v>450</v>
      </c>
      <c r="CN336" s="1057">
        <v>450</v>
      </c>
      <c r="CO336" s="1057">
        <v>450</v>
      </c>
      <c r="CP336" s="1057">
        <v>450</v>
      </c>
      <c r="CQ336" s="1057">
        <v>450</v>
      </c>
      <c r="CR336" s="1057">
        <v>450</v>
      </c>
      <c r="CS336" s="1057">
        <v>450</v>
      </c>
      <c r="CT336" s="1057">
        <v>450</v>
      </c>
      <c r="CU336" s="1057">
        <v>450</v>
      </c>
      <c r="CV336" s="1057">
        <v>450</v>
      </c>
      <c r="CW336" s="1057">
        <v>450</v>
      </c>
      <c r="CX336" s="1057">
        <v>450</v>
      </c>
      <c r="CY336" s="1057">
        <v>450</v>
      </c>
      <c r="CZ336" s="1057">
        <v>450</v>
      </c>
      <c r="DA336" s="1057">
        <v>450</v>
      </c>
      <c r="DB336" s="1057">
        <v>450</v>
      </c>
      <c r="DC336" s="1057">
        <v>450</v>
      </c>
      <c r="DD336" s="1057">
        <v>450</v>
      </c>
      <c r="DE336" s="1057">
        <v>450</v>
      </c>
      <c r="DF336" s="1057">
        <v>450</v>
      </c>
      <c r="DG336" s="1057">
        <v>450</v>
      </c>
      <c r="DH336" s="1057">
        <v>450</v>
      </c>
      <c r="DI336" s="1057">
        <v>450</v>
      </c>
      <c r="DJ336" s="1057">
        <v>450</v>
      </c>
      <c r="DK336" s="1057">
        <v>450</v>
      </c>
      <c r="DL336" s="1057">
        <v>450</v>
      </c>
      <c r="DM336" s="1057">
        <v>450</v>
      </c>
      <c r="DN336" s="1057">
        <v>450</v>
      </c>
      <c r="DO336" s="1057">
        <v>450</v>
      </c>
      <c r="DP336" s="1057">
        <v>450</v>
      </c>
      <c r="DQ336" s="1057">
        <v>450</v>
      </c>
      <c r="DR336" s="1057">
        <v>450</v>
      </c>
      <c r="DS336" s="1057">
        <v>450</v>
      </c>
      <c r="DT336" s="1057">
        <v>450</v>
      </c>
      <c r="DU336" s="1057">
        <v>450</v>
      </c>
      <c r="DV336" s="1057">
        <v>450</v>
      </c>
      <c r="DW336" s="1057">
        <v>450</v>
      </c>
      <c r="DX336" s="1057">
        <v>450</v>
      </c>
      <c r="DY336" s="1057">
        <v>450</v>
      </c>
      <c r="DZ336" s="1057">
        <v>450</v>
      </c>
      <c r="EA336" s="1057">
        <v>450</v>
      </c>
      <c r="EB336" s="1057">
        <v>450</v>
      </c>
      <c r="EC336" s="1057">
        <v>450</v>
      </c>
      <c r="ED336" s="1057">
        <v>450</v>
      </c>
      <c r="EE336" s="1057">
        <v>450</v>
      </c>
      <c r="EF336" s="1057">
        <v>450</v>
      </c>
      <c r="EG336" s="1057">
        <v>450</v>
      </c>
      <c r="EH336" s="1057">
        <v>450</v>
      </c>
      <c r="EI336" s="1057">
        <v>450</v>
      </c>
      <c r="EJ336" s="1057">
        <v>450</v>
      </c>
      <c r="EK336" s="1057">
        <v>450</v>
      </c>
      <c r="EL336" s="1057">
        <v>450</v>
      </c>
      <c r="EM336" s="1057">
        <v>450</v>
      </c>
      <c r="EN336" s="1057">
        <v>450</v>
      </c>
      <c r="EO336" s="1057">
        <v>450</v>
      </c>
      <c r="EP336" s="1057">
        <v>450</v>
      </c>
      <c r="EQ336" s="1057">
        <v>450</v>
      </c>
      <c r="ER336" s="1057">
        <v>450</v>
      </c>
      <c r="ES336" s="1057">
        <v>450</v>
      </c>
      <c r="ET336" s="1057">
        <v>450</v>
      </c>
      <c r="EU336" s="1057">
        <v>450</v>
      </c>
      <c r="EV336" s="1057">
        <v>450</v>
      </c>
      <c r="EW336" s="1057">
        <v>450</v>
      </c>
      <c r="EX336" s="1057">
        <v>450</v>
      </c>
      <c r="EY336" s="1057">
        <v>450</v>
      </c>
      <c r="EZ336" s="1057">
        <v>450</v>
      </c>
      <c r="FA336" s="1057">
        <v>450</v>
      </c>
      <c r="FB336" s="1057">
        <v>450</v>
      </c>
      <c r="FC336" s="1057">
        <v>450</v>
      </c>
      <c r="FD336" s="1057">
        <v>450</v>
      </c>
      <c r="FE336" s="1057">
        <v>450</v>
      </c>
      <c r="FF336" s="1057">
        <v>450</v>
      </c>
      <c r="FG336" s="1057">
        <v>450</v>
      </c>
      <c r="FH336" s="1057">
        <v>450</v>
      </c>
      <c r="FI336" s="1057">
        <v>450</v>
      </c>
      <c r="FJ336" s="1057">
        <v>450</v>
      </c>
      <c r="FK336" s="1057">
        <v>450</v>
      </c>
      <c r="FL336" s="1057">
        <v>450</v>
      </c>
      <c r="FM336" s="1057">
        <v>450</v>
      </c>
      <c r="FN336" s="1057">
        <v>450</v>
      </c>
      <c r="FO336" s="1057">
        <v>450</v>
      </c>
      <c r="FP336" s="1057">
        <v>450</v>
      </c>
      <c r="FQ336" s="1057">
        <v>450</v>
      </c>
      <c r="FR336" s="1057">
        <v>450</v>
      </c>
      <c r="FS336" s="1057">
        <v>450</v>
      </c>
      <c r="FT336" s="1057">
        <v>450</v>
      </c>
      <c r="FU336" s="1057">
        <v>450</v>
      </c>
      <c r="FV336" s="1057">
        <v>450</v>
      </c>
      <c r="FW336" s="1057">
        <v>450</v>
      </c>
      <c r="FX336" s="1057">
        <v>450</v>
      </c>
      <c r="FY336" s="1057">
        <v>450</v>
      </c>
      <c r="FZ336" s="1057">
        <v>450</v>
      </c>
      <c r="GA336" s="1057">
        <v>450</v>
      </c>
      <c r="GB336" s="1057">
        <v>450</v>
      </c>
      <c r="GC336" s="1057">
        <v>450</v>
      </c>
      <c r="GD336" s="1057">
        <v>450</v>
      </c>
      <c r="GE336" s="1057">
        <v>450</v>
      </c>
      <c r="GF336" s="1057">
        <v>450</v>
      </c>
      <c r="GG336" s="1057">
        <v>450</v>
      </c>
      <c r="GH336" s="1057">
        <v>450</v>
      </c>
      <c r="GI336" s="1057">
        <v>450</v>
      </c>
      <c r="GJ336" s="1057">
        <v>450</v>
      </c>
      <c r="GK336" s="1057">
        <v>450</v>
      </c>
      <c r="GL336" s="1057">
        <v>450</v>
      </c>
      <c r="GM336" s="1057">
        <v>450</v>
      </c>
      <c r="GN336" s="1057">
        <v>450</v>
      </c>
      <c r="GO336" s="1057">
        <v>450</v>
      </c>
      <c r="GP336" s="1057">
        <v>450</v>
      </c>
      <c r="GQ336" s="1057">
        <v>450</v>
      </c>
      <c r="GR336" s="1057">
        <v>450</v>
      </c>
      <c r="GS336" s="1057">
        <v>450</v>
      </c>
      <c r="GT336" s="1057">
        <v>450</v>
      </c>
      <c r="GU336" s="1057">
        <v>450</v>
      </c>
      <c r="GV336" s="1057">
        <v>450</v>
      </c>
      <c r="GW336" s="1057">
        <v>450</v>
      </c>
      <c r="GX336" s="1057">
        <v>450</v>
      </c>
      <c r="GY336" s="1057">
        <v>450</v>
      </c>
      <c r="GZ336" s="1057">
        <v>450</v>
      </c>
      <c r="HA336" s="1057">
        <v>450</v>
      </c>
      <c r="HB336" s="1057">
        <v>450</v>
      </c>
      <c r="HC336" s="1057">
        <v>450</v>
      </c>
      <c r="HD336" s="1057">
        <v>450</v>
      </c>
      <c r="HE336" s="1057">
        <v>450</v>
      </c>
      <c r="HF336" s="1057">
        <v>450</v>
      </c>
      <c r="HG336" s="1057">
        <v>450</v>
      </c>
      <c r="HH336" s="1057">
        <v>450</v>
      </c>
      <c r="HI336" s="1057">
        <v>450</v>
      </c>
      <c r="HJ336" s="1057">
        <v>450</v>
      </c>
      <c r="HK336" s="1057">
        <v>450</v>
      </c>
      <c r="HL336" s="1057">
        <v>450</v>
      </c>
      <c r="HM336" s="1057">
        <v>450</v>
      </c>
      <c r="HN336" s="1057">
        <v>450</v>
      </c>
      <c r="HO336" s="1057">
        <v>450</v>
      </c>
      <c r="HP336" s="1057">
        <v>450</v>
      </c>
      <c r="HQ336" s="1057">
        <v>450</v>
      </c>
      <c r="HR336" s="1057">
        <v>450</v>
      </c>
      <c r="HS336" s="1057">
        <v>450</v>
      </c>
      <c r="HT336" s="1057">
        <v>450</v>
      </c>
      <c r="HU336" s="1057">
        <v>450</v>
      </c>
      <c r="HV336" s="1057">
        <v>450</v>
      </c>
      <c r="HW336" s="1057">
        <v>450</v>
      </c>
      <c r="HX336" s="1057">
        <v>450</v>
      </c>
      <c r="HY336" s="1057">
        <v>450</v>
      </c>
      <c r="HZ336" s="1057">
        <v>450</v>
      </c>
      <c r="IA336" s="1057">
        <v>450</v>
      </c>
      <c r="IB336" s="1057">
        <v>450</v>
      </c>
      <c r="IC336" s="1057">
        <v>450</v>
      </c>
      <c r="ID336" s="1057">
        <v>450</v>
      </c>
      <c r="IE336" s="1057">
        <v>450</v>
      </c>
      <c r="IF336" s="1057">
        <v>450</v>
      </c>
      <c r="IG336" s="1057">
        <v>450</v>
      </c>
      <c r="IH336" s="1057">
        <v>450</v>
      </c>
      <c r="II336" s="1057">
        <v>450</v>
      </c>
      <c r="IJ336" s="1057">
        <v>450</v>
      </c>
      <c r="IK336" s="1057">
        <v>450</v>
      </c>
      <c r="IL336" s="1057">
        <v>450</v>
      </c>
      <c r="IM336" s="1057">
        <v>450</v>
      </c>
      <c r="IN336" s="1057">
        <v>450</v>
      </c>
      <c r="IO336" s="1057">
        <v>450</v>
      </c>
      <c r="IP336" s="1057">
        <v>450</v>
      </c>
      <c r="IQ336" s="1057">
        <v>450</v>
      </c>
      <c r="IR336" s="1057">
        <v>450</v>
      </c>
      <c r="IS336" s="1057">
        <v>450</v>
      </c>
      <c r="IT336" s="1057">
        <v>450</v>
      </c>
      <c r="IU336" s="1057">
        <v>450</v>
      </c>
      <c r="IV336" s="1057">
        <v>450</v>
      </c>
      <c r="IW336" s="1057">
        <v>450</v>
      </c>
      <c r="IX336" s="1057">
        <v>450</v>
      </c>
      <c r="IY336" s="1057">
        <v>450</v>
      </c>
      <c r="IZ336" s="1057">
        <v>450</v>
      </c>
      <c r="JA336" s="1057">
        <v>450</v>
      </c>
      <c r="JB336" s="1057">
        <v>450</v>
      </c>
      <c r="JC336" s="1057">
        <v>450</v>
      </c>
      <c r="JD336" s="1057">
        <v>450</v>
      </c>
      <c r="JE336" s="1057">
        <v>450</v>
      </c>
      <c r="JF336" s="1057">
        <v>450</v>
      </c>
      <c r="JG336" s="1057">
        <v>450</v>
      </c>
      <c r="JH336" s="1057">
        <v>450</v>
      </c>
      <c r="JI336" s="1057">
        <v>450</v>
      </c>
      <c r="JJ336" s="1057">
        <v>450</v>
      </c>
      <c r="JK336" s="1057">
        <v>450</v>
      </c>
      <c r="JL336" s="1057">
        <v>450</v>
      </c>
      <c r="JM336" s="1057">
        <v>450</v>
      </c>
      <c r="JN336" s="1057">
        <v>450</v>
      </c>
      <c r="JO336" s="1057">
        <v>450</v>
      </c>
      <c r="JP336" s="1057">
        <v>450</v>
      </c>
      <c r="JQ336" s="1057">
        <v>450</v>
      </c>
      <c r="JR336" s="1057">
        <v>450</v>
      </c>
      <c r="JS336" s="1057">
        <v>450</v>
      </c>
      <c r="JT336" s="1057">
        <v>450</v>
      </c>
      <c r="JU336" s="1057">
        <v>450</v>
      </c>
      <c r="JV336" s="1057">
        <v>450</v>
      </c>
      <c r="JW336" s="1057">
        <v>450</v>
      </c>
      <c r="JX336" s="1057">
        <v>450</v>
      </c>
      <c r="JY336" s="1057">
        <v>450</v>
      </c>
      <c r="JZ336" s="1057">
        <v>450</v>
      </c>
      <c r="KA336" s="1057">
        <v>450</v>
      </c>
      <c r="KB336" s="1057">
        <v>450</v>
      </c>
      <c r="KC336" s="1057">
        <v>450</v>
      </c>
      <c r="KD336" s="1057">
        <v>450</v>
      </c>
      <c r="KE336" s="1057">
        <v>450</v>
      </c>
      <c r="KF336" s="1057">
        <v>450</v>
      </c>
      <c r="KG336" s="1057">
        <v>450</v>
      </c>
      <c r="KH336" s="1057">
        <v>450</v>
      </c>
      <c r="KI336" s="1057">
        <v>450</v>
      </c>
      <c r="KJ336" s="1057">
        <v>450</v>
      </c>
      <c r="KK336" s="1057">
        <v>450</v>
      </c>
      <c r="KL336" s="1057">
        <v>450</v>
      </c>
      <c r="KM336" s="1057">
        <v>450</v>
      </c>
      <c r="KN336" s="1057">
        <v>450</v>
      </c>
      <c r="KO336" s="1057">
        <v>450</v>
      </c>
      <c r="KP336" s="1057">
        <v>450</v>
      </c>
      <c r="KQ336" s="1057">
        <v>450</v>
      </c>
      <c r="KR336" s="1057">
        <v>450</v>
      </c>
      <c r="KS336" s="1057">
        <v>450</v>
      </c>
      <c r="KT336" s="1057">
        <v>450</v>
      </c>
      <c r="KU336" s="1057">
        <v>450</v>
      </c>
      <c r="KV336" s="1057">
        <v>450</v>
      </c>
      <c r="KW336" s="1057">
        <v>450</v>
      </c>
      <c r="KX336" s="1057">
        <v>450</v>
      </c>
      <c r="KY336" s="1057">
        <v>450</v>
      </c>
      <c r="KZ336" s="1057">
        <v>450</v>
      </c>
      <c r="LA336" s="1057">
        <v>450</v>
      </c>
      <c r="LB336" s="1057">
        <v>450</v>
      </c>
      <c r="LC336" s="1057">
        <v>450</v>
      </c>
      <c r="LD336" s="1057">
        <v>450</v>
      </c>
      <c r="LE336" s="1057">
        <v>450</v>
      </c>
      <c r="LF336" s="1057">
        <v>450</v>
      </c>
      <c r="LG336" s="1057">
        <v>450</v>
      </c>
      <c r="LH336" s="1057">
        <v>450</v>
      </c>
      <c r="LI336" s="1057">
        <v>450</v>
      </c>
      <c r="LJ336" s="1057">
        <v>450</v>
      </c>
      <c r="LK336" s="1057">
        <v>450</v>
      </c>
      <c r="LL336" s="1057">
        <v>450</v>
      </c>
      <c r="LM336" s="1057">
        <v>450</v>
      </c>
      <c r="LN336" s="1057">
        <v>450</v>
      </c>
      <c r="LO336" s="1057">
        <v>450</v>
      </c>
      <c r="LP336" s="1057">
        <v>450</v>
      </c>
      <c r="LQ336" s="1057">
        <v>450</v>
      </c>
      <c r="LR336" s="1057">
        <v>450</v>
      </c>
      <c r="LS336" s="1057">
        <v>450</v>
      </c>
      <c r="LT336" s="1057">
        <v>450</v>
      </c>
      <c r="LU336" s="1057">
        <v>450</v>
      </c>
      <c r="LV336" s="1057">
        <v>450</v>
      </c>
      <c r="LW336" s="1057">
        <v>450</v>
      </c>
      <c r="LX336" s="1057">
        <v>450</v>
      </c>
      <c r="LY336" s="1057">
        <v>450</v>
      </c>
      <c r="LZ336" s="1057">
        <v>450</v>
      </c>
      <c r="MA336" s="1057">
        <v>450</v>
      </c>
      <c r="MB336" s="1057">
        <v>450</v>
      </c>
      <c r="MC336" s="1057">
        <v>450</v>
      </c>
      <c r="MD336" s="1057">
        <v>450</v>
      </c>
      <c r="ME336" s="1057">
        <v>450</v>
      </c>
      <c r="MF336" s="1057">
        <v>450</v>
      </c>
      <c r="MG336" s="1057">
        <v>450</v>
      </c>
      <c r="MH336" s="1057">
        <v>450</v>
      </c>
      <c r="MI336" s="1057">
        <v>450</v>
      </c>
      <c r="MJ336" s="1057">
        <v>450</v>
      </c>
      <c r="MK336" s="1057">
        <v>450</v>
      </c>
      <c r="ML336" s="1057">
        <v>450</v>
      </c>
      <c r="MM336" s="1057">
        <v>450</v>
      </c>
      <c r="MN336" s="1057">
        <v>450</v>
      </c>
      <c r="MO336" s="1057">
        <v>450</v>
      </c>
      <c r="MP336" s="1057">
        <v>450</v>
      </c>
      <c r="MQ336" s="1057">
        <v>450</v>
      </c>
      <c r="MR336" s="1057">
        <v>450</v>
      </c>
      <c r="MS336" s="1057">
        <v>450</v>
      </c>
      <c r="MT336" s="1057">
        <v>450</v>
      </c>
      <c r="MU336" s="1057">
        <v>450</v>
      </c>
      <c r="MV336" s="1057">
        <v>450</v>
      </c>
      <c r="MW336" s="1057">
        <v>180</v>
      </c>
      <c r="MX336" s="1057">
        <v>180</v>
      </c>
      <c r="MY336" s="1057">
        <v>180</v>
      </c>
      <c r="MZ336" s="1057">
        <v>180</v>
      </c>
      <c r="NA336" s="1057">
        <v>180</v>
      </c>
      <c r="NB336" s="1057">
        <v>180</v>
      </c>
      <c r="NC336" s="1057">
        <v>180</v>
      </c>
      <c r="ND336" s="1057">
        <v>180</v>
      </c>
      <c r="NE336" s="1057">
        <v>180</v>
      </c>
      <c r="NF336" s="1057">
        <v>180</v>
      </c>
      <c r="NG336" s="1057">
        <v>180</v>
      </c>
      <c r="NH336" s="1057">
        <v>180</v>
      </c>
      <c r="NI336" s="1057">
        <v>180</v>
      </c>
      <c r="NJ336" s="1057">
        <v>180</v>
      </c>
      <c r="NK336" s="1057">
        <v>180</v>
      </c>
      <c r="NL336" s="1057">
        <v>180</v>
      </c>
      <c r="NM336" s="1057">
        <v>180</v>
      </c>
      <c r="NN336" s="1057">
        <v>180</v>
      </c>
      <c r="NO336" s="1057">
        <v>180</v>
      </c>
      <c r="NP336" s="1057">
        <v>180</v>
      </c>
      <c r="NQ336" s="1057">
        <v>180</v>
      </c>
      <c r="NR336" s="1057">
        <v>180</v>
      </c>
      <c r="NS336" s="1057">
        <v>180</v>
      </c>
      <c r="NT336" s="1057">
        <v>180</v>
      </c>
      <c r="NU336" s="1057">
        <v>180</v>
      </c>
      <c r="NV336" s="1057">
        <v>180</v>
      </c>
      <c r="NW336" s="1057">
        <v>180</v>
      </c>
      <c r="NX336" s="1057">
        <v>180</v>
      </c>
      <c r="NY336" s="1057">
        <v>180</v>
      </c>
      <c r="NZ336" s="1057">
        <v>180</v>
      </c>
      <c r="OA336" s="1057">
        <v>180</v>
      </c>
      <c r="OB336" s="1057">
        <v>180</v>
      </c>
      <c r="OC336" s="1057">
        <v>180</v>
      </c>
      <c r="OD336" s="1057">
        <v>180</v>
      </c>
      <c r="OE336" s="1057">
        <v>180</v>
      </c>
      <c r="OF336" s="1057">
        <v>180</v>
      </c>
      <c r="OG336" s="1057">
        <v>180</v>
      </c>
      <c r="OH336" s="1057">
        <v>180</v>
      </c>
      <c r="OI336" s="1057">
        <v>180</v>
      </c>
      <c r="OJ336" s="1057">
        <v>180</v>
      </c>
      <c r="OK336" s="1057">
        <v>180</v>
      </c>
      <c r="OL336" s="1057">
        <v>180</v>
      </c>
      <c r="OM336" s="1057">
        <v>180</v>
      </c>
      <c r="ON336" s="1057">
        <v>180</v>
      </c>
      <c r="OO336" s="1057">
        <v>180</v>
      </c>
      <c r="OP336" s="1057">
        <v>180</v>
      </c>
      <c r="OQ336" s="1057">
        <v>180</v>
      </c>
      <c r="OR336" s="1057">
        <v>180</v>
      </c>
      <c r="OS336" s="1057">
        <v>180</v>
      </c>
      <c r="OT336" s="1057">
        <v>180</v>
      </c>
      <c r="OU336" s="1057">
        <v>180</v>
      </c>
      <c r="OV336" s="1057">
        <v>180</v>
      </c>
      <c r="OW336" s="1057">
        <v>180</v>
      </c>
      <c r="OX336" s="1057">
        <v>180</v>
      </c>
      <c r="OY336" s="1057">
        <v>180</v>
      </c>
      <c r="OZ336" s="1057">
        <v>180</v>
      </c>
      <c r="PA336" s="1057">
        <v>180</v>
      </c>
      <c r="PB336" s="1057">
        <v>180</v>
      </c>
      <c r="PC336" s="1057">
        <v>180</v>
      </c>
      <c r="PD336" s="1057">
        <v>180</v>
      </c>
      <c r="PE336" s="1057">
        <v>180</v>
      </c>
      <c r="PF336" s="1057">
        <v>180</v>
      </c>
      <c r="PG336" s="1057">
        <v>180</v>
      </c>
      <c r="PH336" s="1057">
        <v>180</v>
      </c>
      <c r="PI336" s="1057">
        <v>180</v>
      </c>
      <c r="PJ336" s="1057">
        <v>180</v>
      </c>
      <c r="PK336" s="1057">
        <v>180</v>
      </c>
      <c r="PL336" s="1057">
        <v>180</v>
      </c>
      <c r="PM336" s="1057">
        <v>180</v>
      </c>
      <c r="PN336" s="1057">
        <v>180</v>
      </c>
      <c r="PO336" s="1057">
        <v>180</v>
      </c>
      <c r="PP336" s="1057">
        <v>180</v>
      </c>
      <c r="PQ336" s="1057">
        <v>180</v>
      </c>
      <c r="PR336" s="1057">
        <v>180</v>
      </c>
      <c r="PS336" s="1057">
        <v>180</v>
      </c>
      <c r="PT336" s="1057">
        <v>180</v>
      </c>
      <c r="PU336" s="1057">
        <v>180</v>
      </c>
      <c r="PV336" s="1057">
        <v>180</v>
      </c>
      <c r="PW336" s="1057">
        <v>180</v>
      </c>
      <c r="PX336" s="1057">
        <v>180</v>
      </c>
      <c r="PY336" s="1057">
        <v>180</v>
      </c>
      <c r="PZ336" s="1057">
        <v>180</v>
      </c>
      <c r="QA336" s="1057">
        <v>180</v>
      </c>
      <c r="QB336" s="1057">
        <v>180</v>
      </c>
      <c r="QC336" s="1057">
        <v>180</v>
      </c>
      <c r="QD336" s="1057">
        <v>180</v>
      </c>
      <c r="QE336" s="1057">
        <v>180</v>
      </c>
      <c r="QF336" s="1057">
        <v>180</v>
      </c>
      <c r="QG336" s="1057">
        <v>180</v>
      </c>
      <c r="QH336" s="1057">
        <v>180</v>
      </c>
      <c r="QI336" s="1057">
        <v>180</v>
      </c>
      <c r="QJ336" s="1057">
        <v>180</v>
      </c>
      <c r="QK336" s="1057">
        <v>180</v>
      </c>
      <c r="QL336" s="1057">
        <v>180</v>
      </c>
      <c r="QM336" s="1057">
        <v>180</v>
      </c>
      <c r="QN336" s="1057">
        <v>180</v>
      </c>
      <c r="QO336" s="1057">
        <v>180</v>
      </c>
      <c r="QP336" s="1057">
        <v>180</v>
      </c>
      <c r="QQ336" s="1057">
        <v>180</v>
      </c>
      <c r="QR336" s="1057">
        <v>180</v>
      </c>
      <c r="QS336" s="1057">
        <v>180</v>
      </c>
      <c r="QT336" s="1057">
        <v>180</v>
      </c>
      <c r="QU336" s="1057">
        <v>180</v>
      </c>
      <c r="QV336" s="1057">
        <v>180</v>
      </c>
      <c r="QW336" s="1057">
        <v>180</v>
      </c>
      <c r="QX336" s="1057">
        <v>180</v>
      </c>
      <c r="QY336" s="1057">
        <v>180</v>
      </c>
      <c r="QZ336" s="1057">
        <v>180</v>
      </c>
      <c r="RA336" s="1057">
        <v>180</v>
      </c>
      <c r="RB336" s="1057">
        <v>180</v>
      </c>
      <c r="RC336" s="1057">
        <v>180</v>
      </c>
      <c r="RD336" s="1057">
        <v>180</v>
      </c>
      <c r="RE336" s="1057">
        <v>180</v>
      </c>
      <c r="RF336" s="1057">
        <v>180</v>
      </c>
      <c r="RG336" s="1057">
        <v>180</v>
      </c>
      <c r="RH336" s="1057">
        <v>180</v>
      </c>
      <c r="RI336" s="1057">
        <v>180</v>
      </c>
      <c r="RJ336" s="1057">
        <v>180</v>
      </c>
      <c r="RK336" s="1057">
        <v>180</v>
      </c>
      <c r="RL336" s="1057">
        <v>180</v>
      </c>
      <c r="RM336" s="1057">
        <v>180</v>
      </c>
      <c r="RN336" s="1057">
        <v>180</v>
      </c>
      <c r="RO336" s="1057">
        <v>180</v>
      </c>
      <c r="RP336" s="1057">
        <v>180</v>
      </c>
      <c r="RQ336" s="1057">
        <v>180</v>
      </c>
      <c r="RR336" s="1057">
        <v>180</v>
      </c>
      <c r="RS336" s="1057">
        <v>180</v>
      </c>
      <c r="RT336" s="1057">
        <v>180</v>
      </c>
      <c r="RU336" s="1057">
        <v>180</v>
      </c>
      <c r="RV336" s="1057">
        <v>180</v>
      </c>
      <c r="RW336" s="1057">
        <v>180</v>
      </c>
      <c r="RX336" s="1057">
        <v>180</v>
      </c>
      <c r="RY336" s="1057">
        <v>180</v>
      </c>
      <c r="RZ336" s="1057">
        <v>180</v>
      </c>
      <c r="SA336" s="1057">
        <v>180</v>
      </c>
      <c r="SB336" s="1057">
        <v>180</v>
      </c>
      <c r="SC336" s="1057">
        <v>180</v>
      </c>
      <c r="SD336" s="1057">
        <v>180</v>
      </c>
      <c r="SE336" s="1057">
        <v>180</v>
      </c>
      <c r="SF336" s="1057">
        <v>180</v>
      </c>
      <c r="SG336" s="1057">
        <v>180</v>
      </c>
      <c r="SH336" s="1057">
        <v>180</v>
      </c>
      <c r="SI336" s="1057">
        <v>180</v>
      </c>
      <c r="SJ336" s="1057">
        <v>180</v>
      </c>
      <c r="SK336" s="1057">
        <v>180</v>
      </c>
      <c r="SL336" s="1057">
        <v>180</v>
      </c>
      <c r="SM336" s="1057">
        <v>180</v>
      </c>
      <c r="SN336" s="1057">
        <v>180</v>
      </c>
      <c r="SO336" s="1057">
        <v>180</v>
      </c>
      <c r="SP336" s="1057">
        <v>180</v>
      </c>
      <c r="SQ336" s="1057">
        <v>180</v>
      </c>
      <c r="SR336" s="1057">
        <v>180</v>
      </c>
      <c r="SS336" s="1057">
        <v>180</v>
      </c>
      <c r="ST336" s="1057">
        <v>180</v>
      </c>
      <c r="SU336" s="1057">
        <v>180</v>
      </c>
      <c r="SV336" s="1057">
        <v>180</v>
      </c>
      <c r="SW336" s="1057">
        <v>180</v>
      </c>
      <c r="SX336" s="1057">
        <v>180</v>
      </c>
      <c r="SY336" s="1057">
        <v>180</v>
      </c>
      <c r="SZ336" s="1057">
        <v>180</v>
      </c>
      <c r="TA336" s="1057">
        <v>180</v>
      </c>
      <c r="TB336" s="1057">
        <v>180</v>
      </c>
      <c r="TC336" s="1057">
        <v>180</v>
      </c>
      <c r="TD336" s="1057">
        <v>180</v>
      </c>
      <c r="TE336" s="1057">
        <v>180</v>
      </c>
      <c r="TF336" s="1057">
        <v>180</v>
      </c>
      <c r="TG336" s="1057">
        <v>180</v>
      </c>
      <c r="TH336" s="1057">
        <v>180</v>
      </c>
      <c r="TI336" s="1057">
        <v>180</v>
      </c>
      <c r="TJ336" s="1057">
        <v>180</v>
      </c>
      <c r="TK336" s="1057">
        <v>180</v>
      </c>
      <c r="TL336" s="1057">
        <v>180</v>
      </c>
      <c r="TM336" s="1057">
        <v>180</v>
      </c>
      <c r="TN336" s="1057">
        <v>180</v>
      </c>
      <c r="TO336" s="1057">
        <v>180</v>
      </c>
      <c r="TP336" s="1057">
        <v>180</v>
      </c>
      <c r="TQ336" s="1057">
        <v>180</v>
      </c>
      <c r="TR336" s="1057">
        <v>180</v>
      </c>
      <c r="TS336" s="1057">
        <v>180</v>
      </c>
      <c r="TT336" s="1057">
        <v>180</v>
      </c>
      <c r="TU336" s="1057">
        <v>180</v>
      </c>
      <c r="TV336" s="1057">
        <v>180</v>
      </c>
      <c r="TW336" s="1057">
        <v>180</v>
      </c>
      <c r="TX336" s="1057">
        <v>180</v>
      </c>
      <c r="TY336" s="1057">
        <v>180</v>
      </c>
      <c r="TZ336" s="1057">
        <v>180</v>
      </c>
      <c r="UA336" s="1057">
        <v>180</v>
      </c>
      <c r="UB336" s="1057">
        <v>180</v>
      </c>
      <c r="UC336" s="1057">
        <v>180</v>
      </c>
      <c r="UD336" s="1057">
        <v>180</v>
      </c>
      <c r="UE336" s="1057">
        <v>180</v>
      </c>
      <c r="UF336" s="1057">
        <v>180</v>
      </c>
      <c r="UG336" s="1057">
        <v>180</v>
      </c>
      <c r="UH336" s="1057">
        <v>180</v>
      </c>
      <c r="UI336" s="1057">
        <v>180</v>
      </c>
      <c r="UJ336" s="1057">
        <v>180</v>
      </c>
      <c r="UK336" s="1057">
        <v>180</v>
      </c>
      <c r="UL336" s="1057">
        <v>180</v>
      </c>
      <c r="UM336" s="1057">
        <v>180</v>
      </c>
      <c r="UN336" s="1057">
        <v>180</v>
      </c>
      <c r="UO336" s="1057">
        <v>180</v>
      </c>
      <c r="UP336" s="1057">
        <v>180</v>
      </c>
      <c r="UQ336" s="1057">
        <v>180</v>
      </c>
      <c r="UR336" s="1057">
        <v>180</v>
      </c>
      <c r="US336" s="1057">
        <v>180</v>
      </c>
      <c r="UT336" s="1057">
        <v>180</v>
      </c>
      <c r="UU336" s="1057">
        <v>180</v>
      </c>
      <c r="UV336" s="1057">
        <v>180</v>
      </c>
      <c r="UW336" s="1057">
        <v>180</v>
      </c>
      <c r="UX336" s="1057">
        <v>180</v>
      </c>
      <c r="UY336" s="1057">
        <v>180</v>
      </c>
      <c r="UZ336" s="1057">
        <v>180</v>
      </c>
      <c r="VA336" s="1057">
        <v>180</v>
      </c>
      <c r="VB336" s="1057">
        <v>180</v>
      </c>
      <c r="VC336" s="1057">
        <v>180</v>
      </c>
      <c r="VD336" s="1057">
        <v>180</v>
      </c>
      <c r="VE336" s="1057">
        <v>180</v>
      </c>
      <c r="VF336" s="1057">
        <v>180</v>
      </c>
      <c r="VG336" s="1057">
        <v>180</v>
      </c>
      <c r="VH336" s="1057">
        <v>180</v>
      </c>
      <c r="VI336" s="1057">
        <v>180</v>
      </c>
      <c r="VJ336" s="1057">
        <v>180</v>
      </c>
      <c r="VK336" s="1057">
        <v>180</v>
      </c>
      <c r="VL336" s="1057">
        <v>180</v>
      </c>
      <c r="VM336" s="1057">
        <v>180</v>
      </c>
      <c r="VN336" s="1057">
        <v>180</v>
      </c>
      <c r="VO336" s="1057">
        <v>180</v>
      </c>
      <c r="VP336" s="1057">
        <v>180</v>
      </c>
      <c r="VQ336" s="1057">
        <v>180</v>
      </c>
      <c r="VR336" s="1057">
        <v>180</v>
      </c>
      <c r="VS336" s="1057">
        <v>180</v>
      </c>
      <c r="VT336" s="1057">
        <v>180</v>
      </c>
      <c r="VU336" s="1057">
        <v>180</v>
      </c>
      <c r="VV336" s="1057">
        <v>180</v>
      </c>
      <c r="VW336" s="1057">
        <v>180</v>
      </c>
      <c r="VX336" s="1057">
        <v>180</v>
      </c>
      <c r="VY336" s="1057">
        <v>180</v>
      </c>
      <c r="VZ336" s="1057">
        <v>180</v>
      </c>
      <c r="WA336" s="1057">
        <v>180</v>
      </c>
      <c r="WB336" s="1057">
        <v>180</v>
      </c>
      <c r="WC336" s="1057">
        <v>180</v>
      </c>
      <c r="WD336" s="1057">
        <v>180</v>
      </c>
      <c r="WE336" s="1057">
        <v>180</v>
      </c>
      <c r="WF336" s="1057">
        <v>180</v>
      </c>
      <c r="WG336" s="1057">
        <v>180</v>
      </c>
      <c r="WH336" s="1057">
        <v>180</v>
      </c>
      <c r="WI336" s="1057">
        <v>180</v>
      </c>
      <c r="WJ336" s="1057">
        <v>180</v>
      </c>
      <c r="WK336" s="1057">
        <v>180</v>
      </c>
      <c r="WL336" s="1057">
        <v>180</v>
      </c>
      <c r="WM336" s="1057">
        <v>180</v>
      </c>
      <c r="WN336" s="1057">
        <v>180</v>
      </c>
      <c r="WO336" s="1057">
        <v>180</v>
      </c>
      <c r="WP336" s="1057">
        <v>180</v>
      </c>
      <c r="WQ336" s="1057">
        <v>180</v>
      </c>
      <c r="WR336" s="1057">
        <v>180</v>
      </c>
      <c r="WS336" s="1057">
        <v>180</v>
      </c>
      <c r="WT336" s="1057">
        <v>180</v>
      </c>
      <c r="WU336" s="1057">
        <v>180</v>
      </c>
      <c r="WV336" s="1057">
        <v>180</v>
      </c>
      <c r="WW336" s="1057">
        <v>180</v>
      </c>
      <c r="WX336" s="1057">
        <v>180</v>
      </c>
      <c r="WY336" s="1057">
        <v>180</v>
      </c>
      <c r="WZ336" s="1057">
        <v>180</v>
      </c>
      <c r="XA336" s="1057">
        <v>180</v>
      </c>
      <c r="XB336" s="1057">
        <v>180</v>
      </c>
      <c r="XC336" s="1057">
        <v>180</v>
      </c>
      <c r="XD336" s="1057">
        <v>180</v>
      </c>
      <c r="XE336" s="1057">
        <v>180</v>
      </c>
      <c r="XF336" s="1057">
        <v>180</v>
      </c>
      <c r="XG336" s="1057">
        <v>180</v>
      </c>
      <c r="XH336" s="1057">
        <v>180</v>
      </c>
      <c r="XI336" s="1057">
        <v>180</v>
      </c>
      <c r="XJ336" s="1057">
        <v>180</v>
      </c>
      <c r="XK336" s="1057">
        <v>180</v>
      </c>
      <c r="XL336" s="1057">
        <v>180</v>
      </c>
      <c r="XM336" s="1057">
        <v>180</v>
      </c>
      <c r="XN336" s="1057">
        <v>180</v>
      </c>
      <c r="XO336" s="1057">
        <v>180</v>
      </c>
      <c r="XP336" s="1057">
        <v>180</v>
      </c>
      <c r="XQ336" s="1057">
        <v>180</v>
      </c>
      <c r="XR336" s="1057">
        <v>180</v>
      </c>
      <c r="XS336" s="1057">
        <v>180</v>
      </c>
      <c r="XT336" s="1057">
        <v>180</v>
      </c>
      <c r="XU336" s="1057">
        <v>180</v>
      </c>
      <c r="XV336" s="1057">
        <v>180</v>
      </c>
      <c r="XW336" s="1057">
        <v>180</v>
      </c>
      <c r="XX336" s="1057">
        <v>180</v>
      </c>
      <c r="XY336" s="1057">
        <v>180</v>
      </c>
      <c r="XZ336" s="1057">
        <v>180</v>
      </c>
      <c r="YA336" s="1057">
        <v>180</v>
      </c>
      <c r="YB336" s="1057">
        <v>180</v>
      </c>
      <c r="YC336" s="1057">
        <v>180</v>
      </c>
      <c r="YD336" s="1057">
        <v>180</v>
      </c>
      <c r="YE336" s="1057">
        <v>180</v>
      </c>
      <c r="YF336" s="1057">
        <v>180</v>
      </c>
      <c r="YG336" s="1057">
        <v>180</v>
      </c>
      <c r="YH336" s="1057">
        <v>180</v>
      </c>
      <c r="YI336" s="1057">
        <v>180</v>
      </c>
      <c r="YJ336" s="1057">
        <v>180</v>
      </c>
      <c r="YK336" s="1057">
        <v>180</v>
      </c>
      <c r="YL336" s="1057">
        <v>180</v>
      </c>
      <c r="YM336" s="1057">
        <v>180</v>
      </c>
      <c r="YN336" s="1057">
        <v>180</v>
      </c>
      <c r="YO336" s="1057">
        <v>180</v>
      </c>
      <c r="YP336" s="1057">
        <v>180</v>
      </c>
      <c r="YQ336" s="1057">
        <v>180</v>
      </c>
      <c r="YR336" s="1057">
        <v>180</v>
      </c>
      <c r="YS336" s="1057">
        <v>180</v>
      </c>
      <c r="YT336" s="1057">
        <v>180</v>
      </c>
      <c r="YU336" s="1057">
        <v>180</v>
      </c>
      <c r="YV336" s="1057">
        <v>180</v>
      </c>
      <c r="YW336" s="1057">
        <v>180</v>
      </c>
      <c r="YX336" s="1057">
        <v>180</v>
      </c>
      <c r="YY336" s="1057">
        <v>180</v>
      </c>
      <c r="YZ336" s="1057">
        <v>180</v>
      </c>
      <c r="ZA336" s="1057">
        <v>180</v>
      </c>
      <c r="ZB336" s="1057">
        <v>180</v>
      </c>
      <c r="ZC336" s="1057">
        <v>180</v>
      </c>
      <c r="ZD336" s="1057">
        <v>180</v>
      </c>
      <c r="ZE336" s="1057">
        <v>180</v>
      </c>
      <c r="ZF336" s="1057">
        <v>180</v>
      </c>
      <c r="ZG336" s="1057">
        <v>180</v>
      </c>
      <c r="ZH336" s="1057">
        <v>180</v>
      </c>
      <c r="ZI336" s="1057">
        <v>180</v>
      </c>
      <c r="ZJ336" s="1057">
        <v>180</v>
      </c>
      <c r="ZK336" s="1057">
        <v>180</v>
      </c>
      <c r="ZL336" s="1057">
        <v>180</v>
      </c>
      <c r="ZM336" s="1057">
        <v>180</v>
      </c>
      <c r="ZN336" s="1057">
        <v>180</v>
      </c>
      <c r="ZO336" s="1057">
        <v>180</v>
      </c>
      <c r="ZP336" s="1057">
        <v>180</v>
      </c>
      <c r="ZQ336" s="1057">
        <v>180</v>
      </c>
      <c r="ZR336" s="1057">
        <v>180</v>
      </c>
      <c r="ZS336" s="1057">
        <v>180</v>
      </c>
      <c r="ZT336" s="1057">
        <v>180</v>
      </c>
      <c r="ZU336" s="1057">
        <v>180</v>
      </c>
      <c r="ZV336" s="1057">
        <v>180</v>
      </c>
      <c r="ZW336" s="1057">
        <v>180</v>
      </c>
      <c r="ZX336" s="1057">
        <v>180</v>
      </c>
      <c r="ZY336" s="1057">
        <v>180</v>
      </c>
      <c r="ZZ336" s="1057">
        <v>180</v>
      </c>
      <c r="AAA336" s="1057">
        <v>180</v>
      </c>
      <c r="AAB336" s="1057">
        <v>180</v>
      </c>
      <c r="AAC336" s="1057">
        <v>180</v>
      </c>
      <c r="AAD336" s="1057">
        <v>180</v>
      </c>
      <c r="AAE336" s="1057">
        <v>180</v>
      </c>
      <c r="AAF336" s="1057">
        <v>180</v>
      </c>
      <c r="AAG336" s="1057">
        <v>180</v>
      </c>
      <c r="AAH336" s="1057">
        <v>180</v>
      </c>
      <c r="AAI336" s="1057">
        <v>180</v>
      </c>
      <c r="AAJ336" s="1057">
        <v>180</v>
      </c>
      <c r="AAK336" s="1057"/>
    </row>
    <row r="337" spans="2:713" hidden="1">
      <c r="B337" s="1023" t="s">
        <v>1866</v>
      </c>
      <c r="C337" s="723"/>
      <c r="D337" s="999"/>
      <c r="E337" s="1067" t="s">
        <v>1138</v>
      </c>
      <c r="F337" s="1060"/>
      <c r="G337" s="1060" t="s">
        <v>68</v>
      </c>
      <c r="H337" s="1060"/>
      <c r="I337" s="1061" t="s">
        <v>1139</v>
      </c>
      <c r="J337" s="1061" t="s">
        <v>1140</v>
      </c>
      <c r="K337" s="1061" t="s">
        <v>1141</v>
      </c>
      <c r="L337" s="1061" t="s">
        <v>1142</v>
      </c>
      <c r="M337" s="1061" t="s">
        <v>1143</v>
      </c>
      <c r="N337" s="1061" t="s">
        <v>1144</v>
      </c>
      <c r="O337" s="1061" t="s">
        <v>1145</v>
      </c>
      <c r="P337" s="1061" t="s">
        <v>1146</v>
      </c>
      <c r="Q337" s="1061" t="s">
        <v>1147</v>
      </c>
      <c r="R337" s="1061" t="s">
        <v>1148</v>
      </c>
      <c r="S337" s="1061" t="s">
        <v>1149</v>
      </c>
      <c r="T337" s="1061" t="s">
        <v>1150</v>
      </c>
      <c r="U337" s="1061" t="s">
        <v>1151</v>
      </c>
      <c r="V337" s="1061" t="s">
        <v>1152</v>
      </c>
      <c r="W337" s="1061" t="s">
        <v>1153</v>
      </c>
      <c r="X337" s="1061" t="s">
        <v>1154</v>
      </c>
      <c r="Y337" s="1061" t="s">
        <v>1155</v>
      </c>
      <c r="Z337" s="1061" t="s">
        <v>1156</v>
      </c>
      <c r="AA337" s="1061" t="s">
        <v>1157</v>
      </c>
      <c r="AB337" s="1061" t="s">
        <v>1158</v>
      </c>
      <c r="AC337" s="1061" t="s">
        <v>1159</v>
      </c>
      <c r="AD337" s="1061" t="s">
        <v>1160</v>
      </c>
      <c r="AE337" s="1061" t="s">
        <v>1161</v>
      </c>
      <c r="AF337" s="1061" t="s">
        <v>1162</v>
      </c>
      <c r="AG337" s="1061" t="s">
        <v>1163</v>
      </c>
      <c r="AH337" s="1061" t="s">
        <v>1164</v>
      </c>
      <c r="AI337" s="1061" t="s">
        <v>1165</v>
      </c>
      <c r="AJ337" s="1061" t="s">
        <v>1166</v>
      </c>
      <c r="AK337" s="1061" t="s">
        <v>1167</v>
      </c>
      <c r="AL337" s="1061" t="s">
        <v>1168</v>
      </c>
      <c r="AM337" s="1061" t="s">
        <v>1169</v>
      </c>
      <c r="AN337" s="1061" t="s">
        <v>1170</v>
      </c>
      <c r="AO337" s="1061" t="s">
        <v>1171</v>
      </c>
      <c r="AP337" s="1061" t="s">
        <v>1172</v>
      </c>
      <c r="AQ337" s="1061" t="s">
        <v>1173</v>
      </c>
      <c r="AR337" s="1061" t="s">
        <v>1174</v>
      </c>
      <c r="AS337" s="1061" t="s">
        <v>1175</v>
      </c>
      <c r="AT337" s="1061" t="s">
        <v>1176</v>
      </c>
      <c r="AU337" s="1061" t="s">
        <v>1177</v>
      </c>
      <c r="AV337" s="1061" t="s">
        <v>1178</v>
      </c>
      <c r="AW337" s="1061" t="s">
        <v>1179</v>
      </c>
      <c r="AX337" s="1061" t="s">
        <v>1180</v>
      </c>
      <c r="AY337" s="1061" t="s">
        <v>1181</v>
      </c>
      <c r="AZ337" s="1061" t="s">
        <v>1182</v>
      </c>
      <c r="BA337" s="1061" t="s">
        <v>1183</v>
      </c>
      <c r="BB337" s="1061" t="s">
        <v>1184</v>
      </c>
      <c r="BC337" s="1061" t="s">
        <v>1185</v>
      </c>
      <c r="BD337" s="1061" t="s">
        <v>1186</v>
      </c>
      <c r="BE337" s="1061" t="s">
        <v>1187</v>
      </c>
      <c r="BF337" s="1061" t="s">
        <v>1188</v>
      </c>
      <c r="BG337" s="1061" t="s">
        <v>1189</v>
      </c>
      <c r="BH337" s="1061" t="s">
        <v>1190</v>
      </c>
      <c r="BI337" s="1061" t="s">
        <v>1191</v>
      </c>
      <c r="BJ337" s="1061" t="s">
        <v>1192</v>
      </c>
      <c r="BK337" s="1061" t="s">
        <v>1193</v>
      </c>
      <c r="BL337" s="1061" t="s">
        <v>1194</v>
      </c>
      <c r="BM337" s="1061" t="s">
        <v>1195</v>
      </c>
      <c r="BN337" s="1061" t="s">
        <v>1196</v>
      </c>
      <c r="BO337" s="1061" t="s">
        <v>1197</v>
      </c>
      <c r="BP337" s="1061" t="s">
        <v>1198</v>
      </c>
      <c r="BQ337" s="1061" t="s">
        <v>1199</v>
      </c>
      <c r="BR337" s="1061" t="s">
        <v>1200</v>
      </c>
      <c r="BS337" s="1061" t="s">
        <v>1201</v>
      </c>
      <c r="BT337" s="1061" t="s">
        <v>1202</v>
      </c>
      <c r="BU337" s="1061" t="s">
        <v>1203</v>
      </c>
      <c r="BV337" s="1061" t="s">
        <v>1204</v>
      </c>
      <c r="BW337" s="1061" t="s">
        <v>1205</v>
      </c>
      <c r="BX337" s="1061" t="s">
        <v>1206</v>
      </c>
      <c r="BY337" s="1061" t="s">
        <v>1207</v>
      </c>
      <c r="BZ337" s="1061" t="s">
        <v>1208</v>
      </c>
      <c r="CA337" s="1061" t="s">
        <v>1209</v>
      </c>
      <c r="CB337" s="1061" t="s">
        <v>1210</v>
      </c>
      <c r="CC337" s="1061" t="s">
        <v>1211</v>
      </c>
      <c r="CD337" s="1061" t="s">
        <v>1212</v>
      </c>
      <c r="CE337" s="1061" t="s">
        <v>1213</v>
      </c>
      <c r="CF337" s="1061" t="s">
        <v>1214</v>
      </c>
      <c r="CG337" s="1061" t="s">
        <v>1215</v>
      </c>
      <c r="CH337" s="1061" t="s">
        <v>1216</v>
      </c>
      <c r="CI337" s="1061" t="s">
        <v>1217</v>
      </c>
      <c r="CJ337" s="1061" t="s">
        <v>1218</v>
      </c>
      <c r="CK337" s="1061" t="s">
        <v>1219</v>
      </c>
      <c r="CL337" s="1061" t="s">
        <v>1220</v>
      </c>
      <c r="CM337" s="1061" t="s">
        <v>1221</v>
      </c>
      <c r="CN337" s="1061" t="s">
        <v>1222</v>
      </c>
      <c r="CO337" s="1061" t="s">
        <v>1223</v>
      </c>
      <c r="CP337" s="1061" t="s">
        <v>1224</v>
      </c>
      <c r="CQ337" s="1061" t="s">
        <v>1225</v>
      </c>
      <c r="CR337" s="1061" t="s">
        <v>1226</v>
      </c>
      <c r="CS337" s="1061" t="s">
        <v>1227</v>
      </c>
      <c r="CT337" s="1061" t="s">
        <v>1228</v>
      </c>
      <c r="CU337" s="1061" t="s">
        <v>1229</v>
      </c>
      <c r="CV337" s="1061" t="s">
        <v>1230</v>
      </c>
      <c r="CW337" s="1061" t="s">
        <v>1231</v>
      </c>
      <c r="CX337" s="1061" t="s">
        <v>1232</v>
      </c>
      <c r="CY337" s="1061" t="s">
        <v>1233</v>
      </c>
      <c r="CZ337" s="1061" t="s">
        <v>1234</v>
      </c>
      <c r="DA337" s="1061" t="s">
        <v>1235</v>
      </c>
      <c r="DB337" s="1061" t="s">
        <v>1236</v>
      </c>
      <c r="DC337" s="1061" t="s">
        <v>1237</v>
      </c>
      <c r="DD337" s="1061" t="s">
        <v>1238</v>
      </c>
      <c r="DE337" s="1061" t="s">
        <v>1239</v>
      </c>
      <c r="DF337" s="1061" t="s">
        <v>1240</v>
      </c>
      <c r="DG337" s="1061" t="s">
        <v>1241</v>
      </c>
      <c r="DH337" s="1061" t="s">
        <v>1242</v>
      </c>
      <c r="DI337" s="1061" t="s">
        <v>1243</v>
      </c>
      <c r="DJ337" s="1061" t="s">
        <v>1244</v>
      </c>
      <c r="DK337" s="1061" t="s">
        <v>1245</v>
      </c>
      <c r="DL337" s="1061" t="s">
        <v>1246</v>
      </c>
      <c r="DM337" s="1061" t="s">
        <v>1247</v>
      </c>
      <c r="DN337" s="1061" t="s">
        <v>1248</v>
      </c>
      <c r="DO337" s="1061" t="s">
        <v>1249</v>
      </c>
      <c r="DP337" s="1061" t="s">
        <v>1250</v>
      </c>
      <c r="DQ337" s="1061" t="s">
        <v>1251</v>
      </c>
      <c r="DR337" s="1061" t="s">
        <v>1252</v>
      </c>
      <c r="DS337" s="1061" t="s">
        <v>1253</v>
      </c>
      <c r="DT337" s="1061" t="s">
        <v>1254</v>
      </c>
      <c r="DU337" s="1061" t="s">
        <v>1255</v>
      </c>
      <c r="DV337" s="1061" t="s">
        <v>1256</v>
      </c>
      <c r="DW337" s="1061" t="s">
        <v>1257</v>
      </c>
      <c r="DX337" s="1061" t="s">
        <v>1258</v>
      </c>
      <c r="DY337" s="1061" t="s">
        <v>1259</v>
      </c>
      <c r="DZ337" s="1061" t="s">
        <v>1260</v>
      </c>
      <c r="EA337" s="1061" t="s">
        <v>1261</v>
      </c>
      <c r="EB337" s="1061" t="s">
        <v>1262</v>
      </c>
      <c r="EC337" s="1061" t="s">
        <v>1263</v>
      </c>
      <c r="ED337" s="1061" t="s">
        <v>1264</v>
      </c>
      <c r="EE337" s="1061" t="s">
        <v>1265</v>
      </c>
      <c r="EF337" s="1061" t="s">
        <v>1266</v>
      </c>
      <c r="EG337" s="1061" t="s">
        <v>1267</v>
      </c>
      <c r="EH337" s="1061" t="s">
        <v>1268</v>
      </c>
      <c r="EI337" s="1061" t="s">
        <v>1269</v>
      </c>
      <c r="EJ337" s="1061" t="s">
        <v>1270</v>
      </c>
      <c r="EK337" s="1061" t="s">
        <v>1271</v>
      </c>
      <c r="EL337" s="1061" t="s">
        <v>1272</v>
      </c>
      <c r="EM337" s="1061" t="s">
        <v>1273</v>
      </c>
      <c r="EN337" s="1061" t="s">
        <v>1274</v>
      </c>
      <c r="EO337" s="1061" t="s">
        <v>1275</v>
      </c>
      <c r="EP337" s="1061" t="s">
        <v>1276</v>
      </c>
      <c r="EQ337" s="1061" t="s">
        <v>1277</v>
      </c>
      <c r="ER337" s="1061" t="s">
        <v>1278</v>
      </c>
      <c r="ES337" s="1061" t="s">
        <v>1279</v>
      </c>
      <c r="ET337" s="1061" t="s">
        <v>1280</v>
      </c>
      <c r="EU337" s="1061" t="s">
        <v>1281</v>
      </c>
      <c r="EV337" s="1061" t="s">
        <v>1282</v>
      </c>
      <c r="EW337" s="1061" t="s">
        <v>1283</v>
      </c>
      <c r="EX337" s="1061" t="s">
        <v>1284</v>
      </c>
      <c r="EY337" s="1061" t="s">
        <v>1285</v>
      </c>
      <c r="EZ337" s="1061" t="s">
        <v>1286</v>
      </c>
      <c r="FA337" s="1061" t="s">
        <v>1287</v>
      </c>
      <c r="FB337" s="1061" t="s">
        <v>1288</v>
      </c>
      <c r="FC337" s="1061" t="s">
        <v>1289</v>
      </c>
      <c r="FD337" s="1061" t="s">
        <v>1290</v>
      </c>
      <c r="FE337" s="1061" t="s">
        <v>1291</v>
      </c>
      <c r="FF337" s="1061" t="s">
        <v>1292</v>
      </c>
      <c r="FG337" s="1061" t="s">
        <v>1293</v>
      </c>
      <c r="FH337" s="1061" t="s">
        <v>1294</v>
      </c>
      <c r="FI337" s="1061" t="s">
        <v>1295</v>
      </c>
      <c r="FJ337" s="1061" t="s">
        <v>1296</v>
      </c>
      <c r="FK337" s="1061" t="s">
        <v>1297</v>
      </c>
      <c r="FL337" s="1061" t="s">
        <v>1298</v>
      </c>
      <c r="FM337" s="1061" t="s">
        <v>1299</v>
      </c>
      <c r="FN337" s="1061" t="s">
        <v>1300</v>
      </c>
      <c r="FO337" s="1061" t="s">
        <v>1301</v>
      </c>
      <c r="FP337" s="1061" t="s">
        <v>1302</v>
      </c>
      <c r="FQ337" s="1061" t="s">
        <v>1303</v>
      </c>
      <c r="FR337" s="1061" t="s">
        <v>1304</v>
      </c>
      <c r="FS337" s="1061" t="s">
        <v>1305</v>
      </c>
      <c r="FT337" s="1061" t="s">
        <v>1306</v>
      </c>
      <c r="FU337" s="1061" t="s">
        <v>1307</v>
      </c>
      <c r="FV337" s="1061" t="s">
        <v>1308</v>
      </c>
      <c r="FW337" s="1061" t="s">
        <v>1309</v>
      </c>
      <c r="FX337" s="1061" t="s">
        <v>1310</v>
      </c>
      <c r="FY337" s="1061" t="s">
        <v>1311</v>
      </c>
      <c r="FZ337" s="1061" t="s">
        <v>1312</v>
      </c>
      <c r="GA337" s="1061" t="s">
        <v>1313</v>
      </c>
      <c r="GB337" s="1061" t="s">
        <v>1314</v>
      </c>
      <c r="GC337" s="1061" t="s">
        <v>1315</v>
      </c>
      <c r="GD337" s="1061" t="s">
        <v>1316</v>
      </c>
      <c r="GE337" s="1061" t="s">
        <v>1317</v>
      </c>
      <c r="GF337" s="1061" t="s">
        <v>1318</v>
      </c>
      <c r="GG337" s="1061" t="s">
        <v>1319</v>
      </c>
      <c r="GH337" s="1061" t="s">
        <v>1320</v>
      </c>
      <c r="GI337" s="1061" t="s">
        <v>1321</v>
      </c>
      <c r="GJ337" s="1061" t="s">
        <v>1322</v>
      </c>
      <c r="GK337" s="1061" t="s">
        <v>1323</v>
      </c>
      <c r="GL337" s="1061" t="s">
        <v>1324</v>
      </c>
      <c r="GM337" s="1061" t="s">
        <v>1325</v>
      </c>
      <c r="GN337" s="1061" t="s">
        <v>1326</v>
      </c>
      <c r="GO337" s="1061" t="s">
        <v>1327</v>
      </c>
      <c r="GP337" s="1061" t="s">
        <v>1328</v>
      </c>
      <c r="GQ337" s="1061" t="s">
        <v>1329</v>
      </c>
      <c r="GR337" s="1061" t="s">
        <v>1330</v>
      </c>
      <c r="GS337" s="1061" t="s">
        <v>1331</v>
      </c>
      <c r="GT337" s="1061" t="s">
        <v>1332</v>
      </c>
      <c r="GU337" s="1061" t="s">
        <v>1333</v>
      </c>
      <c r="GV337" s="1061" t="s">
        <v>1334</v>
      </c>
      <c r="GW337" s="1061" t="s">
        <v>1335</v>
      </c>
      <c r="GX337" s="1061" t="s">
        <v>1336</v>
      </c>
      <c r="GY337" s="1061" t="s">
        <v>1337</v>
      </c>
      <c r="GZ337" s="1061" t="s">
        <v>1338</v>
      </c>
      <c r="HA337" s="1061" t="s">
        <v>1339</v>
      </c>
      <c r="HB337" s="1061" t="s">
        <v>1340</v>
      </c>
      <c r="HC337" s="1061" t="s">
        <v>1341</v>
      </c>
      <c r="HD337" s="1061" t="s">
        <v>1342</v>
      </c>
      <c r="HE337" s="1061" t="s">
        <v>1343</v>
      </c>
      <c r="HF337" s="1061" t="s">
        <v>1344</v>
      </c>
      <c r="HG337" s="1061" t="s">
        <v>1345</v>
      </c>
      <c r="HH337" s="1061" t="s">
        <v>1346</v>
      </c>
      <c r="HI337" s="1061" t="s">
        <v>1347</v>
      </c>
      <c r="HJ337" s="1061" t="s">
        <v>1348</v>
      </c>
      <c r="HK337" s="1061" t="s">
        <v>1349</v>
      </c>
      <c r="HL337" s="1061" t="s">
        <v>1350</v>
      </c>
      <c r="HM337" s="1061" t="s">
        <v>1351</v>
      </c>
      <c r="HN337" s="1061" t="s">
        <v>1352</v>
      </c>
      <c r="HO337" s="1061" t="s">
        <v>1353</v>
      </c>
      <c r="HP337" s="1061" t="s">
        <v>1354</v>
      </c>
      <c r="HQ337" s="1061" t="s">
        <v>1355</v>
      </c>
      <c r="HR337" s="1061" t="s">
        <v>1356</v>
      </c>
      <c r="HS337" s="1061" t="s">
        <v>1357</v>
      </c>
      <c r="HT337" s="1061" t="s">
        <v>1358</v>
      </c>
      <c r="HU337" s="1061" t="s">
        <v>1359</v>
      </c>
      <c r="HV337" s="1061" t="s">
        <v>1360</v>
      </c>
      <c r="HW337" s="1061" t="s">
        <v>1361</v>
      </c>
      <c r="HX337" s="1061" t="s">
        <v>1362</v>
      </c>
      <c r="HY337" s="1061" t="s">
        <v>1363</v>
      </c>
      <c r="HZ337" s="1061" t="s">
        <v>1364</v>
      </c>
      <c r="IA337" s="1061" t="s">
        <v>1365</v>
      </c>
      <c r="IB337" s="1061" t="s">
        <v>1366</v>
      </c>
      <c r="IC337" s="1061" t="s">
        <v>1367</v>
      </c>
      <c r="ID337" s="1061" t="s">
        <v>1368</v>
      </c>
      <c r="IE337" s="1061" t="s">
        <v>1369</v>
      </c>
      <c r="IF337" s="1061" t="s">
        <v>1370</v>
      </c>
      <c r="IG337" s="1061" t="s">
        <v>1371</v>
      </c>
      <c r="IH337" s="1061" t="s">
        <v>1372</v>
      </c>
      <c r="II337" s="1061" t="s">
        <v>1373</v>
      </c>
      <c r="IJ337" s="1061" t="s">
        <v>1374</v>
      </c>
      <c r="IK337" s="1061" t="s">
        <v>1375</v>
      </c>
      <c r="IL337" s="1061" t="s">
        <v>1376</v>
      </c>
      <c r="IM337" s="1061" t="s">
        <v>1377</v>
      </c>
      <c r="IN337" s="1061" t="s">
        <v>1378</v>
      </c>
      <c r="IO337" s="1061" t="s">
        <v>1379</v>
      </c>
      <c r="IP337" s="1061" t="s">
        <v>1380</v>
      </c>
      <c r="IQ337" s="1061" t="s">
        <v>1381</v>
      </c>
      <c r="IR337" s="1061" t="s">
        <v>1382</v>
      </c>
      <c r="IS337" s="1061" t="s">
        <v>1383</v>
      </c>
      <c r="IT337" s="1061" t="s">
        <v>1384</v>
      </c>
      <c r="IU337" s="1061" t="s">
        <v>1385</v>
      </c>
      <c r="IV337" s="1061" t="s">
        <v>1386</v>
      </c>
      <c r="IW337" s="1061" t="s">
        <v>1387</v>
      </c>
      <c r="IX337" s="1061" t="s">
        <v>1388</v>
      </c>
      <c r="IY337" s="1061" t="s">
        <v>1389</v>
      </c>
      <c r="IZ337" s="1061" t="s">
        <v>1390</v>
      </c>
      <c r="JA337" s="1061" t="s">
        <v>1391</v>
      </c>
      <c r="JB337" s="1061" t="s">
        <v>1392</v>
      </c>
      <c r="JC337" s="1061" t="s">
        <v>1393</v>
      </c>
      <c r="JD337" s="1061" t="s">
        <v>1394</v>
      </c>
      <c r="JE337" s="1061" t="s">
        <v>1395</v>
      </c>
      <c r="JF337" s="1061" t="s">
        <v>1396</v>
      </c>
      <c r="JG337" s="1061" t="s">
        <v>1397</v>
      </c>
      <c r="JH337" s="1061" t="s">
        <v>1398</v>
      </c>
      <c r="JI337" s="1061" t="s">
        <v>1399</v>
      </c>
      <c r="JJ337" s="1061" t="s">
        <v>1400</v>
      </c>
      <c r="JK337" s="1061" t="s">
        <v>1401</v>
      </c>
      <c r="JL337" s="1061" t="s">
        <v>1402</v>
      </c>
      <c r="JM337" s="1061" t="s">
        <v>1403</v>
      </c>
      <c r="JN337" s="1061" t="s">
        <v>1404</v>
      </c>
      <c r="JO337" s="1061" t="s">
        <v>1405</v>
      </c>
      <c r="JP337" s="1061" t="s">
        <v>1406</v>
      </c>
      <c r="JQ337" s="1061" t="s">
        <v>1407</v>
      </c>
      <c r="JR337" s="1061" t="s">
        <v>1408</v>
      </c>
      <c r="JS337" s="1061" t="s">
        <v>1409</v>
      </c>
      <c r="JT337" s="1061" t="s">
        <v>1410</v>
      </c>
      <c r="JU337" s="1061" t="s">
        <v>1411</v>
      </c>
      <c r="JV337" s="1061" t="s">
        <v>1412</v>
      </c>
      <c r="JW337" s="1061" t="s">
        <v>1413</v>
      </c>
      <c r="JX337" s="1061" t="s">
        <v>1414</v>
      </c>
      <c r="JY337" s="1061" t="s">
        <v>1415</v>
      </c>
      <c r="JZ337" s="1061" t="s">
        <v>1416</v>
      </c>
      <c r="KA337" s="1061" t="s">
        <v>1417</v>
      </c>
      <c r="KB337" s="1061" t="s">
        <v>1418</v>
      </c>
      <c r="KC337" s="1061" t="s">
        <v>1419</v>
      </c>
      <c r="KD337" s="1061" t="s">
        <v>1420</v>
      </c>
      <c r="KE337" s="1061" t="s">
        <v>1421</v>
      </c>
      <c r="KF337" s="1061" t="s">
        <v>1422</v>
      </c>
      <c r="KG337" s="1061" t="s">
        <v>1423</v>
      </c>
      <c r="KH337" s="1061" t="s">
        <v>1424</v>
      </c>
      <c r="KI337" s="1061" t="s">
        <v>1425</v>
      </c>
      <c r="KJ337" s="1061" t="s">
        <v>1426</v>
      </c>
      <c r="KK337" s="1061" t="s">
        <v>1427</v>
      </c>
      <c r="KL337" s="1061" t="s">
        <v>1428</v>
      </c>
      <c r="KM337" s="1061" t="s">
        <v>1429</v>
      </c>
      <c r="KN337" s="1061" t="s">
        <v>1430</v>
      </c>
      <c r="KO337" s="1061" t="s">
        <v>1431</v>
      </c>
      <c r="KP337" s="1061" t="s">
        <v>1432</v>
      </c>
      <c r="KQ337" s="1061" t="s">
        <v>1433</v>
      </c>
      <c r="KR337" s="1061" t="s">
        <v>1434</v>
      </c>
      <c r="KS337" s="1061" t="s">
        <v>1435</v>
      </c>
      <c r="KT337" s="1061" t="s">
        <v>1436</v>
      </c>
      <c r="KU337" s="1061" t="s">
        <v>1437</v>
      </c>
      <c r="KV337" s="1061" t="s">
        <v>1438</v>
      </c>
      <c r="KW337" s="1061" t="s">
        <v>1439</v>
      </c>
      <c r="KX337" s="1061" t="s">
        <v>1440</v>
      </c>
      <c r="KY337" s="1061" t="s">
        <v>1441</v>
      </c>
      <c r="KZ337" s="1061" t="s">
        <v>1442</v>
      </c>
      <c r="LA337" s="1061" t="s">
        <v>1443</v>
      </c>
      <c r="LB337" s="1061" t="s">
        <v>1444</v>
      </c>
      <c r="LC337" s="1061" t="s">
        <v>1445</v>
      </c>
      <c r="LD337" s="1061" t="s">
        <v>1446</v>
      </c>
      <c r="LE337" s="1061" t="s">
        <v>1447</v>
      </c>
      <c r="LF337" s="1061" t="s">
        <v>1448</v>
      </c>
      <c r="LG337" s="1061" t="s">
        <v>1449</v>
      </c>
      <c r="LH337" s="1061" t="s">
        <v>1450</v>
      </c>
      <c r="LI337" s="1061" t="s">
        <v>1451</v>
      </c>
      <c r="LJ337" s="1061" t="s">
        <v>1452</v>
      </c>
      <c r="LK337" s="1061" t="s">
        <v>1453</v>
      </c>
      <c r="LL337" s="1061" t="s">
        <v>1454</v>
      </c>
      <c r="LM337" s="1061" t="s">
        <v>1455</v>
      </c>
      <c r="LN337" s="1061" t="s">
        <v>1456</v>
      </c>
      <c r="LO337" s="1061" t="s">
        <v>1457</v>
      </c>
      <c r="LP337" s="1061" t="s">
        <v>1458</v>
      </c>
      <c r="LQ337" s="1061" t="s">
        <v>1459</v>
      </c>
      <c r="LR337" s="1061" t="s">
        <v>1460</v>
      </c>
      <c r="LS337" s="1061" t="s">
        <v>1461</v>
      </c>
      <c r="LT337" s="1061" t="s">
        <v>1462</v>
      </c>
      <c r="LU337" s="1061" t="s">
        <v>1463</v>
      </c>
      <c r="LV337" s="1061" t="s">
        <v>1464</v>
      </c>
      <c r="LW337" s="1061" t="s">
        <v>1465</v>
      </c>
      <c r="LX337" s="1061" t="s">
        <v>1466</v>
      </c>
      <c r="LY337" s="1061" t="s">
        <v>1467</v>
      </c>
      <c r="LZ337" s="1061" t="s">
        <v>1468</v>
      </c>
      <c r="MA337" s="1061" t="s">
        <v>1469</v>
      </c>
      <c r="MB337" s="1061" t="s">
        <v>1470</v>
      </c>
      <c r="MC337" s="1061" t="s">
        <v>1471</v>
      </c>
      <c r="MD337" s="1061" t="s">
        <v>1472</v>
      </c>
      <c r="ME337" s="1061" t="s">
        <v>1473</v>
      </c>
      <c r="MF337" s="1061" t="s">
        <v>1474</v>
      </c>
      <c r="MG337" s="1061" t="s">
        <v>1475</v>
      </c>
      <c r="MH337" s="1061" t="s">
        <v>1476</v>
      </c>
      <c r="MI337" s="1061" t="s">
        <v>1477</v>
      </c>
      <c r="MJ337" s="1061" t="s">
        <v>1478</v>
      </c>
      <c r="MK337" s="1061" t="s">
        <v>1479</v>
      </c>
      <c r="ML337" s="1061" t="s">
        <v>1480</v>
      </c>
      <c r="MM337" s="1061" t="s">
        <v>1481</v>
      </c>
      <c r="MN337" s="1061" t="s">
        <v>1482</v>
      </c>
      <c r="MO337" s="1061" t="s">
        <v>1483</v>
      </c>
      <c r="MP337" s="1061" t="s">
        <v>1484</v>
      </c>
      <c r="MQ337" s="1061" t="s">
        <v>1485</v>
      </c>
      <c r="MR337" s="1061" t="s">
        <v>1486</v>
      </c>
      <c r="MS337" s="1061" t="s">
        <v>1487</v>
      </c>
      <c r="MT337" s="1061" t="s">
        <v>1488</v>
      </c>
      <c r="MU337" s="1061" t="s">
        <v>1489</v>
      </c>
      <c r="MV337" s="1061" t="s">
        <v>1490</v>
      </c>
      <c r="MW337" s="1061" t="s">
        <v>1491</v>
      </c>
      <c r="MX337" s="1061" t="s">
        <v>1492</v>
      </c>
      <c r="MY337" s="1061" t="s">
        <v>1493</v>
      </c>
      <c r="MZ337" s="1061" t="s">
        <v>1494</v>
      </c>
      <c r="NA337" s="1061" t="s">
        <v>1495</v>
      </c>
      <c r="NB337" s="1061" t="s">
        <v>1496</v>
      </c>
      <c r="NC337" s="1061" t="s">
        <v>1497</v>
      </c>
      <c r="ND337" s="1061" t="s">
        <v>1498</v>
      </c>
      <c r="NE337" s="1061" t="s">
        <v>1499</v>
      </c>
      <c r="NF337" s="1061" t="s">
        <v>1500</v>
      </c>
      <c r="NG337" s="1061" t="s">
        <v>1501</v>
      </c>
      <c r="NH337" s="1061" t="s">
        <v>1502</v>
      </c>
      <c r="NI337" s="1061" t="s">
        <v>1503</v>
      </c>
      <c r="NJ337" s="1061" t="s">
        <v>1504</v>
      </c>
      <c r="NK337" s="1061" t="s">
        <v>1505</v>
      </c>
      <c r="NL337" s="1061" t="s">
        <v>1506</v>
      </c>
      <c r="NM337" s="1061" t="s">
        <v>1507</v>
      </c>
      <c r="NN337" s="1061" t="s">
        <v>1508</v>
      </c>
      <c r="NO337" s="1061" t="s">
        <v>1509</v>
      </c>
      <c r="NP337" s="1061" t="s">
        <v>1510</v>
      </c>
      <c r="NQ337" s="1061" t="s">
        <v>1511</v>
      </c>
      <c r="NR337" s="1061" t="s">
        <v>1512</v>
      </c>
      <c r="NS337" s="1061" t="s">
        <v>1513</v>
      </c>
      <c r="NT337" s="1061" t="s">
        <v>1514</v>
      </c>
      <c r="NU337" s="1061" t="s">
        <v>1515</v>
      </c>
      <c r="NV337" s="1061" t="s">
        <v>1516</v>
      </c>
      <c r="NW337" s="1061" t="s">
        <v>1517</v>
      </c>
      <c r="NX337" s="1061" t="s">
        <v>1518</v>
      </c>
      <c r="NY337" s="1061" t="s">
        <v>1519</v>
      </c>
      <c r="NZ337" s="1061" t="s">
        <v>1520</v>
      </c>
      <c r="OA337" s="1061" t="s">
        <v>1521</v>
      </c>
      <c r="OB337" s="1061" t="s">
        <v>1522</v>
      </c>
      <c r="OC337" s="1061" t="s">
        <v>1523</v>
      </c>
      <c r="OD337" s="1061" t="s">
        <v>1524</v>
      </c>
      <c r="OE337" s="1061" t="s">
        <v>1525</v>
      </c>
      <c r="OF337" s="1061" t="s">
        <v>1526</v>
      </c>
      <c r="OG337" s="1061" t="s">
        <v>1527</v>
      </c>
      <c r="OH337" s="1061" t="s">
        <v>1528</v>
      </c>
      <c r="OI337" s="1061" t="s">
        <v>1529</v>
      </c>
      <c r="OJ337" s="1061" t="s">
        <v>1530</v>
      </c>
      <c r="OK337" s="1061" t="s">
        <v>1531</v>
      </c>
      <c r="OL337" s="1061" t="s">
        <v>1532</v>
      </c>
      <c r="OM337" s="1061" t="s">
        <v>1533</v>
      </c>
      <c r="ON337" s="1061" t="s">
        <v>1534</v>
      </c>
      <c r="OO337" s="1061" t="s">
        <v>1535</v>
      </c>
      <c r="OP337" s="1061" t="s">
        <v>1536</v>
      </c>
      <c r="OQ337" s="1061" t="s">
        <v>1537</v>
      </c>
      <c r="OR337" s="1061" t="s">
        <v>1538</v>
      </c>
      <c r="OS337" s="1061" t="s">
        <v>1539</v>
      </c>
      <c r="OT337" s="1061" t="s">
        <v>1540</v>
      </c>
      <c r="OU337" s="1061" t="s">
        <v>1541</v>
      </c>
      <c r="OV337" s="1061" t="s">
        <v>1542</v>
      </c>
      <c r="OW337" s="1061" t="s">
        <v>1543</v>
      </c>
      <c r="OX337" s="1061" t="s">
        <v>1544</v>
      </c>
      <c r="OY337" s="1061" t="s">
        <v>1545</v>
      </c>
      <c r="OZ337" s="1061" t="s">
        <v>1546</v>
      </c>
      <c r="PA337" s="1061" t="s">
        <v>1547</v>
      </c>
      <c r="PB337" s="1061" t="s">
        <v>1548</v>
      </c>
      <c r="PC337" s="1061" t="s">
        <v>1549</v>
      </c>
      <c r="PD337" s="1061" t="s">
        <v>1550</v>
      </c>
      <c r="PE337" s="1061" t="s">
        <v>1551</v>
      </c>
      <c r="PF337" s="1061" t="s">
        <v>1552</v>
      </c>
      <c r="PG337" s="1061" t="s">
        <v>1553</v>
      </c>
      <c r="PH337" s="1061" t="s">
        <v>1554</v>
      </c>
      <c r="PI337" s="1061" t="s">
        <v>1555</v>
      </c>
      <c r="PJ337" s="1061" t="s">
        <v>1556</v>
      </c>
      <c r="PK337" s="1061" t="s">
        <v>1557</v>
      </c>
      <c r="PL337" s="1061" t="s">
        <v>1558</v>
      </c>
      <c r="PM337" s="1061" t="s">
        <v>1559</v>
      </c>
      <c r="PN337" s="1061" t="s">
        <v>1560</v>
      </c>
      <c r="PO337" s="1061" t="s">
        <v>1561</v>
      </c>
      <c r="PP337" s="1061" t="s">
        <v>1562</v>
      </c>
      <c r="PQ337" s="1061" t="s">
        <v>1563</v>
      </c>
      <c r="PR337" s="1061" t="s">
        <v>1564</v>
      </c>
      <c r="PS337" s="1061" t="s">
        <v>1565</v>
      </c>
      <c r="PT337" s="1061" t="s">
        <v>1566</v>
      </c>
      <c r="PU337" s="1061" t="s">
        <v>1567</v>
      </c>
      <c r="PV337" s="1061" t="s">
        <v>1568</v>
      </c>
      <c r="PW337" s="1061" t="s">
        <v>1569</v>
      </c>
      <c r="PX337" s="1061" t="s">
        <v>1570</v>
      </c>
      <c r="PY337" s="1061" t="s">
        <v>1571</v>
      </c>
      <c r="PZ337" s="1061" t="s">
        <v>1572</v>
      </c>
      <c r="QA337" s="1061" t="s">
        <v>1573</v>
      </c>
      <c r="QB337" s="1061" t="s">
        <v>1574</v>
      </c>
      <c r="QC337" s="1061" t="s">
        <v>1575</v>
      </c>
      <c r="QD337" s="1061" t="s">
        <v>1576</v>
      </c>
      <c r="QE337" s="1061" t="s">
        <v>1577</v>
      </c>
      <c r="QF337" s="1061" t="s">
        <v>1578</v>
      </c>
      <c r="QG337" s="1061" t="s">
        <v>1579</v>
      </c>
      <c r="QH337" s="1061" t="s">
        <v>1580</v>
      </c>
      <c r="QI337" s="1061" t="s">
        <v>1581</v>
      </c>
      <c r="QJ337" s="1061" t="s">
        <v>1582</v>
      </c>
      <c r="QK337" s="1061" t="s">
        <v>1583</v>
      </c>
      <c r="QL337" s="1061" t="s">
        <v>1584</v>
      </c>
      <c r="QM337" s="1061" t="s">
        <v>1585</v>
      </c>
      <c r="QN337" s="1061" t="s">
        <v>1586</v>
      </c>
      <c r="QO337" s="1061" t="s">
        <v>1587</v>
      </c>
      <c r="QP337" s="1061" t="s">
        <v>1588</v>
      </c>
      <c r="QQ337" s="1061" t="s">
        <v>1589</v>
      </c>
      <c r="QR337" s="1061" t="s">
        <v>1590</v>
      </c>
      <c r="QS337" s="1061" t="s">
        <v>1591</v>
      </c>
      <c r="QT337" s="1061" t="s">
        <v>1592</v>
      </c>
      <c r="QU337" s="1061" t="s">
        <v>1593</v>
      </c>
      <c r="QV337" s="1061" t="s">
        <v>1594</v>
      </c>
      <c r="QW337" s="1061" t="s">
        <v>1595</v>
      </c>
      <c r="QX337" s="1061" t="s">
        <v>1596</v>
      </c>
      <c r="QY337" s="1061" t="s">
        <v>1597</v>
      </c>
      <c r="QZ337" s="1061" t="s">
        <v>1598</v>
      </c>
      <c r="RA337" s="1061" t="s">
        <v>1599</v>
      </c>
      <c r="RB337" s="1061" t="s">
        <v>1600</v>
      </c>
      <c r="RC337" s="1061" t="s">
        <v>1601</v>
      </c>
      <c r="RD337" s="1061" t="s">
        <v>1602</v>
      </c>
      <c r="RE337" s="1061" t="s">
        <v>1603</v>
      </c>
      <c r="RF337" s="1061" t="s">
        <v>1604</v>
      </c>
      <c r="RG337" s="1061" t="s">
        <v>1605</v>
      </c>
      <c r="RH337" s="1061" t="s">
        <v>1606</v>
      </c>
      <c r="RI337" s="1061" t="s">
        <v>1607</v>
      </c>
      <c r="RJ337" s="1061" t="s">
        <v>1608</v>
      </c>
      <c r="RK337" s="1061" t="s">
        <v>1609</v>
      </c>
      <c r="RL337" s="1061" t="s">
        <v>1610</v>
      </c>
      <c r="RM337" s="1061" t="s">
        <v>1611</v>
      </c>
      <c r="RN337" s="1061" t="s">
        <v>1612</v>
      </c>
      <c r="RO337" s="1061" t="s">
        <v>1613</v>
      </c>
      <c r="RP337" s="1061" t="s">
        <v>1614</v>
      </c>
      <c r="RQ337" s="1061" t="s">
        <v>1615</v>
      </c>
      <c r="RR337" s="1061" t="s">
        <v>1616</v>
      </c>
      <c r="RS337" s="1061" t="s">
        <v>1617</v>
      </c>
      <c r="RT337" s="1061" t="s">
        <v>1618</v>
      </c>
      <c r="RU337" s="1061" t="s">
        <v>1619</v>
      </c>
      <c r="RV337" s="1061" t="s">
        <v>1620</v>
      </c>
      <c r="RW337" s="1061" t="s">
        <v>1621</v>
      </c>
      <c r="RX337" s="1061" t="s">
        <v>1622</v>
      </c>
      <c r="RY337" s="1061" t="s">
        <v>1623</v>
      </c>
      <c r="RZ337" s="1061" t="s">
        <v>1624</v>
      </c>
      <c r="SA337" s="1061" t="s">
        <v>1625</v>
      </c>
      <c r="SB337" s="1061" t="s">
        <v>1626</v>
      </c>
      <c r="SC337" s="1061" t="s">
        <v>1627</v>
      </c>
      <c r="SD337" s="1061" t="s">
        <v>1628</v>
      </c>
      <c r="SE337" s="1061" t="s">
        <v>1629</v>
      </c>
      <c r="SF337" s="1061" t="s">
        <v>1630</v>
      </c>
      <c r="SG337" s="1061" t="s">
        <v>1631</v>
      </c>
      <c r="SH337" s="1061" t="s">
        <v>1632</v>
      </c>
      <c r="SI337" s="1061" t="s">
        <v>1633</v>
      </c>
      <c r="SJ337" s="1061" t="s">
        <v>1634</v>
      </c>
      <c r="SK337" s="1061" t="s">
        <v>1635</v>
      </c>
      <c r="SL337" s="1061" t="s">
        <v>1636</v>
      </c>
      <c r="SM337" s="1061" t="s">
        <v>1637</v>
      </c>
      <c r="SN337" s="1061" t="s">
        <v>1638</v>
      </c>
      <c r="SO337" s="1061" t="s">
        <v>1639</v>
      </c>
      <c r="SP337" s="1061" t="s">
        <v>1640</v>
      </c>
      <c r="SQ337" s="1061" t="s">
        <v>1641</v>
      </c>
      <c r="SR337" s="1061" t="s">
        <v>1642</v>
      </c>
      <c r="SS337" s="1061" t="s">
        <v>1643</v>
      </c>
      <c r="ST337" s="1061" t="s">
        <v>1644</v>
      </c>
      <c r="SU337" s="1061" t="s">
        <v>1645</v>
      </c>
      <c r="SV337" s="1061" t="s">
        <v>1646</v>
      </c>
      <c r="SW337" s="1061" t="s">
        <v>1647</v>
      </c>
      <c r="SX337" s="1061" t="s">
        <v>1648</v>
      </c>
      <c r="SY337" s="1061" t="s">
        <v>1649</v>
      </c>
      <c r="SZ337" s="1061" t="s">
        <v>1650</v>
      </c>
      <c r="TA337" s="1061" t="s">
        <v>1651</v>
      </c>
      <c r="TB337" s="1061" t="s">
        <v>1652</v>
      </c>
      <c r="TC337" s="1061" t="s">
        <v>1653</v>
      </c>
      <c r="TD337" s="1061" t="s">
        <v>1654</v>
      </c>
      <c r="TE337" s="1061" t="s">
        <v>1655</v>
      </c>
      <c r="TF337" s="1061" t="s">
        <v>1656</v>
      </c>
      <c r="TG337" s="1061" t="s">
        <v>1657</v>
      </c>
      <c r="TH337" s="1061" t="s">
        <v>1658</v>
      </c>
      <c r="TI337" s="1061" t="s">
        <v>1659</v>
      </c>
      <c r="TJ337" s="1061" t="s">
        <v>1660</v>
      </c>
      <c r="TK337" s="1061" t="s">
        <v>1661</v>
      </c>
      <c r="TL337" s="1061" t="s">
        <v>1662</v>
      </c>
      <c r="TM337" s="1061" t="s">
        <v>1663</v>
      </c>
      <c r="TN337" s="1061" t="s">
        <v>1664</v>
      </c>
      <c r="TO337" s="1061" t="s">
        <v>1665</v>
      </c>
      <c r="TP337" s="1061" t="s">
        <v>1666</v>
      </c>
      <c r="TQ337" s="1061" t="s">
        <v>1667</v>
      </c>
      <c r="TR337" s="1061" t="s">
        <v>1668</v>
      </c>
      <c r="TS337" s="1061" t="s">
        <v>1669</v>
      </c>
      <c r="TT337" s="1061" t="s">
        <v>1670</v>
      </c>
      <c r="TU337" s="1061" t="s">
        <v>1671</v>
      </c>
      <c r="TV337" s="1061" t="s">
        <v>1672</v>
      </c>
      <c r="TW337" s="1061" t="s">
        <v>1673</v>
      </c>
      <c r="TX337" s="1061" t="s">
        <v>1674</v>
      </c>
      <c r="TY337" s="1061" t="s">
        <v>1675</v>
      </c>
      <c r="TZ337" s="1061" t="s">
        <v>1676</v>
      </c>
      <c r="UA337" s="1061" t="s">
        <v>1677</v>
      </c>
      <c r="UB337" s="1061" t="s">
        <v>1678</v>
      </c>
      <c r="UC337" s="1061" t="s">
        <v>1679</v>
      </c>
      <c r="UD337" s="1061" t="s">
        <v>1680</v>
      </c>
      <c r="UE337" s="1061" t="s">
        <v>1681</v>
      </c>
      <c r="UF337" s="1061" t="s">
        <v>1682</v>
      </c>
      <c r="UG337" s="1061" t="s">
        <v>1683</v>
      </c>
      <c r="UH337" s="1061" t="s">
        <v>1684</v>
      </c>
      <c r="UI337" s="1061" t="s">
        <v>1685</v>
      </c>
      <c r="UJ337" s="1061" t="s">
        <v>1686</v>
      </c>
      <c r="UK337" s="1061" t="s">
        <v>1687</v>
      </c>
      <c r="UL337" s="1061" t="s">
        <v>1688</v>
      </c>
      <c r="UM337" s="1061" t="s">
        <v>1689</v>
      </c>
      <c r="UN337" s="1061" t="s">
        <v>1690</v>
      </c>
      <c r="UO337" s="1061" t="s">
        <v>1691</v>
      </c>
      <c r="UP337" s="1061" t="s">
        <v>1692</v>
      </c>
      <c r="UQ337" s="1061" t="s">
        <v>1693</v>
      </c>
      <c r="UR337" s="1061" t="s">
        <v>1694</v>
      </c>
      <c r="US337" s="1061" t="s">
        <v>1695</v>
      </c>
      <c r="UT337" s="1061" t="s">
        <v>1696</v>
      </c>
      <c r="UU337" s="1061" t="s">
        <v>1697</v>
      </c>
      <c r="UV337" s="1061" t="s">
        <v>1698</v>
      </c>
      <c r="UW337" s="1061" t="s">
        <v>1699</v>
      </c>
      <c r="UX337" s="1061" t="s">
        <v>1700</v>
      </c>
      <c r="UY337" s="1061" t="s">
        <v>1701</v>
      </c>
      <c r="UZ337" s="1061" t="s">
        <v>1702</v>
      </c>
      <c r="VA337" s="1061" t="s">
        <v>1703</v>
      </c>
      <c r="VB337" s="1061" t="s">
        <v>1704</v>
      </c>
      <c r="VC337" s="1061" t="s">
        <v>1705</v>
      </c>
      <c r="VD337" s="1061" t="s">
        <v>1706</v>
      </c>
      <c r="VE337" s="1061" t="s">
        <v>1707</v>
      </c>
      <c r="VF337" s="1061" t="s">
        <v>1708</v>
      </c>
      <c r="VG337" s="1061" t="s">
        <v>1709</v>
      </c>
      <c r="VH337" s="1061" t="s">
        <v>1710</v>
      </c>
      <c r="VI337" s="1061" t="s">
        <v>1711</v>
      </c>
      <c r="VJ337" s="1061" t="s">
        <v>1712</v>
      </c>
      <c r="VK337" s="1061" t="s">
        <v>1713</v>
      </c>
      <c r="VL337" s="1061" t="s">
        <v>1714</v>
      </c>
      <c r="VM337" s="1061" t="s">
        <v>1715</v>
      </c>
      <c r="VN337" s="1061" t="s">
        <v>1716</v>
      </c>
      <c r="VO337" s="1061" t="s">
        <v>1717</v>
      </c>
      <c r="VP337" s="1061" t="s">
        <v>1718</v>
      </c>
      <c r="VQ337" s="1061" t="s">
        <v>1719</v>
      </c>
      <c r="VR337" s="1061" t="s">
        <v>1720</v>
      </c>
      <c r="VS337" s="1061" t="s">
        <v>1721</v>
      </c>
      <c r="VT337" s="1061" t="s">
        <v>1722</v>
      </c>
      <c r="VU337" s="1061" t="s">
        <v>1723</v>
      </c>
      <c r="VV337" s="1061" t="s">
        <v>1724</v>
      </c>
      <c r="VW337" s="1061" t="s">
        <v>1725</v>
      </c>
      <c r="VX337" s="1061" t="s">
        <v>1726</v>
      </c>
      <c r="VY337" s="1061" t="s">
        <v>1727</v>
      </c>
      <c r="VZ337" s="1061" t="s">
        <v>1728</v>
      </c>
      <c r="WA337" s="1061" t="s">
        <v>1729</v>
      </c>
      <c r="WB337" s="1061" t="s">
        <v>1730</v>
      </c>
      <c r="WC337" s="1061" t="s">
        <v>1731</v>
      </c>
      <c r="WD337" s="1061" t="s">
        <v>1732</v>
      </c>
      <c r="WE337" s="1061" t="s">
        <v>1733</v>
      </c>
      <c r="WF337" s="1061" t="s">
        <v>1734</v>
      </c>
      <c r="WG337" s="1061" t="s">
        <v>1735</v>
      </c>
      <c r="WH337" s="1061" t="s">
        <v>1736</v>
      </c>
      <c r="WI337" s="1061" t="s">
        <v>1737</v>
      </c>
      <c r="WJ337" s="1061" t="s">
        <v>1738</v>
      </c>
      <c r="WK337" s="1061" t="s">
        <v>1739</v>
      </c>
      <c r="WL337" s="1061" t="s">
        <v>1740</v>
      </c>
      <c r="WM337" s="1061" t="s">
        <v>1741</v>
      </c>
      <c r="WN337" s="1061" t="s">
        <v>1742</v>
      </c>
      <c r="WO337" s="1061" t="s">
        <v>1743</v>
      </c>
      <c r="WP337" s="1061" t="s">
        <v>1744</v>
      </c>
      <c r="WQ337" s="1061" t="s">
        <v>1745</v>
      </c>
      <c r="WR337" s="1061" t="s">
        <v>1746</v>
      </c>
      <c r="WS337" s="1061" t="s">
        <v>1747</v>
      </c>
      <c r="WT337" s="1061" t="s">
        <v>1748</v>
      </c>
      <c r="WU337" s="1061" t="s">
        <v>1749</v>
      </c>
      <c r="WV337" s="1061" t="s">
        <v>1750</v>
      </c>
      <c r="WW337" s="1061" t="s">
        <v>1751</v>
      </c>
      <c r="WX337" s="1061" t="s">
        <v>1752</v>
      </c>
      <c r="WY337" s="1061" t="s">
        <v>1753</v>
      </c>
      <c r="WZ337" s="1061" t="s">
        <v>1754</v>
      </c>
      <c r="XA337" s="1061" t="s">
        <v>1755</v>
      </c>
      <c r="XB337" s="1061" t="s">
        <v>1756</v>
      </c>
      <c r="XC337" s="1061" t="s">
        <v>1757</v>
      </c>
      <c r="XD337" s="1061" t="s">
        <v>1758</v>
      </c>
      <c r="XE337" s="1061" t="s">
        <v>1759</v>
      </c>
      <c r="XF337" s="1061" t="s">
        <v>1760</v>
      </c>
      <c r="XG337" s="1061" t="s">
        <v>1761</v>
      </c>
      <c r="XH337" s="1061" t="s">
        <v>1762</v>
      </c>
      <c r="XI337" s="1061" t="s">
        <v>1763</v>
      </c>
      <c r="XJ337" s="1061" t="s">
        <v>1764</v>
      </c>
      <c r="XK337" s="1061" t="s">
        <v>1765</v>
      </c>
      <c r="XL337" s="1061" t="s">
        <v>1766</v>
      </c>
      <c r="XM337" s="1061" t="s">
        <v>1767</v>
      </c>
      <c r="XN337" s="1061" t="s">
        <v>1768</v>
      </c>
      <c r="XO337" s="1061" t="s">
        <v>1769</v>
      </c>
      <c r="XP337" s="1061" t="s">
        <v>1770</v>
      </c>
      <c r="XQ337" s="1061" t="s">
        <v>1771</v>
      </c>
      <c r="XR337" s="1061" t="s">
        <v>1772</v>
      </c>
      <c r="XS337" s="1061" t="s">
        <v>1773</v>
      </c>
      <c r="XT337" s="1061" t="s">
        <v>1774</v>
      </c>
      <c r="XU337" s="1061" t="s">
        <v>1775</v>
      </c>
      <c r="XV337" s="1061" t="s">
        <v>1776</v>
      </c>
      <c r="XW337" s="1061" t="s">
        <v>1777</v>
      </c>
      <c r="XX337" s="1061" t="s">
        <v>1778</v>
      </c>
      <c r="XY337" s="1061" t="s">
        <v>1779</v>
      </c>
      <c r="XZ337" s="1061" t="s">
        <v>1780</v>
      </c>
      <c r="YA337" s="1061" t="s">
        <v>1781</v>
      </c>
      <c r="YB337" s="1061" t="s">
        <v>1782</v>
      </c>
      <c r="YC337" s="1061" t="s">
        <v>1783</v>
      </c>
      <c r="YD337" s="1061" t="s">
        <v>1784</v>
      </c>
      <c r="YE337" s="1061" t="s">
        <v>1785</v>
      </c>
      <c r="YF337" s="1061" t="s">
        <v>1786</v>
      </c>
      <c r="YG337" s="1061" t="s">
        <v>1787</v>
      </c>
      <c r="YH337" s="1061" t="s">
        <v>1788</v>
      </c>
      <c r="YI337" s="1061" t="s">
        <v>1789</v>
      </c>
      <c r="YJ337" s="1061" t="s">
        <v>1790</v>
      </c>
      <c r="YK337" s="1061" t="s">
        <v>1791</v>
      </c>
      <c r="YL337" s="1061" t="s">
        <v>1792</v>
      </c>
      <c r="YM337" s="1061" t="s">
        <v>1793</v>
      </c>
      <c r="YN337" s="1061" t="s">
        <v>1794</v>
      </c>
      <c r="YO337" s="1061" t="s">
        <v>1795</v>
      </c>
      <c r="YP337" s="1061" t="s">
        <v>1796</v>
      </c>
      <c r="YQ337" s="1061" t="s">
        <v>1797</v>
      </c>
      <c r="YR337" s="1061" t="s">
        <v>1798</v>
      </c>
      <c r="YS337" s="1061" t="s">
        <v>1799</v>
      </c>
      <c r="YT337" s="1061" t="s">
        <v>1800</v>
      </c>
      <c r="YU337" s="1061" t="s">
        <v>1801</v>
      </c>
      <c r="YV337" s="1061" t="s">
        <v>1802</v>
      </c>
      <c r="YW337" s="1061" t="s">
        <v>1803</v>
      </c>
      <c r="YX337" s="1061" t="s">
        <v>1804</v>
      </c>
      <c r="YY337" s="1061" t="s">
        <v>1805</v>
      </c>
      <c r="YZ337" s="1061" t="s">
        <v>1806</v>
      </c>
      <c r="ZA337" s="1061" t="s">
        <v>1807</v>
      </c>
      <c r="ZB337" s="1061" t="s">
        <v>1808</v>
      </c>
      <c r="ZC337" s="1061" t="s">
        <v>1809</v>
      </c>
      <c r="ZD337" s="1061" t="s">
        <v>1810</v>
      </c>
      <c r="ZE337" s="1061" t="s">
        <v>1811</v>
      </c>
      <c r="ZF337" s="1061" t="s">
        <v>1812</v>
      </c>
      <c r="ZG337" s="1061" t="s">
        <v>1813</v>
      </c>
      <c r="ZH337" s="1061" t="s">
        <v>1814</v>
      </c>
      <c r="ZI337" s="1061" t="s">
        <v>1815</v>
      </c>
      <c r="ZJ337" s="1061" t="s">
        <v>1816</v>
      </c>
      <c r="ZK337" s="1061" t="s">
        <v>1817</v>
      </c>
      <c r="ZL337" s="1061" t="s">
        <v>1818</v>
      </c>
      <c r="ZM337" s="1061" t="s">
        <v>1819</v>
      </c>
      <c r="ZN337" s="1061" t="s">
        <v>1820</v>
      </c>
      <c r="ZO337" s="1061" t="s">
        <v>1821</v>
      </c>
      <c r="ZP337" s="1061" t="s">
        <v>1822</v>
      </c>
      <c r="ZQ337" s="1061" t="s">
        <v>1823</v>
      </c>
      <c r="ZR337" s="1061" t="s">
        <v>1824</v>
      </c>
      <c r="ZS337" s="1061" t="s">
        <v>1825</v>
      </c>
      <c r="ZT337" s="1061" t="s">
        <v>1826</v>
      </c>
      <c r="ZU337" s="1061" t="s">
        <v>1827</v>
      </c>
      <c r="ZV337" s="1061" t="s">
        <v>1828</v>
      </c>
      <c r="ZW337" s="1061" t="s">
        <v>1829</v>
      </c>
      <c r="ZX337" s="1061" t="s">
        <v>1830</v>
      </c>
      <c r="ZY337" s="1061" t="s">
        <v>1831</v>
      </c>
      <c r="ZZ337" s="1061" t="s">
        <v>1832</v>
      </c>
      <c r="AAA337" s="1061" t="s">
        <v>1833</v>
      </c>
      <c r="AAB337" s="1061" t="s">
        <v>1834</v>
      </c>
      <c r="AAC337" s="1061" t="s">
        <v>1835</v>
      </c>
      <c r="AAD337" s="1061" t="s">
        <v>1836</v>
      </c>
      <c r="AAE337" s="1061" t="s">
        <v>1837</v>
      </c>
      <c r="AAF337" s="1061" t="s">
        <v>1838</v>
      </c>
      <c r="AAG337" s="1061" t="s">
        <v>1839</v>
      </c>
      <c r="AAH337" s="1061" t="s">
        <v>1840</v>
      </c>
      <c r="AAI337" s="1061" t="s">
        <v>1841</v>
      </c>
      <c r="AAJ337" s="1061" t="s">
        <v>1842</v>
      </c>
      <c r="AAK337" s="1062"/>
    </row>
    <row r="338" spans="2:713" hidden="1">
      <c r="B338" s="1023" t="s">
        <v>1866</v>
      </c>
      <c r="C338" s="723"/>
      <c r="D338" s="999"/>
      <c r="E338" s="1078" t="s">
        <v>1884</v>
      </c>
      <c r="F338" s="1079"/>
      <c r="G338" s="1079" t="s">
        <v>68</v>
      </c>
      <c r="H338" s="1079"/>
      <c r="I338" s="1080" t="s">
        <v>1885</v>
      </c>
      <c r="J338" s="1080" t="s">
        <v>1886</v>
      </c>
      <c r="K338" s="1080" t="s">
        <v>1887</v>
      </c>
      <c r="L338" s="1080" t="s">
        <v>1888</v>
      </c>
      <c r="M338" s="1080" t="s">
        <v>1889</v>
      </c>
      <c r="N338" s="1080" t="s">
        <v>1890</v>
      </c>
      <c r="O338" s="1080" t="s">
        <v>1891</v>
      </c>
      <c r="P338" s="1080" t="s">
        <v>1892</v>
      </c>
      <c r="Q338" s="1080" t="s">
        <v>1893</v>
      </c>
      <c r="R338" s="1080" t="s">
        <v>1894</v>
      </c>
      <c r="S338" s="1080" t="s">
        <v>1895</v>
      </c>
      <c r="T338" s="1080" t="s">
        <v>1896</v>
      </c>
      <c r="U338" s="1080" t="s">
        <v>1897</v>
      </c>
      <c r="V338" s="1080" t="s">
        <v>1898</v>
      </c>
      <c r="W338" s="1080" t="s">
        <v>1899</v>
      </c>
      <c r="X338" s="1080" t="s">
        <v>1900</v>
      </c>
      <c r="Y338" s="1080" t="s">
        <v>1901</v>
      </c>
      <c r="Z338" s="1080" t="s">
        <v>1902</v>
      </c>
      <c r="AA338" s="1080" t="s">
        <v>1903</v>
      </c>
      <c r="AB338" s="1080" t="s">
        <v>1904</v>
      </c>
      <c r="AC338" s="1080" t="s">
        <v>1905</v>
      </c>
      <c r="AD338" s="1080" t="s">
        <v>1906</v>
      </c>
      <c r="AE338" s="1080" t="s">
        <v>1907</v>
      </c>
      <c r="AF338" s="1080" t="s">
        <v>1908</v>
      </c>
      <c r="AG338" s="1080" t="s">
        <v>1909</v>
      </c>
      <c r="AH338" s="1080" t="s">
        <v>1910</v>
      </c>
      <c r="AI338" s="1080" t="s">
        <v>1911</v>
      </c>
      <c r="AJ338" s="1080" t="s">
        <v>1912</v>
      </c>
      <c r="AK338" s="1080" t="s">
        <v>1913</v>
      </c>
      <c r="AL338" s="1080" t="s">
        <v>1914</v>
      </c>
      <c r="AM338" s="1080" t="s">
        <v>1915</v>
      </c>
      <c r="AN338" s="1080" t="s">
        <v>1916</v>
      </c>
      <c r="AO338" s="1080" t="s">
        <v>1917</v>
      </c>
      <c r="AP338" s="1080" t="s">
        <v>1918</v>
      </c>
      <c r="AQ338" s="1080" t="s">
        <v>1919</v>
      </c>
      <c r="AR338" s="1080" t="s">
        <v>1920</v>
      </c>
      <c r="AS338" s="1080" t="s">
        <v>1921</v>
      </c>
      <c r="AT338" s="1080" t="s">
        <v>1922</v>
      </c>
      <c r="AU338" s="1080" t="s">
        <v>1923</v>
      </c>
      <c r="AV338" s="1080" t="s">
        <v>1924</v>
      </c>
      <c r="AW338" s="1080" t="s">
        <v>1925</v>
      </c>
      <c r="AX338" s="1080" t="s">
        <v>1926</v>
      </c>
      <c r="AY338" s="1080" t="s">
        <v>1927</v>
      </c>
      <c r="AZ338" s="1080" t="s">
        <v>1928</v>
      </c>
      <c r="BA338" s="1080" t="s">
        <v>1929</v>
      </c>
      <c r="BB338" s="1080" t="s">
        <v>1930</v>
      </c>
      <c r="BC338" s="1080" t="s">
        <v>1931</v>
      </c>
      <c r="BD338" s="1080" t="s">
        <v>1932</v>
      </c>
      <c r="BE338" s="1080" t="s">
        <v>1933</v>
      </c>
      <c r="BF338" s="1080" t="s">
        <v>1934</v>
      </c>
      <c r="BG338" s="1080" t="s">
        <v>1935</v>
      </c>
      <c r="BH338" s="1080" t="s">
        <v>1936</v>
      </c>
      <c r="BI338" s="1080" t="s">
        <v>1937</v>
      </c>
      <c r="BJ338" s="1080" t="s">
        <v>1938</v>
      </c>
      <c r="BK338" s="1080" t="s">
        <v>1939</v>
      </c>
      <c r="BL338" s="1080" t="s">
        <v>1940</v>
      </c>
      <c r="BM338" s="1080" t="s">
        <v>1941</v>
      </c>
      <c r="BN338" s="1080" t="s">
        <v>1942</v>
      </c>
      <c r="BO338" s="1080" t="s">
        <v>1943</v>
      </c>
      <c r="BP338" s="1080" t="s">
        <v>1944</v>
      </c>
      <c r="BQ338" s="1080" t="s">
        <v>1945</v>
      </c>
      <c r="BR338" s="1080" t="s">
        <v>1946</v>
      </c>
      <c r="BS338" s="1080" t="s">
        <v>1947</v>
      </c>
      <c r="BT338" s="1080" t="s">
        <v>1948</v>
      </c>
      <c r="BU338" s="1080" t="s">
        <v>1949</v>
      </c>
      <c r="BV338" s="1080" t="s">
        <v>1950</v>
      </c>
      <c r="BW338" s="1080" t="s">
        <v>1951</v>
      </c>
      <c r="BX338" s="1080" t="s">
        <v>1952</v>
      </c>
      <c r="BY338" s="1080" t="s">
        <v>1953</v>
      </c>
      <c r="BZ338" s="1080" t="s">
        <v>1954</v>
      </c>
      <c r="CA338" s="1080" t="s">
        <v>1955</v>
      </c>
      <c r="CB338" s="1080" t="s">
        <v>1956</v>
      </c>
      <c r="CC338" s="1080" t="s">
        <v>1957</v>
      </c>
      <c r="CD338" s="1080" t="s">
        <v>1958</v>
      </c>
      <c r="CE338" s="1080" t="s">
        <v>1959</v>
      </c>
      <c r="CF338" s="1080" t="s">
        <v>1960</v>
      </c>
      <c r="CG338" s="1080" t="s">
        <v>1961</v>
      </c>
      <c r="CH338" s="1080" t="s">
        <v>1962</v>
      </c>
      <c r="CI338" s="1080" t="s">
        <v>1963</v>
      </c>
      <c r="CJ338" s="1080" t="s">
        <v>1964</v>
      </c>
      <c r="CK338" s="1080" t="s">
        <v>1965</v>
      </c>
      <c r="CL338" s="1080" t="s">
        <v>1966</v>
      </c>
      <c r="CM338" s="1080" t="s">
        <v>1967</v>
      </c>
      <c r="CN338" s="1080" t="s">
        <v>1968</v>
      </c>
      <c r="CO338" s="1080" t="s">
        <v>1969</v>
      </c>
      <c r="CP338" s="1080" t="s">
        <v>1970</v>
      </c>
      <c r="CQ338" s="1080" t="s">
        <v>1971</v>
      </c>
      <c r="CR338" s="1080" t="s">
        <v>1972</v>
      </c>
      <c r="CS338" s="1080" t="s">
        <v>1885</v>
      </c>
      <c r="CT338" s="1080" t="s">
        <v>1886</v>
      </c>
      <c r="CU338" s="1080" t="s">
        <v>1887</v>
      </c>
      <c r="CV338" s="1080" t="s">
        <v>1888</v>
      </c>
      <c r="CW338" s="1080" t="s">
        <v>1889</v>
      </c>
      <c r="CX338" s="1080" t="s">
        <v>1890</v>
      </c>
      <c r="CY338" s="1080" t="s">
        <v>1891</v>
      </c>
      <c r="CZ338" s="1080" t="s">
        <v>1892</v>
      </c>
      <c r="DA338" s="1080" t="s">
        <v>1893</v>
      </c>
      <c r="DB338" s="1080" t="s">
        <v>1894</v>
      </c>
      <c r="DC338" s="1080" t="s">
        <v>1895</v>
      </c>
      <c r="DD338" s="1080" t="s">
        <v>1896</v>
      </c>
      <c r="DE338" s="1080" t="s">
        <v>1897</v>
      </c>
      <c r="DF338" s="1080" t="s">
        <v>1898</v>
      </c>
      <c r="DG338" s="1080" t="s">
        <v>1899</v>
      </c>
      <c r="DH338" s="1080" t="s">
        <v>1900</v>
      </c>
      <c r="DI338" s="1080" t="s">
        <v>1901</v>
      </c>
      <c r="DJ338" s="1080" t="s">
        <v>1902</v>
      </c>
      <c r="DK338" s="1080" t="s">
        <v>1903</v>
      </c>
      <c r="DL338" s="1080" t="s">
        <v>1904</v>
      </c>
      <c r="DM338" s="1080" t="s">
        <v>1905</v>
      </c>
      <c r="DN338" s="1080" t="s">
        <v>1906</v>
      </c>
      <c r="DO338" s="1080" t="s">
        <v>1907</v>
      </c>
      <c r="DP338" s="1080" t="s">
        <v>1908</v>
      </c>
      <c r="DQ338" s="1080" t="s">
        <v>1909</v>
      </c>
      <c r="DR338" s="1080" t="s">
        <v>1910</v>
      </c>
      <c r="DS338" s="1080" t="s">
        <v>1911</v>
      </c>
      <c r="DT338" s="1080" t="s">
        <v>1912</v>
      </c>
      <c r="DU338" s="1080" t="s">
        <v>1913</v>
      </c>
      <c r="DV338" s="1080" t="s">
        <v>1914</v>
      </c>
      <c r="DW338" s="1080" t="s">
        <v>1915</v>
      </c>
      <c r="DX338" s="1080" t="s">
        <v>1916</v>
      </c>
      <c r="DY338" s="1080" t="s">
        <v>1917</v>
      </c>
      <c r="DZ338" s="1080" t="s">
        <v>1918</v>
      </c>
      <c r="EA338" s="1080" t="s">
        <v>1919</v>
      </c>
      <c r="EB338" s="1080" t="s">
        <v>1920</v>
      </c>
      <c r="EC338" s="1080" t="s">
        <v>1921</v>
      </c>
      <c r="ED338" s="1080" t="s">
        <v>1922</v>
      </c>
      <c r="EE338" s="1080" t="s">
        <v>1923</v>
      </c>
      <c r="EF338" s="1080" t="s">
        <v>1924</v>
      </c>
      <c r="EG338" s="1080" t="s">
        <v>1925</v>
      </c>
      <c r="EH338" s="1080" t="s">
        <v>1926</v>
      </c>
      <c r="EI338" s="1080" t="s">
        <v>1927</v>
      </c>
      <c r="EJ338" s="1080" t="s">
        <v>1928</v>
      </c>
      <c r="EK338" s="1080" t="s">
        <v>1929</v>
      </c>
      <c r="EL338" s="1080" t="s">
        <v>1930</v>
      </c>
      <c r="EM338" s="1080" t="s">
        <v>1931</v>
      </c>
      <c r="EN338" s="1080" t="s">
        <v>1932</v>
      </c>
      <c r="EO338" s="1080" t="s">
        <v>1933</v>
      </c>
      <c r="EP338" s="1080" t="s">
        <v>1934</v>
      </c>
      <c r="EQ338" s="1080" t="s">
        <v>1935</v>
      </c>
      <c r="ER338" s="1080" t="s">
        <v>1936</v>
      </c>
      <c r="ES338" s="1080" t="s">
        <v>1937</v>
      </c>
      <c r="ET338" s="1080" t="s">
        <v>1938</v>
      </c>
      <c r="EU338" s="1080" t="s">
        <v>1939</v>
      </c>
      <c r="EV338" s="1080" t="s">
        <v>1940</v>
      </c>
      <c r="EW338" s="1080" t="s">
        <v>1941</v>
      </c>
      <c r="EX338" s="1080" t="s">
        <v>1942</v>
      </c>
      <c r="EY338" s="1080" t="s">
        <v>1943</v>
      </c>
      <c r="EZ338" s="1080" t="s">
        <v>1944</v>
      </c>
      <c r="FA338" s="1080" t="s">
        <v>1945</v>
      </c>
      <c r="FB338" s="1080" t="s">
        <v>1946</v>
      </c>
      <c r="FC338" s="1080" t="s">
        <v>1947</v>
      </c>
      <c r="FD338" s="1080" t="s">
        <v>1948</v>
      </c>
      <c r="FE338" s="1080" t="s">
        <v>1949</v>
      </c>
      <c r="FF338" s="1080" t="s">
        <v>1950</v>
      </c>
      <c r="FG338" s="1080" t="s">
        <v>1951</v>
      </c>
      <c r="FH338" s="1080" t="s">
        <v>1952</v>
      </c>
      <c r="FI338" s="1080" t="s">
        <v>1953</v>
      </c>
      <c r="FJ338" s="1080" t="s">
        <v>1954</v>
      </c>
      <c r="FK338" s="1080" t="s">
        <v>1955</v>
      </c>
      <c r="FL338" s="1080" t="s">
        <v>1956</v>
      </c>
      <c r="FM338" s="1080" t="s">
        <v>1957</v>
      </c>
      <c r="FN338" s="1080" t="s">
        <v>1958</v>
      </c>
      <c r="FO338" s="1080" t="s">
        <v>1959</v>
      </c>
      <c r="FP338" s="1080" t="s">
        <v>1960</v>
      </c>
      <c r="FQ338" s="1080" t="s">
        <v>1961</v>
      </c>
      <c r="FR338" s="1080" t="s">
        <v>1962</v>
      </c>
      <c r="FS338" s="1080" t="s">
        <v>1963</v>
      </c>
      <c r="FT338" s="1080" t="s">
        <v>1964</v>
      </c>
      <c r="FU338" s="1080" t="s">
        <v>1965</v>
      </c>
      <c r="FV338" s="1080" t="s">
        <v>1966</v>
      </c>
      <c r="FW338" s="1080" t="s">
        <v>1967</v>
      </c>
      <c r="FX338" s="1080" t="s">
        <v>1968</v>
      </c>
      <c r="FY338" s="1080" t="s">
        <v>1969</v>
      </c>
      <c r="FZ338" s="1080" t="s">
        <v>1970</v>
      </c>
      <c r="GA338" s="1080" t="s">
        <v>1971</v>
      </c>
      <c r="GB338" s="1080" t="s">
        <v>1972</v>
      </c>
      <c r="GC338" s="1080" t="s">
        <v>1885</v>
      </c>
      <c r="GD338" s="1080" t="s">
        <v>1886</v>
      </c>
      <c r="GE338" s="1080" t="s">
        <v>1887</v>
      </c>
      <c r="GF338" s="1080" t="s">
        <v>1888</v>
      </c>
      <c r="GG338" s="1080" t="s">
        <v>1889</v>
      </c>
      <c r="GH338" s="1080" t="s">
        <v>1890</v>
      </c>
      <c r="GI338" s="1080" t="s">
        <v>1891</v>
      </c>
      <c r="GJ338" s="1080" t="s">
        <v>1892</v>
      </c>
      <c r="GK338" s="1080" t="s">
        <v>1893</v>
      </c>
      <c r="GL338" s="1080" t="s">
        <v>1894</v>
      </c>
      <c r="GM338" s="1080" t="s">
        <v>1895</v>
      </c>
      <c r="GN338" s="1080" t="s">
        <v>1896</v>
      </c>
      <c r="GO338" s="1080" t="s">
        <v>1897</v>
      </c>
      <c r="GP338" s="1080" t="s">
        <v>1898</v>
      </c>
      <c r="GQ338" s="1080" t="s">
        <v>1899</v>
      </c>
      <c r="GR338" s="1080" t="s">
        <v>1900</v>
      </c>
      <c r="GS338" s="1080" t="s">
        <v>1901</v>
      </c>
      <c r="GT338" s="1080" t="s">
        <v>1902</v>
      </c>
      <c r="GU338" s="1080" t="s">
        <v>1903</v>
      </c>
      <c r="GV338" s="1080" t="s">
        <v>1904</v>
      </c>
      <c r="GW338" s="1080" t="s">
        <v>1905</v>
      </c>
      <c r="GX338" s="1080" t="s">
        <v>1906</v>
      </c>
      <c r="GY338" s="1080" t="s">
        <v>1907</v>
      </c>
      <c r="GZ338" s="1080" t="s">
        <v>1908</v>
      </c>
      <c r="HA338" s="1080" t="s">
        <v>1909</v>
      </c>
      <c r="HB338" s="1080" t="s">
        <v>1910</v>
      </c>
      <c r="HC338" s="1080" t="s">
        <v>1911</v>
      </c>
      <c r="HD338" s="1080" t="s">
        <v>1912</v>
      </c>
      <c r="HE338" s="1080" t="s">
        <v>1913</v>
      </c>
      <c r="HF338" s="1080" t="s">
        <v>1914</v>
      </c>
      <c r="HG338" s="1080" t="s">
        <v>1915</v>
      </c>
      <c r="HH338" s="1080" t="s">
        <v>1916</v>
      </c>
      <c r="HI338" s="1080" t="s">
        <v>1917</v>
      </c>
      <c r="HJ338" s="1080" t="s">
        <v>1918</v>
      </c>
      <c r="HK338" s="1080" t="s">
        <v>1919</v>
      </c>
      <c r="HL338" s="1080" t="s">
        <v>1920</v>
      </c>
      <c r="HM338" s="1080" t="s">
        <v>1921</v>
      </c>
      <c r="HN338" s="1080" t="s">
        <v>1922</v>
      </c>
      <c r="HO338" s="1080" t="s">
        <v>1923</v>
      </c>
      <c r="HP338" s="1080" t="s">
        <v>1924</v>
      </c>
      <c r="HQ338" s="1080" t="s">
        <v>1925</v>
      </c>
      <c r="HR338" s="1080" t="s">
        <v>1926</v>
      </c>
      <c r="HS338" s="1080" t="s">
        <v>1927</v>
      </c>
      <c r="HT338" s="1080" t="s">
        <v>1928</v>
      </c>
      <c r="HU338" s="1080" t="s">
        <v>1929</v>
      </c>
      <c r="HV338" s="1080" t="s">
        <v>1930</v>
      </c>
      <c r="HW338" s="1080" t="s">
        <v>1931</v>
      </c>
      <c r="HX338" s="1080" t="s">
        <v>1932</v>
      </c>
      <c r="HY338" s="1080" t="s">
        <v>1933</v>
      </c>
      <c r="HZ338" s="1080" t="s">
        <v>1934</v>
      </c>
      <c r="IA338" s="1080" t="s">
        <v>1935</v>
      </c>
      <c r="IB338" s="1080" t="s">
        <v>1936</v>
      </c>
      <c r="IC338" s="1080" t="s">
        <v>1937</v>
      </c>
      <c r="ID338" s="1080" t="s">
        <v>1938</v>
      </c>
      <c r="IE338" s="1080" t="s">
        <v>1939</v>
      </c>
      <c r="IF338" s="1080" t="s">
        <v>1940</v>
      </c>
      <c r="IG338" s="1080" t="s">
        <v>1941</v>
      </c>
      <c r="IH338" s="1080" t="s">
        <v>1942</v>
      </c>
      <c r="II338" s="1080" t="s">
        <v>1943</v>
      </c>
      <c r="IJ338" s="1080" t="s">
        <v>1944</v>
      </c>
      <c r="IK338" s="1080" t="s">
        <v>1945</v>
      </c>
      <c r="IL338" s="1080" t="s">
        <v>1946</v>
      </c>
      <c r="IM338" s="1080" t="s">
        <v>1947</v>
      </c>
      <c r="IN338" s="1080" t="s">
        <v>1948</v>
      </c>
      <c r="IO338" s="1080" t="s">
        <v>1949</v>
      </c>
      <c r="IP338" s="1080" t="s">
        <v>1950</v>
      </c>
      <c r="IQ338" s="1080" t="s">
        <v>1951</v>
      </c>
      <c r="IR338" s="1080" t="s">
        <v>1952</v>
      </c>
      <c r="IS338" s="1080" t="s">
        <v>1953</v>
      </c>
      <c r="IT338" s="1080" t="s">
        <v>1954</v>
      </c>
      <c r="IU338" s="1080" t="s">
        <v>1955</v>
      </c>
      <c r="IV338" s="1080" t="s">
        <v>1956</v>
      </c>
      <c r="IW338" s="1080" t="s">
        <v>1957</v>
      </c>
      <c r="IX338" s="1080" t="s">
        <v>1958</v>
      </c>
      <c r="IY338" s="1080" t="s">
        <v>1959</v>
      </c>
      <c r="IZ338" s="1080" t="s">
        <v>1960</v>
      </c>
      <c r="JA338" s="1080" t="s">
        <v>1961</v>
      </c>
      <c r="JB338" s="1080" t="s">
        <v>1962</v>
      </c>
      <c r="JC338" s="1080" t="s">
        <v>1963</v>
      </c>
      <c r="JD338" s="1080" t="s">
        <v>1964</v>
      </c>
      <c r="JE338" s="1080" t="s">
        <v>1965</v>
      </c>
      <c r="JF338" s="1080" t="s">
        <v>1966</v>
      </c>
      <c r="JG338" s="1080" t="s">
        <v>1967</v>
      </c>
      <c r="JH338" s="1080" t="s">
        <v>1968</v>
      </c>
      <c r="JI338" s="1080" t="s">
        <v>1969</v>
      </c>
      <c r="JJ338" s="1080" t="s">
        <v>1970</v>
      </c>
      <c r="JK338" s="1080" t="s">
        <v>1971</v>
      </c>
      <c r="JL338" s="1080" t="s">
        <v>1972</v>
      </c>
      <c r="JM338" s="1080" t="s">
        <v>1885</v>
      </c>
      <c r="JN338" s="1080" t="s">
        <v>1886</v>
      </c>
      <c r="JO338" s="1080" t="s">
        <v>1887</v>
      </c>
      <c r="JP338" s="1080" t="s">
        <v>1888</v>
      </c>
      <c r="JQ338" s="1080" t="s">
        <v>1889</v>
      </c>
      <c r="JR338" s="1080" t="s">
        <v>1890</v>
      </c>
      <c r="JS338" s="1080" t="s">
        <v>1891</v>
      </c>
      <c r="JT338" s="1080" t="s">
        <v>1892</v>
      </c>
      <c r="JU338" s="1080" t="s">
        <v>1893</v>
      </c>
      <c r="JV338" s="1080" t="s">
        <v>1894</v>
      </c>
      <c r="JW338" s="1080" t="s">
        <v>1895</v>
      </c>
      <c r="JX338" s="1080" t="s">
        <v>1896</v>
      </c>
      <c r="JY338" s="1080" t="s">
        <v>1897</v>
      </c>
      <c r="JZ338" s="1080" t="s">
        <v>1898</v>
      </c>
      <c r="KA338" s="1080" t="s">
        <v>1899</v>
      </c>
      <c r="KB338" s="1080" t="s">
        <v>1900</v>
      </c>
      <c r="KC338" s="1080" t="s">
        <v>1901</v>
      </c>
      <c r="KD338" s="1080" t="s">
        <v>1902</v>
      </c>
      <c r="KE338" s="1080" t="s">
        <v>1903</v>
      </c>
      <c r="KF338" s="1080" t="s">
        <v>1904</v>
      </c>
      <c r="KG338" s="1080" t="s">
        <v>1905</v>
      </c>
      <c r="KH338" s="1080" t="s">
        <v>1906</v>
      </c>
      <c r="KI338" s="1080" t="s">
        <v>1907</v>
      </c>
      <c r="KJ338" s="1080" t="s">
        <v>1908</v>
      </c>
      <c r="KK338" s="1080" t="s">
        <v>1909</v>
      </c>
      <c r="KL338" s="1080" t="s">
        <v>1910</v>
      </c>
      <c r="KM338" s="1080" t="s">
        <v>1911</v>
      </c>
      <c r="KN338" s="1080" t="s">
        <v>1912</v>
      </c>
      <c r="KO338" s="1080" t="s">
        <v>1913</v>
      </c>
      <c r="KP338" s="1080" t="s">
        <v>1914</v>
      </c>
      <c r="KQ338" s="1080" t="s">
        <v>1915</v>
      </c>
      <c r="KR338" s="1080" t="s">
        <v>1916</v>
      </c>
      <c r="KS338" s="1080" t="s">
        <v>1917</v>
      </c>
      <c r="KT338" s="1080" t="s">
        <v>1918</v>
      </c>
      <c r="KU338" s="1080" t="s">
        <v>1919</v>
      </c>
      <c r="KV338" s="1080" t="s">
        <v>1920</v>
      </c>
      <c r="KW338" s="1080" t="s">
        <v>1921</v>
      </c>
      <c r="KX338" s="1080" t="s">
        <v>1922</v>
      </c>
      <c r="KY338" s="1080" t="s">
        <v>1923</v>
      </c>
      <c r="KZ338" s="1080" t="s">
        <v>1924</v>
      </c>
      <c r="LA338" s="1080" t="s">
        <v>1925</v>
      </c>
      <c r="LB338" s="1080" t="s">
        <v>1926</v>
      </c>
      <c r="LC338" s="1080" t="s">
        <v>1927</v>
      </c>
      <c r="LD338" s="1080" t="s">
        <v>1928</v>
      </c>
      <c r="LE338" s="1080" t="s">
        <v>1929</v>
      </c>
      <c r="LF338" s="1080" t="s">
        <v>1930</v>
      </c>
      <c r="LG338" s="1080" t="s">
        <v>1931</v>
      </c>
      <c r="LH338" s="1080" t="s">
        <v>1932</v>
      </c>
      <c r="LI338" s="1080" t="s">
        <v>1933</v>
      </c>
      <c r="LJ338" s="1080" t="s">
        <v>1934</v>
      </c>
      <c r="LK338" s="1080" t="s">
        <v>1935</v>
      </c>
      <c r="LL338" s="1080" t="s">
        <v>1936</v>
      </c>
      <c r="LM338" s="1080" t="s">
        <v>1937</v>
      </c>
      <c r="LN338" s="1080" t="s">
        <v>1938</v>
      </c>
      <c r="LO338" s="1080" t="s">
        <v>1939</v>
      </c>
      <c r="LP338" s="1080" t="s">
        <v>1940</v>
      </c>
      <c r="LQ338" s="1080" t="s">
        <v>1941</v>
      </c>
      <c r="LR338" s="1080" t="s">
        <v>1942</v>
      </c>
      <c r="LS338" s="1080" t="s">
        <v>1943</v>
      </c>
      <c r="LT338" s="1080" t="s">
        <v>1944</v>
      </c>
      <c r="LU338" s="1080" t="s">
        <v>1945</v>
      </c>
      <c r="LV338" s="1080" t="s">
        <v>1946</v>
      </c>
      <c r="LW338" s="1080" t="s">
        <v>1947</v>
      </c>
      <c r="LX338" s="1080" t="s">
        <v>1948</v>
      </c>
      <c r="LY338" s="1080" t="s">
        <v>1949</v>
      </c>
      <c r="LZ338" s="1080" t="s">
        <v>1950</v>
      </c>
      <c r="MA338" s="1080" t="s">
        <v>1951</v>
      </c>
      <c r="MB338" s="1080" t="s">
        <v>1952</v>
      </c>
      <c r="MC338" s="1080" t="s">
        <v>1953</v>
      </c>
      <c r="MD338" s="1080" t="s">
        <v>1954</v>
      </c>
      <c r="ME338" s="1080" t="s">
        <v>1955</v>
      </c>
      <c r="MF338" s="1080" t="s">
        <v>1956</v>
      </c>
      <c r="MG338" s="1080" t="s">
        <v>1957</v>
      </c>
      <c r="MH338" s="1080" t="s">
        <v>1958</v>
      </c>
      <c r="MI338" s="1080" t="s">
        <v>1959</v>
      </c>
      <c r="MJ338" s="1080" t="s">
        <v>1960</v>
      </c>
      <c r="MK338" s="1080" t="s">
        <v>1961</v>
      </c>
      <c r="ML338" s="1080" t="s">
        <v>1962</v>
      </c>
      <c r="MM338" s="1080" t="s">
        <v>1963</v>
      </c>
      <c r="MN338" s="1080" t="s">
        <v>1964</v>
      </c>
      <c r="MO338" s="1080" t="s">
        <v>1965</v>
      </c>
      <c r="MP338" s="1080" t="s">
        <v>1966</v>
      </c>
      <c r="MQ338" s="1080" t="s">
        <v>1967</v>
      </c>
      <c r="MR338" s="1080" t="s">
        <v>1968</v>
      </c>
      <c r="MS338" s="1080" t="s">
        <v>1969</v>
      </c>
      <c r="MT338" s="1080" t="s">
        <v>1970</v>
      </c>
      <c r="MU338" s="1080" t="s">
        <v>1971</v>
      </c>
      <c r="MV338" s="1080" t="s">
        <v>1972</v>
      </c>
      <c r="MW338" s="1080" t="s">
        <v>1885</v>
      </c>
      <c r="MX338" s="1080" t="s">
        <v>1886</v>
      </c>
      <c r="MY338" s="1080" t="s">
        <v>1887</v>
      </c>
      <c r="MZ338" s="1080" t="s">
        <v>1888</v>
      </c>
      <c r="NA338" s="1080" t="s">
        <v>1889</v>
      </c>
      <c r="NB338" s="1080" t="s">
        <v>1890</v>
      </c>
      <c r="NC338" s="1080" t="s">
        <v>1891</v>
      </c>
      <c r="ND338" s="1080" t="s">
        <v>1892</v>
      </c>
      <c r="NE338" s="1080" t="s">
        <v>1893</v>
      </c>
      <c r="NF338" s="1080" t="s">
        <v>1894</v>
      </c>
      <c r="NG338" s="1080" t="s">
        <v>1895</v>
      </c>
      <c r="NH338" s="1080" t="s">
        <v>1896</v>
      </c>
      <c r="NI338" s="1080" t="s">
        <v>1897</v>
      </c>
      <c r="NJ338" s="1080" t="s">
        <v>1898</v>
      </c>
      <c r="NK338" s="1080" t="s">
        <v>1899</v>
      </c>
      <c r="NL338" s="1080" t="s">
        <v>1900</v>
      </c>
      <c r="NM338" s="1080" t="s">
        <v>1901</v>
      </c>
      <c r="NN338" s="1080" t="s">
        <v>1902</v>
      </c>
      <c r="NO338" s="1080" t="s">
        <v>1903</v>
      </c>
      <c r="NP338" s="1080" t="s">
        <v>1904</v>
      </c>
      <c r="NQ338" s="1080" t="s">
        <v>1905</v>
      </c>
      <c r="NR338" s="1080" t="s">
        <v>1906</v>
      </c>
      <c r="NS338" s="1080" t="s">
        <v>1907</v>
      </c>
      <c r="NT338" s="1080" t="s">
        <v>1908</v>
      </c>
      <c r="NU338" s="1080" t="s">
        <v>1909</v>
      </c>
      <c r="NV338" s="1080" t="s">
        <v>1910</v>
      </c>
      <c r="NW338" s="1080" t="s">
        <v>1911</v>
      </c>
      <c r="NX338" s="1080" t="s">
        <v>1912</v>
      </c>
      <c r="NY338" s="1080" t="s">
        <v>1913</v>
      </c>
      <c r="NZ338" s="1080" t="s">
        <v>1914</v>
      </c>
      <c r="OA338" s="1080" t="s">
        <v>1915</v>
      </c>
      <c r="OB338" s="1080" t="s">
        <v>1916</v>
      </c>
      <c r="OC338" s="1080" t="s">
        <v>1917</v>
      </c>
      <c r="OD338" s="1080" t="s">
        <v>1918</v>
      </c>
      <c r="OE338" s="1080" t="s">
        <v>1919</v>
      </c>
      <c r="OF338" s="1080" t="s">
        <v>1920</v>
      </c>
      <c r="OG338" s="1080" t="s">
        <v>1921</v>
      </c>
      <c r="OH338" s="1080" t="s">
        <v>1922</v>
      </c>
      <c r="OI338" s="1080" t="s">
        <v>1923</v>
      </c>
      <c r="OJ338" s="1080" t="s">
        <v>1924</v>
      </c>
      <c r="OK338" s="1080" t="s">
        <v>1925</v>
      </c>
      <c r="OL338" s="1080" t="s">
        <v>1926</v>
      </c>
      <c r="OM338" s="1080" t="s">
        <v>1927</v>
      </c>
      <c r="ON338" s="1080" t="s">
        <v>1928</v>
      </c>
      <c r="OO338" s="1080" t="s">
        <v>1929</v>
      </c>
      <c r="OP338" s="1080" t="s">
        <v>1930</v>
      </c>
      <c r="OQ338" s="1080" t="s">
        <v>1931</v>
      </c>
      <c r="OR338" s="1080" t="s">
        <v>1932</v>
      </c>
      <c r="OS338" s="1080" t="s">
        <v>1933</v>
      </c>
      <c r="OT338" s="1080" t="s">
        <v>1934</v>
      </c>
      <c r="OU338" s="1080" t="s">
        <v>1935</v>
      </c>
      <c r="OV338" s="1080" t="s">
        <v>1936</v>
      </c>
      <c r="OW338" s="1080" t="s">
        <v>1937</v>
      </c>
      <c r="OX338" s="1080" t="s">
        <v>1938</v>
      </c>
      <c r="OY338" s="1080" t="s">
        <v>1939</v>
      </c>
      <c r="OZ338" s="1080" t="s">
        <v>1940</v>
      </c>
      <c r="PA338" s="1080" t="s">
        <v>1941</v>
      </c>
      <c r="PB338" s="1080" t="s">
        <v>1942</v>
      </c>
      <c r="PC338" s="1080" t="s">
        <v>1943</v>
      </c>
      <c r="PD338" s="1080" t="s">
        <v>1944</v>
      </c>
      <c r="PE338" s="1080" t="s">
        <v>1945</v>
      </c>
      <c r="PF338" s="1080" t="s">
        <v>1946</v>
      </c>
      <c r="PG338" s="1080" t="s">
        <v>1947</v>
      </c>
      <c r="PH338" s="1080" t="s">
        <v>1948</v>
      </c>
      <c r="PI338" s="1080" t="s">
        <v>1949</v>
      </c>
      <c r="PJ338" s="1080" t="s">
        <v>1950</v>
      </c>
      <c r="PK338" s="1080" t="s">
        <v>1951</v>
      </c>
      <c r="PL338" s="1080" t="s">
        <v>1952</v>
      </c>
      <c r="PM338" s="1080" t="s">
        <v>1953</v>
      </c>
      <c r="PN338" s="1080" t="s">
        <v>1954</v>
      </c>
      <c r="PO338" s="1080" t="s">
        <v>1955</v>
      </c>
      <c r="PP338" s="1080" t="s">
        <v>1956</v>
      </c>
      <c r="PQ338" s="1080" t="s">
        <v>1957</v>
      </c>
      <c r="PR338" s="1080" t="s">
        <v>1958</v>
      </c>
      <c r="PS338" s="1080" t="s">
        <v>1959</v>
      </c>
      <c r="PT338" s="1080" t="s">
        <v>1960</v>
      </c>
      <c r="PU338" s="1080" t="s">
        <v>1961</v>
      </c>
      <c r="PV338" s="1080" t="s">
        <v>1962</v>
      </c>
      <c r="PW338" s="1080" t="s">
        <v>1963</v>
      </c>
      <c r="PX338" s="1080" t="s">
        <v>1964</v>
      </c>
      <c r="PY338" s="1080" t="s">
        <v>1965</v>
      </c>
      <c r="PZ338" s="1080" t="s">
        <v>1966</v>
      </c>
      <c r="QA338" s="1080" t="s">
        <v>1967</v>
      </c>
      <c r="QB338" s="1080" t="s">
        <v>1968</v>
      </c>
      <c r="QC338" s="1080" t="s">
        <v>1969</v>
      </c>
      <c r="QD338" s="1080" t="s">
        <v>1970</v>
      </c>
      <c r="QE338" s="1080" t="s">
        <v>1971</v>
      </c>
      <c r="QF338" s="1080" t="s">
        <v>1972</v>
      </c>
      <c r="QG338" s="1080" t="s">
        <v>1885</v>
      </c>
      <c r="QH338" s="1080" t="s">
        <v>1886</v>
      </c>
      <c r="QI338" s="1080" t="s">
        <v>1887</v>
      </c>
      <c r="QJ338" s="1080" t="s">
        <v>1888</v>
      </c>
      <c r="QK338" s="1080" t="s">
        <v>1889</v>
      </c>
      <c r="QL338" s="1080" t="s">
        <v>1890</v>
      </c>
      <c r="QM338" s="1080" t="s">
        <v>1891</v>
      </c>
      <c r="QN338" s="1080" t="s">
        <v>1892</v>
      </c>
      <c r="QO338" s="1080" t="s">
        <v>1893</v>
      </c>
      <c r="QP338" s="1080" t="s">
        <v>1894</v>
      </c>
      <c r="QQ338" s="1080" t="s">
        <v>1895</v>
      </c>
      <c r="QR338" s="1080" t="s">
        <v>1896</v>
      </c>
      <c r="QS338" s="1080" t="s">
        <v>1897</v>
      </c>
      <c r="QT338" s="1080" t="s">
        <v>1898</v>
      </c>
      <c r="QU338" s="1080" t="s">
        <v>1899</v>
      </c>
      <c r="QV338" s="1080" t="s">
        <v>1900</v>
      </c>
      <c r="QW338" s="1080" t="s">
        <v>1901</v>
      </c>
      <c r="QX338" s="1080" t="s">
        <v>1902</v>
      </c>
      <c r="QY338" s="1080" t="s">
        <v>1903</v>
      </c>
      <c r="QZ338" s="1080" t="s">
        <v>1904</v>
      </c>
      <c r="RA338" s="1080" t="s">
        <v>1905</v>
      </c>
      <c r="RB338" s="1080" t="s">
        <v>1906</v>
      </c>
      <c r="RC338" s="1080" t="s">
        <v>1907</v>
      </c>
      <c r="RD338" s="1080" t="s">
        <v>1908</v>
      </c>
      <c r="RE338" s="1080" t="s">
        <v>1909</v>
      </c>
      <c r="RF338" s="1080" t="s">
        <v>1910</v>
      </c>
      <c r="RG338" s="1080" t="s">
        <v>1911</v>
      </c>
      <c r="RH338" s="1080" t="s">
        <v>1912</v>
      </c>
      <c r="RI338" s="1080" t="s">
        <v>1913</v>
      </c>
      <c r="RJ338" s="1080" t="s">
        <v>1914</v>
      </c>
      <c r="RK338" s="1080" t="s">
        <v>1915</v>
      </c>
      <c r="RL338" s="1080" t="s">
        <v>1916</v>
      </c>
      <c r="RM338" s="1080" t="s">
        <v>1917</v>
      </c>
      <c r="RN338" s="1080" t="s">
        <v>1918</v>
      </c>
      <c r="RO338" s="1080" t="s">
        <v>1919</v>
      </c>
      <c r="RP338" s="1080" t="s">
        <v>1920</v>
      </c>
      <c r="RQ338" s="1080" t="s">
        <v>1921</v>
      </c>
      <c r="RR338" s="1080" t="s">
        <v>1922</v>
      </c>
      <c r="RS338" s="1080" t="s">
        <v>1923</v>
      </c>
      <c r="RT338" s="1080" t="s">
        <v>1924</v>
      </c>
      <c r="RU338" s="1080" t="s">
        <v>1925</v>
      </c>
      <c r="RV338" s="1080" t="s">
        <v>1926</v>
      </c>
      <c r="RW338" s="1080" t="s">
        <v>1927</v>
      </c>
      <c r="RX338" s="1080" t="s">
        <v>1928</v>
      </c>
      <c r="RY338" s="1080" t="s">
        <v>1929</v>
      </c>
      <c r="RZ338" s="1080" t="s">
        <v>1930</v>
      </c>
      <c r="SA338" s="1080" t="s">
        <v>1931</v>
      </c>
      <c r="SB338" s="1080" t="s">
        <v>1932</v>
      </c>
      <c r="SC338" s="1080" t="s">
        <v>1933</v>
      </c>
      <c r="SD338" s="1080" t="s">
        <v>1934</v>
      </c>
      <c r="SE338" s="1080" t="s">
        <v>1935</v>
      </c>
      <c r="SF338" s="1080" t="s">
        <v>1936</v>
      </c>
      <c r="SG338" s="1080" t="s">
        <v>1937</v>
      </c>
      <c r="SH338" s="1080" t="s">
        <v>1938</v>
      </c>
      <c r="SI338" s="1080" t="s">
        <v>1939</v>
      </c>
      <c r="SJ338" s="1080" t="s">
        <v>1940</v>
      </c>
      <c r="SK338" s="1080" t="s">
        <v>1941</v>
      </c>
      <c r="SL338" s="1080" t="s">
        <v>1942</v>
      </c>
      <c r="SM338" s="1080" t="s">
        <v>1943</v>
      </c>
      <c r="SN338" s="1080" t="s">
        <v>1944</v>
      </c>
      <c r="SO338" s="1080" t="s">
        <v>1945</v>
      </c>
      <c r="SP338" s="1080" t="s">
        <v>1946</v>
      </c>
      <c r="SQ338" s="1080" t="s">
        <v>1947</v>
      </c>
      <c r="SR338" s="1080" t="s">
        <v>1948</v>
      </c>
      <c r="SS338" s="1080" t="s">
        <v>1949</v>
      </c>
      <c r="ST338" s="1080" t="s">
        <v>1950</v>
      </c>
      <c r="SU338" s="1080" t="s">
        <v>1951</v>
      </c>
      <c r="SV338" s="1080" t="s">
        <v>1952</v>
      </c>
      <c r="SW338" s="1080" t="s">
        <v>1953</v>
      </c>
      <c r="SX338" s="1080" t="s">
        <v>1954</v>
      </c>
      <c r="SY338" s="1080" t="s">
        <v>1955</v>
      </c>
      <c r="SZ338" s="1080" t="s">
        <v>1956</v>
      </c>
      <c r="TA338" s="1080" t="s">
        <v>1957</v>
      </c>
      <c r="TB338" s="1080" t="s">
        <v>1958</v>
      </c>
      <c r="TC338" s="1080" t="s">
        <v>1959</v>
      </c>
      <c r="TD338" s="1080" t="s">
        <v>1960</v>
      </c>
      <c r="TE338" s="1080" t="s">
        <v>1961</v>
      </c>
      <c r="TF338" s="1080" t="s">
        <v>1962</v>
      </c>
      <c r="TG338" s="1080" t="s">
        <v>1963</v>
      </c>
      <c r="TH338" s="1080" t="s">
        <v>1964</v>
      </c>
      <c r="TI338" s="1080" t="s">
        <v>1965</v>
      </c>
      <c r="TJ338" s="1080" t="s">
        <v>1966</v>
      </c>
      <c r="TK338" s="1080" t="s">
        <v>1967</v>
      </c>
      <c r="TL338" s="1080" t="s">
        <v>1968</v>
      </c>
      <c r="TM338" s="1080" t="s">
        <v>1969</v>
      </c>
      <c r="TN338" s="1080" t="s">
        <v>1970</v>
      </c>
      <c r="TO338" s="1080" t="s">
        <v>1971</v>
      </c>
      <c r="TP338" s="1080" t="s">
        <v>1972</v>
      </c>
      <c r="TQ338" s="1080" t="s">
        <v>1885</v>
      </c>
      <c r="TR338" s="1080" t="s">
        <v>1886</v>
      </c>
      <c r="TS338" s="1080" t="s">
        <v>1887</v>
      </c>
      <c r="TT338" s="1080" t="s">
        <v>1888</v>
      </c>
      <c r="TU338" s="1080" t="s">
        <v>1889</v>
      </c>
      <c r="TV338" s="1080" t="s">
        <v>1890</v>
      </c>
      <c r="TW338" s="1080" t="s">
        <v>1891</v>
      </c>
      <c r="TX338" s="1080" t="s">
        <v>1892</v>
      </c>
      <c r="TY338" s="1080" t="s">
        <v>1893</v>
      </c>
      <c r="TZ338" s="1080" t="s">
        <v>1894</v>
      </c>
      <c r="UA338" s="1080" t="s">
        <v>1895</v>
      </c>
      <c r="UB338" s="1080" t="s">
        <v>1896</v>
      </c>
      <c r="UC338" s="1080" t="s">
        <v>1897</v>
      </c>
      <c r="UD338" s="1080" t="s">
        <v>1898</v>
      </c>
      <c r="UE338" s="1080" t="s">
        <v>1899</v>
      </c>
      <c r="UF338" s="1080" t="s">
        <v>1900</v>
      </c>
      <c r="UG338" s="1080" t="s">
        <v>1901</v>
      </c>
      <c r="UH338" s="1080" t="s">
        <v>1902</v>
      </c>
      <c r="UI338" s="1080" t="s">
        <v>1903</v>
      </c>
      <c r="UJ338" s="1080" t="s">
        <v>1904</v>
      </c>
      <c r="UK338" s="1080" t="s">
        <v>1905</v>
      </c>
      <c r="UL338" s="1080" t="s">
        <v>1906</v>
      </c>
      <c r="UM338" s="1080" t="s">
        <v>1907</v>
      </c>
      <c r="UN338" s="1080" t="s">
        <v>1908</v>
      </c>
      <c r="UO338" s="1080" t="s">
        <v>1909</v>
      </c>
      <c r="UP338" s="1080" t="s">
        <v>1910</v>
      </c>
      <c r="UQ338" s="1080" t="s">
        <v>1911</v>
      </c>
      <c r="UR338" s="1080" t="s">
        <v>1912</v>
      </c>
      <c r="US338" s="1080" t="s">
        <v>1913</v>
      </c>
      <c r="UT338" s="1080" t="s">
        <v>1914</v>
      </c>
      <c r="UU338" s="1080" t="s">
        <v>1915</v>
      </c>
      <c r="UV338" s="1080" t="s">
        <v>1916</v>
      </c>
      <c r="UW338" s="1080" t="s">
        <v>1917</v>
      </c>
      <c r="UX338" s="1080" t="s">
        <v>1918</v>
      </c>
      <c r="UY338" s="1080" t="s">
        <v>1919</v>
      </c>
      <c r="UZ338" s="1080" t="s">
        <v>1920</v>
      </c>
      <c r="VA338" s="1080" t="s">
        <v>1921</v>
      </c>
      <c r="VB338" s="1080" t="s">
        <v>1922</v>
      </c>
      <c r="VC338" s="1080" t="s">
        <v>1923</v>
      </c>
      <c r="VD338" s="1080" t="s">
        <v>1924</v>
      </c>
      <c r="VE338" s="1080" t="s">
        <v>1925</v>
      </c>
      <c r="VF338" s="1080" t="s">
        <v>1926</v>
      </c>
      <c r="VG338" s="1080" t="s">
        <v>1927</v>
      </c>
      <c r="VH338" s="1080" t="s">
        <v>1928</v>
      </c>
      <c r="VI338" s="1080" t="s">
        <v>1929</v>
      </c>
      <c r="VJ338" s="1080" t="s">
        <v>1930</v>
      </c>
      <c r="VK338" s="1080" t="s">
        <v>1931</v>
      </c>
      <c r="VL338" s="1080" t="s">
        <v>1932</v>
      </c>
      <c r="VM338" s="1080" t="s">
        <v>1933</v>
      </c>
      <c r="VN338" s="1080" t="s">
        <v>1934</v>
      </c>
      <c r="VO338" s="1080" t="s">
        <v>1935</v>
      </c>
      <c r="VP338" s="1080" t="s">
        <v>1936</v>
      </c>
      <c r="VQ338" s="1080" t="s">
        <v>1937</v>
      </c>
      <c r="VR338" s="1080" t="s">
        <v>1938</v>
      </c>
      <c r="VS338" s="1080" t="s">
        <v>1939</v>
      </c>
      <c r="VT338" s="1080" t="s">
        <v>1940</v>
      </c>
      <c r="VU338" s="1080" t="s">
        <v>1941</v>
      </c>
      <c r="VV338" s="1080" t="s">
        <v>1942</v>
      </c>
      <c r="VW338" s="1080" t="s">
        <v>1943</v>
      </c>
      <c r="VX338" s="1080" t="s">
        <v>1944</v>
      </c>
      <c r="VY338" s="1080" t="s">
        <v>1945</v>
      </c>
      <c r="VZ338" s="1080" t="s">
        <v>1946</v>
      </c>
      <c r="WA338" s="1080" t="s">
        <v>1947</v>
      </c>
      <c r="WB338" s="1080" t="s">
        <v>1948</v>
      </c>
      <c r="WC338" s="1080" t="s">
        <v>1949</v>
      </c>
      <c r="WD338" s="1080" t="s">
        <v>1950</v>
      </c>
      <c r="WE338" s="1080" t="s">
        <v>1951</v>
      </c>
      <c r="WF338" s="1080" t="s">
        <v>1952</v>
      </c>
      <c r="WG338" s="1080" t="s">
        <v>1953</v>
      </c>
      <c r="WH338" s="1080" t="s">
        <v>1954</v>
      </c>
      <c r="WI338" s="1080" t="s">
        <v>1955</v>
      </c>
      <c r="WJ338" s="1080" t="s">
        <v>1956</v>
      </c>
      <c r="WK338" s="1080" t="s">
        <v>1957</v>
      </c>
      <c r="WL338" s="1080" t="s">
        <v>1958</v>
      </c>
      <c r="WM338" s="1080" t="s">
        <v>1959</v>
      </c>
      <c r="WN338" s="1080" t="s">
        <v>1960</v>
      </c>
      <c r="WO338" s="1080" t="s">
        <v>1961</v>
      </c>
      <c r="WP338" s="1080" t="s">
        <v>1962</v>
      </c>
      <c r="WQ338" s="1080" t="s">
        <v>1963</v>
      </c>
      <c r="WR338" s="1080" t="s">
        <v>1964</v>
      </c>
      <c r="WS338" s="1080" t="s">
        <v>1965</v>
      </c>
      <c r="WT338" s="1080" t="s">
        <v>1966</v>
      </c>
      <c r="WU338" s="1080" t="s">
        <v>1967</v>
      </c>
      <c r="WV338" s="1080" t="s">
        <v>1968</v>
      </c>
      <c r="WW338" s="1080" t="s">
        <v>1969</v>
      </c>
      <c r="WX338" s="1080" t="s">
        <v>1970</v>
      </c>
      <c r="WY338" s="1080" t="s">
        <v>1971</v>
      </c>
      <c r="WZ338" s="1080" t="s">
        <v>1972</v>
      </c>
      <c r="XA338" s="1080" t="s">
        <v>1885</v>
      </c>
      <c r="XB338" s="1080" t="s">
        <v>1886</v>
      </c>
      <c r="XC338" s="1080" t="s">
        <v>1887</v>
      </c>
      <c r="XD338" s="1080" t="s">
        <v>1888</v>
      </c>
      <c r="XE338" s="1080" t="s">
        <v>1889</v>
      </c>
      <c r="XF338" s="1080" t="s">
        <v>1890</v>
      </c>
      <c r="XG338" s="1080" t="s">
        <v>1891</v>
      </c>
      <c r="XH338" s="1080" t="s">
        <v>1892</v>
      </c>
      <c r="XI338" s="1080" t="s">
        <v>1893</v>
      </c>
      <c r="XJ338" s="1080" t="s">
        <v>1894</v>
      </c>
      <c r="XK338" s="1080" t="s">
        <v>1895</v>
      </c>
      <c r="XL338" s="1080" t="s">
        <v>1896</v>
      </c>
      <c r="XM338" s="1080" t="s">
        <v>1897</v>
      </c>
      <c r="XN338" s="1080" t="s">
        <v>1898</v>
      </c>
      <c r="XO338" s="1080" t="s">
        <v>1899</v>
      </c>
      <c r="XP338" s="1080" t="s">
        <v>1900</v>
      </c>
      <c r="XQ338" s="1080" t="s">
        <v>1901</v>
      </c>
      <c r="XR338" s="1080" t="s">
        <v>1902</v>
      </c>
      <c r="XS338" s="1080" t="s">
        <v>1903</v>
      </c>
      <c r="XT338" s="1080" t="s">
        <v>1904</v>
      </c>
      <c r="XU338" s="1080" t="s">
        <v>1905</v>
      </c>
      <c r="XV338" s="1080" t="s">
        <v>1906</v>
      </c>
      <c r="XW338" s="1080" t="s">
        <v>1907</v>
      </c>
      <c r="XX338" s="1080" t="s">
        <v>1908</v>
      </c>
      <c r="XY338" s="1080" t="s">
        <v>1909</v>
      </c>
      <c r="XZ338" s="1080" t="s">
        <v>1910</v>
      </c>
      <c r="YA338" s="1080" t="s">
        <v>1911</v>
      </c>
      <c r="YB338" s="1080" t="s">
        <v>1912</v>
      </c>
      <c r="YC338" s="1080" t="s">
        <v>1913</v>
      </c>
      <c r="YD338" s="1080" t="s">
        <v>1914</v>
      </c>
      <c r="YE338" s="1080" t="s">
        <v>1915</v>
      </c>
      <c r="YF338" s="1080" t="s">
        <v>1916</v>
      </c>
      <c r="YG338" s="1080" t="s">
        <v>1917</v>
      </c>
      <c r="YH338" s="1080" t="s">
        <v>1918</v>
      </c>
      <c r="YI338" s="1080" t="s">
        <v>1919</v>
      </c>
      <c r="YJ338" s="1080" t="s">
        <v>1920</v>
      </c>
      <c r="YK338" s="1080" t="s">
        <v>1921</v>
      </c>
      <c r="YL338" s="1080" t="s">
        <v>1922</v>
      </c>
      <c r="YM338" s="1080" t="s">
        <v>1923</v>
      </c>
      <c r="YN338" s="1080" t="s">
        <v>1924</v>
      </c>
      <c r="YO338" s="1080" t="s">
        <v>1925</v>
      </c>
      <c r="YP338" s="1080" t="s">
        <v>1926</v>
      </c>
      <c r="YQ338" s="1080" t="s">
        <v>1927</v>
      </c>
      <c r="YR338" s="1080" t="s">
        <v>1928</v>
      </c>
      <c r="YS338" s="1080" t="s">
        <v>1929</v>
      </c>
      <c r="YT338" s="1080" t="s">
        <v>1930</v>
      </c>
      <c r="YU338" s="1080" t="s">
        <v>1931</v>
      </c>
      <c r="YV338" s="1080" t="s">
        <v>1932</v>
      </c>
      <c r="YW338" s="1080" t="s">
        <v>1933</v>
      </c>
      <c r="YX338" s="1080" t="s">
        <v>1934</v>
      </c>
      <c r="YY338" s="1080" t="s">
        <v>1935</v>
      </c>
      <c r="YZ338" s="1080" t="s">
        <v>1936</v>
      </c>
      <c r="ZA338" s="1080" t="s">
        <v>1937</v>
      </c>
      <c r="ZB338" s="1080" t="s">
        <v>1938</v>
      </c>
      <c r="ZC338" s="1080" t="s">
        <v>1939</v>
      </c>
      <c r="ZD338" s="1080" t="s">
        <v>1940</v>
      </c>
      <c r="ZE338" s="1080" t="s">
        <v>1941</v>
      </c>
      <c r="ZF338" s="1080" t="s">
        <v>1942</v>
      </c>
      <c r="ZG338" s="1080" t="s">
        <v>1943</v>
      </c>
      <c r="ZH338" s="1080" t="s">
        <v>1944</v>
      </c>
      <c r="ZI338" s="1080" t="s">
        <v>1945</v>
      </c>
      <c r="ZJ338" s="1080" t="s">
        <v>1946</v>
      </c>
      <c r="ZK338" s="1080" t="s">
        <v>1947</v>
      </c>
      <c r="ZL338" s="1080" t="s">
        <v>1948</v>
      </c>
      <c r="ZM338" s="1080" t="s">
        <v>1949</v>
      </c>
      <c r="ZN338" s="1080" t="s">
        <v>1950</v>
      </c>
      <c r="ZO338" s="1080" t="s">
        <v>1951</v>
      </c>
      <c r="ZP338" s="1080" t="s">
        <v>1952</v>
      </c>
      <c r="ZQ338" s="1080" t="s">
        <v>1953</v>
      </c>
      <c r="ZR338" s="1080" t="s">
        <v>1954</v>
      </c>
      <c r="ZS338" s="1080" t="s">
        <v>1955</v>
      </c>
      <c r="ZT338" s="1080" t="s">
        <v>1956</v>
      </c>
      <c r="ZU338" s="1080" t="s">
        <v>1957</v>
      </c>
      <c r="ZV338" s="1080" t="s">
        <v>1958</v>
      </c>
      <c r="ZW338" s="1080" t="s">
        <v>1959</v>
      </c>
      <c r="ZX338" s="1080" t="s">
        <v>1960</v>
      </c>
      <c r="ZY338" s="1080" t="s">
        <v>1961</v>
      </c>
      <c r="ZZ338" s="1080" t="s">
        <v>1962</v>
      </c>
      <c r="AAA338" s="1080" t="s">
        <v>1963</v>
      </c>
      <c r="AAB338" s="1080" t="s">
        <v>1964</v>
      </c>
      <c r="AAC338" s="1080" t="s">
        <v>1965</v>
      </c>
      <c r="AAD338" s="1080" t="s">
        <v>1966</v>
      </c>
      <c r="AAE338" s="1080" t="s">
        <v>1967</v>
      </c>
      <c r="AAF338" s="1080" t="s">
        <v>1968</v>
      </c>
      <c r="AAG338" s="1080" t="s">
        <v>1969</v>
      </c>
      <c r="AAH338" s="1080" t="s">
        <v>1970</v>
      </c>
      <c r="AAI338" s="1080" t="s">
        <v>1971</v>
      </c>
      <c r="AAJ338" s="1080" t="s">
        <v>1972</v>
      </c>
      <c r="AAK338" s="1081"/>
    </row>
    <row r="339" spans="2:713" hidden="1">
      <c r="B339" s="1023" t="s">
        <v>1866</v>
      </c>
      <c r="C339" s="723"/>
      <c r="D339" s="999"/>
      <c r="E339" s="1068" t="s">
        <v>1878</v>
      </c>
      <c r="F339" s="534"/>
      <c r="G339" s="534" t="s">
        <v>68</v>
      </c>
      <c r="H339" s="534"/>
      <c r="I339" s="1047" t="s">
        <v>1843</v>
      </c>
      <c r="J339" s="1047" t="s">
        <v>1843</v>
      </c>
      <c r="K339" s="1047" t="s">
        <v>1843</v>
      </c>
      <c r="L339" s="1047" t="s">
        <v>1843</v>
      </c>
      <c r="M339" s="1047" t="s">
        <v>1843</v>
      </c>
      <c r="N339" s="1047" t="s">
        <v>1843</v>
      </c>
      <c r="O339" s="1047" t="s">
        <v>1843</v>
      </c>
      <c r="P339" s="1047" t="s">
        <v>1843</v>
      </c>
      <c r="Q339" s="1047" t="s">
        <v>1843</v>
      </c>
      <c r="R339" s="1047" t="s">
        <v>1843</v>
      </c>
      <c r="S339" s="1047" t="s">
        <v>1843</v>
      </c>
      <c r="T339" s="1047" t="s">
        <v>1843</v>
      </c>
      <c r="U339" s="1047" t="s">
        <v>1843</v>
      </c>
      <c r="V339" s="1047" t="s">
        <v>1843</v>
      </c>
      <c r="W339" s="1047" t="s">
        <v>1843</v>
      </c>
      <c r="X339" s="1047" t="s">
        <v>1843</v>
      </c>
      <c r="Y339" s="1047" t="s">
        <v>1843</v>
      </c>
      <c r="Z339" s="1047" t="s">
        <v>1843</v>
      </c>
      <c r="AA339" s="1047" t="s">
        <v>1843</v>
      </c>
      <c r="AB339" s="1047" t="s">
        <v>1843</v>
      </c>
      <c r="AC339" s="1047" t="s">
        <v>1843</v>
      </c>
      <c r="AD339" s="1047" t="s">
        <v>1843</v>
      </c>
      <c r="AE339" s="1047" t="s">
        <v>1843</v>
      </c>
      <c r="AF339" s="1047" t="s">
        <v>1843</v>
      </c>
      <c r="AG339" s="1047" t="s">
        <v>1843</v>
      </c>
      <c r="AH339" s="1047" t="s">
        <v>1843</v>
      </c>
      <c r="AI339" s="1047" t="s">
        <v>1843</v>
      </c>
      <c r="AJ339" s="1047" t="s">
        <v>1843</v>
      </c>
      <c r="AK339" s="1047" t="s">
        <v>1843</v>
      </c>
      <c r="AL339" s="1047" t="s">
        <v>1843</v>
      </c>
      <c r="AM339" s="1047" t="s">
        <v>1843</v>
      </c>
      <c r="AN339" s="1047" t="s">
        <v>1843</v>
      </c>
      <c r="AO339" s="1047" t="s">
        <v>1843</v>
      </c>
      <c r="AP339" s="1047" t="s">
        <v>1843</v>
      </c>
      <c r="AQ339" s="1047" t="s">
        <v>1843</v>
      </c>
      <c r="AR339" s="1047" t="s">
        <v>1843</v>
      </c>
      <c r="AS339" s="1047" t="s">
        <v>1843</v>
      </c>
      <c r="AT339" s="1047" t="s">
        <v>1843</v>
      </c>
      <c r="AU339" s="1047" t="s">
        <v>1843</v>
      </c>
      <c r="AV339" s="1047" t="s">
        <v>1843</v>
      </c>
      <c r="AW339" s="1047" t="s">
        <v>1843</v>
      </c>
      <c r="AX339" s="1047" t="s">
        <v>1843</v>
      </c>
      <c r="AY339" s="1047" t="s">
        <v>1843</v>
      </c>
      <c r="AZ339" s="1047" t="s">
        <v>1843</v>
      </c>
      <c r="BA339" s="1047" t="s">
        <v>1843</v>
      </c>
      <c r="BB339" s="1047" t="s">
        <v>1843</v>
      </c>
      <c r="BC339" s="1047" t="s">
        <v>1843</v>
      </c>
      <c r="BD339" s="1047" t="s">
        <v>1843</v>
      </c>
      <c r="BE339" s="1047" t="s">
        <v>1843</v>
      </c>
      <c r="BF339" s="1047" t="s">
        <v>1843</v>
      </c>
      <c r="BG339" s="1047" t="s">
        <v>1843</v>
      </c>
      <c r="BH339" s="1047" t="s">
        <v>1843</v>
      </c>
      <c r="BI339" s="1047" t="s">
        <v>1843</v>
      </c>
      <c r="BJ339" s="1047" t="s">
        <v>1843</v>
      </c>
      <c r="BK339" s="1047" t="s">
        <v>1843</v>
      </c>
      <c r="BL339" s="1047" t="s">
        <v>1843</v>
      </c>
      <c r="BM339" s="1047" t="s">
        <v>1843</v>
      </c>
      <c r="BN339" s="1047" t="s">
        <v>1843</v>
      </c>
      <c r="BO339" s="1047" t="s">
        <v>1843</v>
      </c>
      <c r="BP339" s="1047" t="s">
        <v>1843</v>
      </c>
      <c r="BQ339" s="1047" t="s">
        <v>1843</v>
      </c>
      <c r="BR339" s="1047" t="s">
        <v>1843</v>
      </c>
      <c r="BS339" s="1047" t="s">
        <v>1843</v>
      </c>
      <c r="BT339" s="1047" t="s">
        <v>1843</v>
      </c>
      <c r="BU339" s="1047" t="s">
        <v>1843</v>
      </c>
      <c r="BV339" s="1047" t="s">
        <v>1843</v>
      </c>
      <c r="BW339" s="1047" t="s">
        <v>1843</v>
      </c>
      <c r="BX339" s="1047" t="s">
        <v>1843</v>
      </c>
      <c r="BY339" s="1047" t="s">
        <v>1843</v>
      </c>
      <c r="BZ339" s="1047" t="s">
        <v>1843</v>
      </c>
      <c r="CA339" s="1047" t="s">
        <v>1843</v>
      </c>
      <c r="CB339" s="1047" t="s">
        <v>1843</v>
      </c>
      <c r="CC339" s="1047" t="s">
        <v>1843</v>
      </c>
      <c r="CD339" s="1047" t="s">
        <v>1843</v>
      </c>
      <c r="CE339" s="1047" t="s">
        <v>1843</v>
      </c>
      <c r="CF339" s="1047" t="s">
        <v>1843</v>
      </c>
      <c r="CG339" s="1047" t="s">
        <v>1843</v>
      </c>
      <c r="CH339" s="1047" t="s">
        <v>1843</v>
      </c>
      <c r="CI339" s="1047" t="s">
        <v>1843</v>
      </c>
      <c r="CJ339" s="1047" t="s">
        <v>1843</v>
      </c>
      <c r="CK339" s="1047" t="s">
        <v>1843</v>
      </c>
      <c r="CL339" s="1047" t="s">
        <v>1843</v>
      </c>
      <c r="CM339" s="1047" t="s">
        <v>1843</v>
      </c>
      <c r="CN339" s="1047" t="s">
        <v>1843</v>
      </c>
      <c r="CO339" s="1047" t="s">
        <v>1843</v>
      </c>
      <c r="CP339" s="1047" t="s">
        <v>1843</v>
      </c>
      <c r="CQ339" s="1047" t="s">
        <v>1843</v>
      </c>
      <c r="CR339" s="1047" t="s">
        <v>1843</v>
      </c>
      <c r="CS339" s="1047" t="s">
        <v>1844</v>
      </c>
      <c r="CT339" s="1047" t="s">
        <v>1844</v>
      </c>
      <c r="CU339" s="1047" t="s">
        <v>1844</v>
      </c>
      <c r="CV339" s="1047" t="s">
        <v>1844</v>
      </c>
      <c r="CW339" s="1047" t="s">
        <v>1844</v>
      </c>
      <c r="CX339" s="1047" t="s">
        <v>1844</v>
      </c>
      <c r="CY339" s="1047" t="s">
        <v>1844</v>
      </c>
      <c r="CZ339" s="1047" t="s">
        <v>1844</v>
      </c>
      <c r="DA339" s="1047" t="s">
        <v>1844</v>
      </c>
      <c r="DB339" s="1047" t="s">
        <v>1844</v>
      </c>
      <c r="DC339" s="1047" t="s">
        <v>1844</v>
      </c>
      <c r="DD339" s="1047" t="s">
        <v>1844</v>
      </c>
      <c r="DE339" s="1047" t="s">
        <v>1844</v>
      </c>
      <c r="DF339" s="1047" t="s">
        <v>1844</v>
      </c>
      <c r="DG339" s="1047" t="s">
        <v>1844</v>
      </c>
      <c r="DH339" s="1047" t="s">
        <v>1844</v>
      </c>
      <c r="DI339" s="1047" t="s">
        <v>1844</v>
      </c>
      <c r="DJ339" s="1047" t="s">
        <v>1844</v>
      </c>
      <c r="DK339" s="1047" t="s">
        <v>1844</v>
      </c>
      <c r="DL339" s="1047" t="s">
        <v>1844</v>
      </c>
      <c r="DM339" s="1047" t="s">
        <v>1844</v>
      </c>
      <c r="DN339" s="1047" t="s">
        <v>1844</v>
      </c>
      <c r="DO339" s="1047" t="s">
        <v>1844</v>
      </c>
      <c r="DP339" s="1047" t="s">
        <v>1844</v>
      </c>
      <c r="DQ339" s="1047" t="s">
        <v>1844</v>
      </c>
      <c r="DR339" s="1047" t="s">
        <v>1844</v>
      </c>
      <c r="DS339" s="1047" t="s">
        <v>1844</v>
      </c>
      <c r="DT339" s="1047" t="s">
        <v>1844</v>
      </c>
      <c r="DU339" s="1047" t="s">
        <v>1844</v>
      </c>
      <c r="DV339" s="1047" t="s">
        <v>1844</v>
      </c>
      <c r="DW339" s="1047" t="s">
        <v>1844</v>
      </c>
      <c r="DX339" s="1047" t="s">
        <v>1844</v>
      </c>
      <c r="DY339" s="1047" t="s">
        <v>1844</v>
      </c>
      <c r="DZ339" s="1047" t="s">
        <v>1844</v>
      </c>
      <c r="EA339" s="1047" t="s">
        <v>1844</v>
      </c>
      <c r="EB339" s="1047" t="s">
        <v>1844</v>
      </c>
      <c r="EC339" s="1047" t="s">
        <v>1844</v>
      </c>
      <c r="ED339" s="1047" t="s">
        <v>1844</v>
      </c>
      <c r="EE339" s="1047" t="s">
        <v>1844</v>
      </c>
      <c r="EF339" s="1047" t="s">
        <v>1844</v>
      </c>
      <c r="EG339" s="1047" t="s">
        <v>1844</v>
      </c>
      <c r="EH339" s="1047" t="s">
        <v>1844</v>
      </c>
      <c r="EI339" s="1047" t="s">
        <v>1844</v>
      </c>
      <c r="EJ339" s="1047" t="s">
        <v>1844</v>
      </c>
      <c r="EK339" s="1047" t="s">
        <v>1844</v>
      </c>
      <c r="EL339" s="1047" t="s">
        <v>1844</v>
      </c>
      <c r="EM339" s="1047" t="s">
        <v>1844</v>
      </c>
      <c r="EN339" s="1047" t="s">
        <v>1844</v>
      </c>
      <c r="EO339" s="1047" t="s">
        <v>1844</v>
      </c>
      <c r="EP339" s="1047" t="s">
        <v>1844</v>
      </c>
      <c r="EQ339" s="1047" t="s">
        <v>1844</v>
      </c>
      <c r="ER339" s="1047" t="s">
        <v>1844</v>
      </c>
      <c r="ES339" s="1047" t="s">
        <v>1844</v>
      </c>
      <c r="ET339" s="1047" t="s">
        <v>1844</v>
      </c>
      <c r="EU339" s="1047" t="s">
        <v>1844</v>
      </c>
      <c r="EV339" s="1047" t="s">
        <v>1844</v>
      </c>
      <c r="EW339" s="1047" t="s">
        <v>1844</v>
      </c>
      <c r="EX339" s="1047" t="s">
        <v>1844</v>
      </c>
      <c r="EY339" s="1047" t="s">
        <v>1844</v>
      </c>
      <c r="EZ339" s="1047" t="s">
        <v>1844</v>
      </c>
      <c r="FA339" s="1047" t="s">
        <v>1844</v>
      </c>
      <c r="FB339" s="1047" t="s">
        <v>1844</v>
      </c>
      <c r="FC339" s="1047" t="s">
        <v>1844</v>
      </c>
      <c r="FD339" s="1047" t="s">
        <v>1844</v>
      </c>
      <c r="FE339" s="1047" t="s">
        <v>1844</v>
      </c>
      <c r="FF339" s="1047" t="s">
        <v>1844</v>
      </c>
      <c r="FG339" s="1047" t="s">
        <v>1844</v>
      </c>
      <c r="FH339" s="1047" t="s">
        <v>1844</v>
      </c>
      <c r="FI339" s="1047" t="s">
        <v>1844</v>
      </c>
      <c r="FJ339" s="1047" t="s">
        <v>1844</v>
      </c>
      <c r="FK339" s="1047" t="s">
        <v>1844</v>
      </c>
      <c r="FL339" s="1047" t="s">
        <v>1844</v>
      </c>
      <c r="FM339" s="1047" t="s">
        <v>1844</v>
      </c>
      <c r="FN339" s="1047" t="s">
        <v>1844</v>
      </c>
      <c r="FO339" s="1047" t="s">
        <v>1844</v>
      </c>
      <c r="FP339" s="1047" t="s">
        <v>1844</v>
      </c>
      <c r="FQ339" s="1047" t="s">
        <v>1844</v>
      </c>
      <c r="FR339" s="1047" t="s">
        <v>1844</v>
      </c>
      <c r="FS339" s="1047" t="s">
        <v>1844</v>
      </c>
      <c r="FT339" s="1047" t="s">
        <v>1844</v>
      </c>
      <c r="FU339" s="1047" t="s">
        <v>1844</v>
      </c>
      <c r="FV339" s="1047" t="s">
        <v>1844</v>
      </c>
      <c r="FW339" s="1047" t="s">
        <v>1844</v>
      </c>
      <c r="FX339" s="1047" t="s">
        <v>1844</v>
      </c>
      <c r="FY339" s="1047" t="s">
        <v>1844</v>
      </c>
      <c r="FZ339" s="1047" t="s">
        <v>1844</v>
      </c>
      <c r="GA339" s="1047" t="s">
        <v>1844</v>
      </c>
      <c r="GB339" s="1047" t="s">
        <v>1844</v>
      </c>
      <c r="GC339" s="1047" t="s">
        <v>1845</v>
      </c>
      <c r="GD339" s="1047" t="s">
        <v>1845</v>
      </c>
      <c r="GE339" s="1047" t="s">
        <v>1845</v>
      </c>
      <c r="GF339" s="1047" t="s">
        <v>1845</v>
      </c>
      <c r="GG339" s="1047" t="s">
        <v>1845</v>
      </c>
      <c r="GH339" s="1047" t="s">
        <v>1845</v>
      </c>
      <c r="GI339" s="1047" t="s">
        <v>1845</v>
      </c>
      <c r="GJ339" s="1047" t="s">
        <v>1845</v>
      </c>
      <c r="GK339" s="1047" t="s">
        <v>1845</v>
      </c>
      <c r="GL339" s="1047" t="s">
        <v>1845</v>
      </c>
      <c r="GM339" s="1047" t="s">
        <v>1845</v>
      </c>
      <c r="GN339" s="1047" t="s">
        <v>1845</v>
      </c>
      <c r="GO339" s="1047" t="s">
        <v>1845</v>
      </c>
      <c r="GP339" s="1047" t="s">
        <v>1845</v>
      </c>
      <c r="GQ339" s="1047" t="s">
        <v>1845</v>
      </c>
      <c r="GR339" s="1047" t="s">
        <v>1845</v>
      </c>
      <c r="GS339" s="1047" t="s">
        <v>1845</v>
      </c>
      <c r="GT339" s="1047" t="s">
        <v>1845</v>
      </c>
      <c r="GU339" s="1047" t="s">
        <v>1845</v>
      </c>
      <c r="GV339" s="1047" t="s">
        <v>1845</v>
      </c>
      <c r="GW339" s="1047" t="s">
        <v>1845</v>
      </c>
      <c r="GX339" s="1047" t="s">
        <v>1845</v>
      </c>
      <c r="GY339" s="1047" t="s">
        <v>1845</v>
      </c>
      <c r="GZ339" s="1047" t="s">
        <v>1845</v>
      </c>
      <c r="HA339" s="1047" t="s">
        <v>1845</v>
      </c>
      <c r="HB339" s="1047" t="s">
        <v>1845</v>
      </c>
      <c r="HC339" s="1047" t="s">
        <v>1845</v>
      </c>
      <c r="HD339" s="1047" t="s">
        <v>1845</v>
      </c>
      <c r="HE339" s="1047" t="s">
        <v>1845</v>
      </c>
      <c r="HF339" s="1047" t="s">
        <v>1845</v>
      </c>
      <c r="HG339" s="1047" t="s">
        <v>1845</v>
      </c>
      <c r="HH339" s="1047" t="s">
        <v>1845</v>
      </c>
      <c r="HI339" s="1047" t="s">
        <v>1845</v>
      </c>
      <c r="HJ339" s="1047" t="s">
        <v>1845</v>
      </c>
      <c r="HK339" s="1047" t="s">
        <v>1845</v>
      </c>
      <c r="HL339" s="1047" t="s">
        <v>1845</v>
      </c>
      <c r="HM339" s="1047" t="s">
        <v>1845</v>
      </c>
      <c r="HN339" s="1047" t="s">
        <v>1845</v>
      </c>
      <c r="HO339" s="1047" t="s">
        <v>1845</v>
      </c>
      <c r="HP339" s="1047" t="s">
        <v>1845</v>
      </c>
      <c r="HQ339" s="1047" t="s">
        <v>1845</v>
      </c>
      <c r="HR339" s="1047" t="s">
        <v>1845</v>
      </c>
      <c r="HS339" s="1047" t="s">
        <v>1845</v>
      </c>
      <c r="HT339" s="1047" t="s">
        <v>1845</v>
      </c>
      <c r="HU339" s="1047" t="s">
        <v>1845</v>
      </c>
      <c r="HV339" s="1047" t="s">
        <v>1845</v>
      </c>
      <c r="HW339" s="1047" t="s">
        <v>1845</v>
      </c>
      <c r="HX339" s="1047" t="s">
        <v>1845</v>
      </c>
      <c r="HY339" s="1047" t="s">
        <v>1845</v>
      </c>
      <c r="HZ339" s="1047" t="s">
        <v>1845</v>
      </c>
      <c r="IA339" s="1047" t="s">
        <v>1845</v>
      </c>
      <c r="IB339" s="1047" t="s">
        <v>1845</v>
      </c>
      <c r="IC339" s="1047" t="s">
        <v>1845</v>
      </c>
      <c r="ID339" s="1047" t="s">
        <v>1845</v>
      </c>
      <c r="IE339" s="1047" t="s">
        <v>1845</v>
      </c>
      <c r="IF339" s="1047" t="s">
        <v>1845</v>
      </c>
      <c r="IG339" s="1047" t="s">
        <v>1845</v>
      </c>
      <c r="IH339" s="1047" t="s">
        <v>1845</v>
      </c>
      <c r="II339" s="1047" t="s">
        <v>1845</v>
      </c>
      <c r="IJ339" s="1047" t="s">
        <v>1845</v>
      </c>
      <c r="IK339" s="1047" t="s">
        <v>1845</v>
      </c>
      <c r="IL339" s="1047" t="s">
        <v>1845</v>
      </c>
      <c r="IM339" s="1047" t="s">
        <v>1845</v>
      </c>
      <c r="IN339" s="1047" t="s">
        <v>1845</v>
      </c>
      <c r="IO339" s="1047" t="s">
        <v>1845</v>
      </c>
      <c r="IP339" s="1047" t="s">
        <v>1845</v>
      </c>
      <c r="IQ339" s="1047" t="s">
        <v>1845</v>
      </c>
      <c r="IR339" s="1047" t="s">
        <v>1845</v>
      </c>
      <c r="IS339" s="1047" t="s">
        <v>1845</v>
      </c>
      <c r="IT339" s="1047" t="s">
        <v>1845</v>
      </c>
      <c r="IU339" s="1047" t="s">
        <v>1845</v>
      </c>
      <c r="IV339" s="1047" t="s">
        <v>1845</v>
      </c>
      <c r="IW339" s="1047" t="s">
        <v>1845</v>
      </c>
      <c r="IX339" s="1047" t="s">
        <v>1845</v>
      </c>
      <c r="IY339" s="1047" t="s">
        <v>1845</v>
      </c>
      <c r="IZ339" s="1047" t="s">
        <v>1845</v>
      </c>
      <c r="JA339" s="1047" t="s">
        <v>1845</v>
      </c>
      <c r="JB339" s="1047" t="s">
        <v>1845</v>
      </c>
      <c r="JC339" s="1047" t="s">
        <v>1845</v>
      </c>
      <c r="JD339" s="1047" t="s">
        <v>1845</v>
      </c>
      <c r="JE339" s="1047" t="s">
        <v>1845</v>
      </c>
      <c r="JF339" s="1047" t="s">
        <v>1845</v>
      </c>
      <c r="JG339" s="1047" t="s">
        <v>1845</v>
      </c>
      <c r="JH339" s="1047" t="s">
        <v>1845</v>
      </c>
      <c r="JI339" s="1047" t="s">
        <v>1845</v>
      </c>
      <c r="JJ339" s="1047" t="s">
        <v>1845</v>
      </c>
      <c r="JK339" s="1047" t="s">
        <v>1845</v>
      </c>
      <c r="JL339" s="1047" t="s">
        <v>1845</v>
      </c>
      <c r="JM339" s="1047" t="s">
        <v>1846</v>
      </c>
      <c r="JN339" s="1047" t="s">
        <v>1846</v>
      </c>
      <c r="JO339" s="1047" t="s">
        <v>1846</v>
      </c>
      <c r="JP339" s="1047" t="s">
        <v>1846</v>
      </c>
      <c r="JQ339" s="1047" t="s">
        <v>1846</v>
      </c>
      <c r="JR339" s="1047" t="s">
        <v>1846</v>
      </c>
      <c r="JS339" s="1047" t="s">
        <v>1846</v>
      </c>
      <c r="JT339" s="1047" t="s">
        <v>1846</v>
      </c>
      <c r="JU339" s="1047" t="s">
        <v>1846</v>
      </c>
      <c r="JV339" s="1047" t="s">
        <v>1846</v>
      </c>
      <c r="JW339" s="1047" t="s">
        <v>1846</v>
      </c>
      <c r="JX339" s="1047" t="s">
        <v>1846</v>
      </c>
      <c r="JY339" s="1047" t="s">
        <v>1846</v>
      </c>
      <c r="JZ339" s="1047" t="s">
        <v>1846</v>
      </c>
      <c r="KA339" s="1047" t="s">
        <v>1846</v>
      </c>
      <c r="KB339" s="1047" t="s">
        <v>1846</v>
      </c>
      <c r="KC339" s="1047" t="s">
        <v>1846</v>
      </c>
      <c r="KD339" s="1047" t="s">
        <v>1846</v>
      </c>
      <c r="KE339" s="1047" t="s">
        <v>1846</v>
      </c>
      <c r="KF339" s="1047" t="s">
        <v>1846</v>
      </c>
      <c r="KG339" s="1047" t="s">
        <v>1846</v>
      </c>
      <c r="KH339" s="1047" t="s">
        <v>1846</v>
      </c>
      <c r="KI339" s="1047" t="s">
        <v>1846</v>
      </c>
      <c r="KJ339" s="1047" t="s">
        <v>1846</v>
      </c>
      <c r="KK339" s="1047" t="s">
        <v>1846</v>
      </c>
      <c r="KL339" s="1047" t="s">
        <v>1846</v>
      </c>
      <c r="KM339" s="1047" t="s">
        <v>1846</v>
      </c>
      <c r="KN339" s="1047" t="s">
        <v>1846</v>
      </c>
      <c r="KO339" s="1047" t="s">
        <v>1846</v>
      </c>
      <c r="KP339" s="1047" t="s">
        <v>1846</v>
      </c>
      <c r="KQ339" s="1047" t="s">
        <v>1846</v>
      </c>
      <c r="KR339" s="1047" t="s">
        <v>1846</v>
      </c>
      <c r="KS339" s="1047" t="s">
        <v>1846</v>
      </c>
      <c r="KT339" s="1047" t="s">
        <v>1846</v>
      </c>
      <c r="KU339" s="1047" t="s">
        <v>1846</v>
      </c>
      <c r="KV339" s="1047" t="s">
        <v>1846</v>
      </c>
      <c r="KW339" s="1047" t="s">
        <v>1846</v>
      </c>
      <c r="KX339" s="1047" t="s">
        <v>1846</v>
      </c>
      <c r="KY339" s="1047" t="s">
        <v>1846</v>
      </c>
      <c r="KZ339" s="1047" t="s">
        <v>1846</v>
      </c>
      <c r="LA339" s="1047" t="s">
        <v>1846</v>
      </c>
      <c r="LB339" s="1047" t="s">
        <v>1846</v>
      </c>
      <c r="LC339" s="1047" t="s">
        <v>1846</v>
      </c>
      <c r="LD339" s="1047" t="s">
        <v>1846</v>
      </c>
      <c r="LE339" s="1047" t="s">
        <v>1846</v>
      </c>
      <c r="LF339" s="1047" t="s">
        <v>1846</v>
      </c>
      <c r="LG339" s="1047" t="s">
        <v>1846</v>
      </c>
      <c r="LH339" s="1047" t="s">
        <v>1846</v>
      </c>
      <c r="LI339" s="1047" t="s">
        <v>1846</v>
      </c>
      <c r="LJ339" s="1047" t="s">
        <v>1846</v>
      </c>
      <c r="LK339" s="1047" t="s">
        <v>1846</v>
      </c>
      <c r="LL339" s="1047" t="s">
        <v>1846</v>
      </c>
      <c r="LM339" s="1047" t="s">
        <v>1846</v>
      </c>
      <c r="LN339" s="1047" t="s">
        <v>1846</v>
      </c>
      <c r="LO339" s="1047" t="s">
        <v>1846</v>
      </c>
      <c r="LP339" s="1047" t="s">
        <v>1846</v>
      </c>
      <c r="LQ339" s="1047" t="s">
        <v>1846</v>
      </c>
      <c r="LR339" s="1047" t="s">
        <v>1846</v>
      </c>
      <c r="LS339" s="1047" t="s">
        <v>1846</v>
      </c>
      <c r="LT339" s="1047" t="s">
        <v>1846</v>
      </c>
      <c r="LU339" s="1047" t="s">
        <v>1846</v>
      </c>
      <c r="LV339" s="1047" t="s">
        <v>1846</v>
      </c>
      <c r="LW339" s="1047" t="s">
        <v>1846</v>
      </c>
      <c r="LX339" s="1047" t="s">
        <v>1846</v>
      </c>
      <c r="LY339" s="1047" t="s">
        <v>1846</v>
      </c>
      <c r="LZ339" s="1047" t="s">
        <v>1846</v>
      </c>
      <c r="MA339" s="1047" t="s">
        <v>1846</v>
      </c>
      <c r="MB339" s="1047" t="s">
        <v>1846</v>
      </c>
      <c r="MC339" s="1047" t="s">
        <v>1846</v>
      </c>
      <c r="MD339" s="1047" t="s">
        <v>1846</v>
      </c>
      <c r="ME339" s="1047" t="s">
        <v>1846</v>
      </c>
      <c r="MF339" s="1047" t="s">
        <v>1846</v>
      </c>
      <c r="MG339" s="1047" t="s">
        <v>1846</v>
      </c>
      <c r="MH339" s="1047" t="s">
        <v>1846</v>
      </c>
      <c r="MI339" s="1047" t="s">
        <v>1846</v>
      </c>
      <c r="MJ339" s="1047" t="s">
        <v>1846</v>
      </c>
      <c r="MK339" s="1047" t="s">
        <v>1846</v>
      </c>
      <c r="ML339" s="1047" t="s">
        <v>1846</v>
      </c>
      <c r="MM339" s="1047" t="s">
        <v>1846</v>
      </c>
      <c r="MN339" s="1047" t="s">
        <v>1846</v>
      </c>
      <c r="MO339" s="1047" t="s">
        <v>1846</v>
      </c>
      <c r="MP339" s="1047" t="s">
        <v>1846</v>
      </c>
      <c r="MQ339" s="1047" t="s">
        <v>1846</v>
      </c>
      <c r="MR339" s="1047" t="s">
        <v>1846</v>
      </c>
      <c r="MS339" s="1047" t="s">
        <v>1846</v>
      </c>
      <c r="MT339" s="1047" t="s">
        <v>1846</v>
      </c>
      <c r="MU339" s="1047" t="s">
        <v>1846</v>
      </c>
      <c r="MV339" s="1047" t="s">
        <v>1846</v>
      </c>
      <c r="MW339" s="1047" t="s">
        <v>1843</v>
      </c>
      <c r="MX339" s="1047" t="s">
        <v>1843</v>
      </c>
      <c r="MY339" s="1047" t="s">
        <v>1843</v>
      </c>
      <c r="MZ339" s="1047" t="s">
        <v>1843</v>
      </c>
      <c r="NA339" s="1047" t="s">
        <v>1843</v>
      </c>
      <c r="NB339" s="1047" t="s">
        <v>1843</v>
      </c>
      <c r="NC339" s="1047" t="s">
        <v>1843</v>
      </c>
      <c r="ND339" s="1047" t="s">
        <v>1843</v>
      </c>
      <c r="NE339" s="1047" t="s">
        <v>1843</v>
      </c>
      <c r="NF339" s="1047" t="s">
        <v>1843</v>
      </c>
      <c r="NG339" s="1047" t="s">
        <v>1843</v>
      </c>
      <c r="NH339" s="1047" t="s">
        <v>1843</v>
      </c>
      <c r="NI339" s="1047" t="s">
        <v>1843</v>
      </c>
      <c r="NJ339" s="1047" t="s">
        <v>1843</v>
      </c>
      <c r="NK339" s="1047" t="s">
        <v>1843</v>
      </c>
      <c r="NL339" s="1047" t="s">
        <v>1843</v>
      </c>
      <c r="NM339" s="1047" t="s">
        <v>1843</v>
      </c>
      <c r="NN339" s="1047" t="s">
        <v>1843</v>
      </c>
      <c r="NO339" s="1047" t="s">
        <v>1843</v>
      </c>
      <c r="NP339" s="1047" t="s">
        <v>1843</v>
      </c>
      <c r="NQ339" s="1047" t="s">
        <v>1843</v>
      </c>
      <c r="NR339" s="1047" t="s">
        <v>1843</v>
      </c>
      <c r="NS339" s="1047" t="s">
        <v>1843</v>
      </c>
      <c r="NT339" s="1047" t="s">
        <v>1843</v>
      </c>
      <c r="NU339" s="1047" t="s">
        <v>1843</v>
      </c>
      <c r="NV339" s="1047" t="s">
        <v>1843</v>
      </c>
      <c r="NW339" s="1047" t="s">
        <v>1843</v>
      </c>
      <c r="NX339" s="1047" t="s">
        <v>1843</v>
      </c>
      <c r="NY339" s="1047" t="s">
        <v>1843</v>
      </c>
      <c r="NZ339" s="1047" t="s">
        <v>1843</v>
      </c>
      <c r="OA339" s="1047" t="s">
        <v>1843</v>
      </c>
      <c r="OB339" s="1047" t="s">
        <v>1843</v>
      </c>
      <c r="OC339" s="1047" t="s">
        <v>1843</v>
      </c>
      <c r="OD339" s="1047" t="s">
        <v>1843</v>
      </c>
      <c r="OE339" s="1047" t="s">
        <v>1843</v>
      </c>
      <c r="OF339" s="1047" t="s">
        <v>1843</v>
      </c>
      <c r="OG339" s="1047" t="s">
        <v>1843</v>
      </c>
      <c r="OH339" s="1047" t="s">
        <v>1843</v>
      </c>
      <c r="OI339" s="1047" t="s">
        <v>1843</v>
      </c>
      <c r="OJ339" s="1047" t="s">
        <v>1843</v>
      </c>
      <c r="OK339" s="1047" t="s">
        <v>1843</v>
      </c>
      <c r="OL339" s="1047" t="s">
        <v>1843</v>
      </c>
      <c r="OM339" s="1047" t="s">
        <v>1843</v>
      </c>
      <c r="ON339" s="1047" t="s">
        <v>1843</v>
      </c>
      <c r="OO339" s="1047" t="s">
        <v>1843</v>
      </c>
      <c r="OP339" s="1047" t="s">
        <v>1843</v>
      </c>
      <c r="OQ339" s="1047" t="s">
        <v>1843</v>
      </c>
      <c r="OR339" s="1047" t="s">
        <v>1843</v>
      </c>
      <c r="OS339" s="1047" t="s">
        <v>1843</v>
      </c>
      <c r="OT339" s="1047" t="s">
        <v>1843</v>
      </c>
      <c r="OU339" s="1047" t="s">
        <v>1843</v>
      </c>
      <c r="OV339" s="1047" t="s">
        <v>1843</v>
      </c>
      <c r="OW339" s="1047" t="s">
        <v>1843</v>
      </c>
      <c r="OX339" s="1047" t="s">
        <v>1843</v>
      </c>
      <c r="OY339" s="1047" t="s">
        <v>1843</v>
      </c>
      <c r="OZ339" s="1047" t="s">
        <v>1843</v>
      </c>
      <c r="PA339" s="1047" t="s">
        <v>1843</v>
      </c>
      <c r="PB339" s="1047" t="s">
        <v>1843</v>
      </c>
      <c r="PC339" s="1047" t="s">
        <v>1843</v>
      </c>
      <c r="PD339" s="1047" t="s">
        <v>1843</v>
      </c>
      <c r="PE339" s="1047" t="s">
        <v>1843</v>
      </c>
      <c r="PF339" s="1047" t="s">
        <v>1843</v>
      </c>
      <c r="PG339" s="1047" t="s">
        <v>1843</v>
      </c>
      <c r="PH339" s="1047" t="s">
        <v>1843</v>
      </c>
      <c r="PI339" s="1047" t="s">
        <v>1843</v>
      </c>
      <c r="PJ339" s="1047" t="s">
        <v>1843</v>
      </c>
      <c r="PK339" s="1047" t="s">
        <v>1843</v>
      </c>
      <c r="PL339" s="1047" t="s">
        <v>1843</v>
      </c>
      <c r="PM339" s="1047" t="s">
        <v>1843</v>
      </c>
      <c r="PN339" s="1047" t="s">
        <v>1843</v>
      </c>
      <c r="PO339" s="1047" t="s">
        <v>1843</v>
      </c>
      <c r="PP339" s="1047" t="s">
        <v>1843</v>
      </c>
      <c r="PQ339" s="1047" t="s">
        <v>1843</v>
      </c>
      <c r="PR339" s="1047" t="s">
        <v>1843</v>
      </c>
      <c r="PS339" s="1047" t="s">
        <v>1843</v>
      </c>
      <c r="PT339" s="1047" t="s">
        <v>1843</v>
      </c>
      <c r="PU339" s="1047" t="s">
        <v>1843</v>
      </c>
      <c r="PV339" s="1047" t="s">
        <v>1843</v>
      </c>
      <c r="PW339" s="1047" t="s">
        <v>1843</v>
      </c>
      <c r="PX339" s="1047" t="s">
        <v>1843</v>
      </c>
      <c r="PY339" s="1047" t="s">
        <v>1843</v>
      </c>
      <c r="PZ339" s="1047" t="s">
        <v>1843</v>
      </c>
      <c r="QA339" s="1047" t="s">
        <v>1843</v>
      </c>
      <c r="QB339" s="1047" t="s">
        <v>1843</v>
      </c>
      <c r="QC339" s="1047" t="s">
        <v>1843</v>
      </c>
      <c r="QD339" s="1047" t="s">
        <v>1843</v>
      </c>
      <c r="QE339" s="1047" t="s">
        <v>1843</v>
      </c>
      <c r="QF339" s="1047" t="s">
        <v>1843</v>
      </c>
      <c r="QG339" s="1047" t="s">
        <v>1844</v>
      </c>
      <c r="QH339" s="1047" t="s">
        <v>1844</v>
      </c>
      <c r="QI339" s="1047" t="s">
        <v>1844</v>
      </c>
      <c r="QJ339" s="1047" t="s">
        <v>1844</v>
      </c>
      <c r="QK339" s="1047" t="s">
        <v>1844</v>
      </c>
      <c r="QL339" s="1047" t="s">
        <v>1844</v>
      </c>
      <c r="QM339" s="1047" t="s">
        <v>1844</v>
      </c>
      <c r="QN339" s="1047" t="s">
        <v>1844</v>
      </c>
      <c r="QO339" s="1047" t="s">
        <v>1844</v>
      </c>
      <c r="QP339" s="1047" t="s">
        <v>1844</v>
      </c>
      <c r="QQ339" s="1047" t="s">
        <v>1844</v>
      </c>
      <c r="QR339" s="1047" t="s">
        <v>1844</v>
      </c>
      <c r="QS339" s="1047" t="s">
        <v>1844</v>
      </c>
      <c r="QT339" s="1047" t="s">
        <v>1844</v>
      </c>
      <c r="QU339" s="1047" t="s">
        <v>1844</v>
      </c>
      <c r="QV339" s="1047" t="s">
        <v>1844</v>
      </c>
      <c r="QW339" s="1047" t="s">
        <v>1844</v>
      </c>
      <c r="QX339" s="1047" t="s">
        <v>1844</v>
      </c>
      <c r="QY339" s="1047" t="s">
        <v>1844</v>
      </c>
      <c r="QZ339" s="1047" t="s">
        <v>1844</v>
      </c>
      <c r="RA339" s="1047" t="s">
        <v>1844</v>
      </c>
      <c r="RB339" s="1047" t="s">
        <v>1844</v>
      </c>
      <c r="RC339" s="1047" t="s">
        <v>1844</v>
      </c>
      <c r="RD339" s="1047" t="s">
        <v>1844</v>
      </c>
      <c r="RE339" s="1047" t="s">
        <v>1844</v>
      </c>
      <c r="RF339" s="1047" t="s">
        <v>1844</v>
      </c>
      <c r="RG339" s="1047" t="s">
        <v>1844</v>
      </c>
      <c r="RH339" s="1047" t="s">
        <v>1844</v>
      </c>
      <c r="RI339" s="1047" t="s">
        <v>1844</v>
      </c>
      <c r="RJ339" s="1047" t="s">
        <v>1844</v>
      </c>
      <c r="RK339" s="1047" t="s">
        <v>1844</v>
      </c>
      <c r="RL339" s="1047" t="s">
        <v>1844</v>
      </c>
      <c r="RM339" s="1047" t="s">
        <v>1844</v>
      </c>
      <c r="RN339" s="1047" t="s">
        <v>1844</v>
      </c>
      <c r="RO339" s="1047" t="s">
        <v>1844</v>
      </c>
      <c r="RP339" s="1047" t="s">
        <v>1844</v>
      </c>
      <c r="RQ339" s="1047" t="s">
        <v>1844</v>
      </c>
      <c r="RR339" s="1047" t="s">
        <v>1844</v>
      </c>
      <c r="RS339" s="1047" t="s">
        <v>1844</v>
      </c>
      <c r="RT339" s="1047" t="s">
        <v>1844</v>
      </c>
      <c r="RU339" s="1047" t="s">
        <v>1844</v>
      </c>
      <c r="RV339" s="1047" t="s">
        <v>1844</v>
      </c>
      <c r="RW339" s="1047" t="s">
        <v>1844</v>
      </c>
      <c r="RX339" s="1047" t="s">
        <v>1844</v>
      </c>
      <c r="RY339" s="1047" t="s">
        <v>1844</v>
      </c>
      <c r="RZ339" s="1047" t="s">
        <v>1844</v>
      </c>
      <c r="SA339" s="1047" t="s">
        <v>1844</v>
      </c>
      <c r="SB339" s="1047" t="s">
        <v>1844</v>
      </c>
      <c r="SC339" s="1047" t="s">
        <v>1844</v>
      </c>
      <c r="SD339" s="1047" t="s">
        <v>1844</v>
      </c>
      <c r="SE339" s="1047" t="s">
        <v>1844</v>
      </c>
      <c r="SF339" s="1047" t="s">
        <v>1844</v>
      </c>
      <c r="SG339" s="1047" t="s">
        <v>1844</v>
      </c>
      <c r="SH339" s="1047" t="s">
        <v>1844</v>
      </c>
      <c r="SI339" s="1047" t="s">
        <v>1844</v>
      </c>
      <c r="SJ339" s="1047" t="s">
        <v>1844</v>
      </c>
      <c r="SK339" s="1047" t="s">
        <v>1844</v>
      </c>
      <c r="SL339" s="1047" t="s">
        <v>1844</v>
      </c>
      <c r="SM339" s="1047" t="s">
        <v>1844</v>
      </c>
      <c r="SN339" s="1047" t="s">
        <v>1844</v>
      </c>
      <c r="SO339" s="1047" t="s">
        <v>1844</v>
      </c>
      <c r="SP339" s="1047" t="s">
        <v>1844</v>
      </c>
      <c r="SQ339" s="1047" t="s">
        <v>1844</v>
      </c>
      <c r="SR339" s="1047" t="s">
        <v>1844</v>
      </c>
      <c r="SS339" s="1047" t="s">
        <v>1844</v>
      </c>
      <c r="ST339" s="1047" t="s">
        <v>1844</v>
      </c>
      <c r="SU339" s="1047" t="s">
        <v>1844</v>
      </c>
      <c r="SV339" s="1047" t="s">
        <v>1844</v>
      </c>
      <c r="SW339" s="1047" t="s">
        <v>1844</v>
      </c>
      <c r="SX339" s="1047" t="s">
        <v>1844</v>
      </c>
      <c r="SY339" s="1047" t="s">
        <v>1844</v>
      </c>
      <c r="SZ339" s="1047" t="s">
        <v>1844</v>
      </c>
      <c r="TA339" s="1047" t="s">
        <v>1844</v>
      </c>
      <c r="TB339" s="1047" t="s">
        <v>1844</v>
      </c>
      <c r="TC339" s="1047" t="s">
        <v>1844</v>
      </c>
      <c r="TD339" s="1047" t="s">
        <v>1844</v>
      </c>
      <c r="TE339" s="1047" t="s">
        <v>1844</v>
      </c>
      <c r="TF339" s="1047" t="s">
        <v>1844</v>
      </c>
      <c r="TG339" s="1047" t="s">
        <v>1844</v>
      </c>
      <c r="TH339" s="1047" t="s">
        <v>1844</v>
      </c>
      <c r="TI339" s="1047" t="s">
        <v>1844</v>
      </c>
      <c r="TJ339" s="1047" t="s">
        <v>1844</v>
      </c>
      <c r="TK339" s="1047" t="s">
        <v>1844</v>
      </c>
      <c r="TL339" s="1047" t="s">
        <v>1844</v>
      </c>
      <c r="TM339" s="1047" t="s">
        <v>1844</v>
      </c>
      <c r="TN339" s="1047" t="s">
        <v>1844</v>
      </c>
      <c r="TO339" s="1047" t="s">
        <v>1844</v>
      </c>
      <c r="TP339" s="1047" t="s">
        <v>1844</v>
      </c>
      <c r="TQ339" s="1047" t="s">
        <v>1845</v>
      </c>
      <c r="TR339" s="1047" t="s">
        <v>1845</v>
      </c>
      <c r="TS339" s="1047" t="s">
        <v>1845</v>
      </c>
      <c r="TT339" s="1047" t="s">
        <v>1845</v>
      </c>
      <c r="TU339" s="1047" t="s">
        <v>1845</v>
      </c>
      <c r="TV339" s="1047" t="s">
        <v>1845</v>
      </c>
      <c r="TW339" s="1047" t="s">
        <v>1845</v>
      </c>
      <c r="TX339" s="1047" t="s">
        <v>1845</v>
      </c>
      <c r="TY339" s="1047" t="s">
        <v>1845</v>
      </c>
      <c r="TZ339" s="1047" t="s">
        <v>1845</v>
      </c>
      <c r="UA339" s="1047" t="s">
        <v>1845</v>
      </c>
      <c r="UB339" s="1047" t="s">
        <v>1845</v>
      </c>
      <c r="UC339" s="1047" t="s">
        <v>1845</v>
      </c>
      <c r="UD339" s="1047" t="s">
        <v>1845</v>
      </c>
      <c r="UE339" s="1047" t="s">
        <v>1845</v>
      </c>
      <c r="UF339" s="1047" t="s">
        <v>1845</v>
      </c>
      <c r="UG339" s="1047" t="s">
        <v>1845</v>
      </c>
      <c r="UH339" s="1047" t="s">
        <v>1845</v>
      </c>
      <c r="UI339" s="1047" t="s">
        <v>1845</v>
      </c>
      <c r="UJ339" s="1047" t="s">
        <v>1845</v>
      </c>
      <c r="UK339" s="1047" t="s">
        <v>1845</v>
      </c>
      <c r="UL339" s="1047" t="s">
        <v>1845</v>
      </c>
      <c r="UM339" s="1047" t="s">
        <v>1845</v>
      </c>
      <c r="UN339" s="1047" t="s">
        <v>1845</v>
      </c>
      <c r="UO339" s="1047" t="s">
        <v>1845</v>
      </c>
      <c r="UP339" s="1047" t="s">
        <v>1845</v>
      </c>
      <c r="UQ339" s="1047" t="s">
        <v>1845</v>
      </c>
      <c r="UR339" s="1047" t="s">
        <v>1845</v>
      </c>
      <c r="US339" s="1047" t="s">
        <v>1845</v>
      </c>
      <c r="UT339" s="1047" t="s">
        <v>1845</v>
      </c>
      <c r="UU339" s="1047" t="s">
        <v>1845</v>
      </c>
      <c r="UV339" s="1047" t="s">
        <v>1845</v>
      </c>
      <c r="UW339" s="1047" t="s">
        <v>1845</v>
      </c>
      <c r="UX339" s="1047" t="s">
        <v>1845</v>
      </c>
      <c r="UY339" s="1047" t="s">
        <v>1845</v>
      </c>
      <c r="UZ339" s="1047" t="s">
        <v>1845</v>
      </c>
      <c r="VA339" s="1047" t="s">
        <v>1845</v>
      </c>
      <c r="VB339" s="1047" t="s">
        <v>1845</v>
      </c>
      <c r="VC339" s="1047" t="s">
        <v>1845</v>
      </c>
      <c r="VD339" s="1047" t="s">
        <v>1845</v>
      </c>
      <c r="VE339" s="1047" t="s">
        <v>1845</v>
      </c>
      <c r="VF339" s="1047" t="s">
        <v>1845</v>
      </c>
      <c r="VG339" s="1047" t="s">
        <v>1845</v>
      </c>
      <c r="VH339" s="1047" t="s">
        <v>1845</v>
      </c>
      <c r="VI339" s="1047" t="s">
        <v>1845</v>
      </c>
      <c r="VJ339" s="1047" t="s">
        <v>1845</v>
      </c>
      <c r="VK339" s="1047" t="s">
        <v>1845</v>
      </c>
      <c r="VL339" s="1047" t="s">
        <v>1845</v>
      </c>
      <c r="VM339" s="1047" t="s">
        <v>1845</v>
      </c>
      <c r="VN339" s="1047" t="s">
        <v>1845</v>
      </c>
      <c r="VO339" s="1047" t="s">
        <v>1845</v>
      </c>
      <c r="VP339" s="1047" t="s">
        <v>1845</v>
      </c>
      <c r="VQ339" s="1047" t="s">
        <v>1845</v>
      </c>
      <c r="VR339" s="1047" t="s">
        <v>1845</v>
      </c>
      <c r="VS339" s="1047" t="s">
        <v>1845</v>
      </c>
      <c r="VT339" s="1047" t="s">
        <v>1845</v>
      </c>
      <c r="VU339" s="1047" t="s">
        <v>1845</v>
      </c>
      <c r="VV339" s="1047" t="s">
        <v>1845</v>
      </c>
      <c r="VW339" s="1047" t="s">
        <v>1845</v>
      </c>
      <c r="VX339" s="1047" t="s">
        <v>1845</v>
      </c>
      <c r="VY339" s="1047" t="s">
        <v>1845</v>
      </c>
      <c r="VZ339" s="1047" t="s">
        <v>1845</v>
      </c>
      <c r="WA339" s="1047" t="s">
        <v>1845</v>
      </c>
      <c r="WB339" s="1047" t="s">
        <v>1845</v>
      </c>
      <c r="WC339" s="1047" t="s">
        <v>1845</v>
      </c>
      <c r="WD339" s="1047" t="s">
        <v>1845</v>
      </c>
      <c r="WE339" s="1047" t="s">
        <v>1845</v>
      </c>
      <c r="WF339" s="1047" t="s">
        <v>1845</v>
      </c>
      <c r="WG339" s="1047" t="s">
        <v>1845</v>
      </c>
      <c r="WH339" s="1047" t="s">
        <v>1845</v>
      </c>
      <c r="WI339" s="1047" t="s">
        <v>1845</v>
      </c>
      <c r="WJ339" s="1047" t="s">
        <v>1845</v>
      </c>
      <c r="WK339" s="1047" t="s">
        <v>1845</v>
      </c>
      <c r="WL339" s="1047" t="s">
        <v>1845</v>
      </c>
      <c r="WM339" s="1047" t="s">
        <v>1845</v>
      </c>
      <c r="WN339" s="1047" t="s">
        <v>1845</v>
      </c>
      <c r="WO339" s="1047" t="s">
        <v>1845</v>
      </c>
      <c r="WP339" s="1047" t="s">
        <v>1845</v>
      </c>
      <c r="WQ339" s="1047" t="s">
        <v>1845</v>
      </c>
      <c r="WR339" s="1047" t="s">
        <v>1845</v>
      </c>
      <c r="WS339" s="1047" t="s">
        <v>1845</v>
      </c>
      <c r="WT339" s="1047" t="s">
        <v>1845</v>
      </c>
      <c r="WU339" s="1047" t="s">
        <v>1845</v>
      </c>
      <c r="WV339" s="1047" t="s">
        <v>1845</v>
      </c>
      <c r="WW339" s="1047" t="s">
        <v>1845</v>
      </c>
      <c r="WX339" s="1047" t="s">
        <v>1845</v>
      </c>
      <c r="WY339" s="1047" t="s">
        <v>1845</v>
      </c>
      <c r="WZ339" s="1047" t="s">
        <v>1845</v>
      </c>
      <c r="XA339" s="1047" t="s">
        <v>1846</v>
      </c>
      <c r="XB339" s="1047" t="s">
        <v>1846</v>
      </c>
      <c r="XC339" s="1047" t="s">
        <v>1846</v>
      </c>
      <c r="XD339" s="1047" t="s">
        <v>1846</v>
      </c>
      <c r="XE339" s="1047" t="s">
        <v>1846</v>
      </c>
      <c r="XF339" s="1047" t="s">
        <v>1846</v>
      </c>
      <c r="XG339" s="1047" t="s">
        <v>1846</v>
      </c>
      <c r="XH339" s="1047" t="s">
        <v>1846</v>
      </c>
      <c r="XI339" s="1047" t="s">
        <v>1846</v>
      </c>
      <c r="XJ339" s="1047" t="s">
        <v>1846</v>
      </c>
      <c r="XK339" s="1047" t="s">
        <v>1846</v>
      </c>
      <c r="XL339" s="1047" t="s">
        <v>1846</v>
      </c>
      <c r="XM339" s="1047" t="s">
        <v>1846</v>
      </c>
      <c r="XN339" s="1047" t="s">
        <v>1846</v>
      </c>
      <c r="XO339" s="1047" t="s">
        <v>1846</v>
      </c>
      <c r="XP339" s="1047" t="s">
        <v>1846</v>
      </c>
      <c r="XQ339" s="1047" t="s">
        <v>1846</v>
      </c>
      <c r="XR339" s="1047" t="s">
        <v>1846</v>
      </c>
      <c r="XS339" s="1047" t="s">
        <v>1846</v>
      </c>
      <c r="XT339" s="1047" t="s">
        <v>1846</v>
      </c>
      <c r="XU339" s="1047" t="s">
        <v>1846</v>
      </c>
      <c r="XV339" s="1047" t="s">
        <v>1846</v>
      </c>
      <c r="XW339" s="1047" t="s">
        <v>1846</v>
      </c>
      <c r="XX339" s="1047" t="s">
        <v>1846</v>
      </c>
      <c r="XY339" s="1047" t="s">
        <v>1846</v>
      </c>
      <c r="XZ339" s="1047" t="s">
        <v>1846</v>
      </c>
      <c r="YA339" s="1047" t="s">
        <v>1846</v>
      </c>
      <c r="YB339" s="1047" t="s">
        <v>1846</v>
      </c>
      <c r="YC339" s="1047" t="s">
        <v>1846</v>
      </c>
      <c r="YD339" s="1047" t="s">
        <v>1846</v>
      </c>
      <c r="YE339" s="1047" t="s">
        <v>1846</v>
      </c>
      <c r="YF339" s="1047" t="s">
        <v>1846</v>
      </c>
      <c r="YG339" s="1047" t="s">
        <v>1846</v>
      </c>
      <c r="YH339" s="1047" t="s">
        <v>1846</v>
      </c>
      <c r="YI339" s="1047" t="s">
        <v>1846</v>
      </c>
      <c r="YJ339" s="1047" t="s">
        <v>1846</v>
      </c>
      <c r="YK339" s="1047" t="s">
        <v>1846</v>
      </c>
      <c r="YL339" s="1047" t="s">
        <v>1846</v>
      </c>
      <c r="YM339" s="1047" t="s">
        <v>1846</v>
      </c>
      <c r="YN339" s="1047" t="s">
        <v>1846</v>
      </c>
      <c r="YO339" s="1047" t="s">
        <v>1846</v>
      </c>
      <c r="YP339" s="1047" t="s">
        <v>1846</v>
      </c>
      <c r="YQ339" s="1047" t="s">
        <v>1846</v>
      </c>
      <c r="YR339" s="1047" t="s">
        <v>1846</v>
      </c>
      <c r="YS339" s="1047" t="s">
        <v>1846</v>
      </c>
      <c r="YT339" s="1047" t="s">
        <v>1846</v>
      </c>
      <c r="YU339" s="1047" t="s">
        <v>1846</v>
      </c>
      <c r="YV339" s="1047" t="s">
        <v>1846</v>
      </c>
      <c r="YW339" s="1047" t="s">
        <v>1846</v>
      </c>
      <c r="YX339" s="1047" t="s">
        <v>1846</v>
      </c>
      <c r="YY339" s="1047" t="s">
        <v>1846</v>
      </c>
      <c r="YZ339" s="1047" t="s">
        <v>1846</v>
      </c>
      <c r="ZA339" s="1047" t="s">
        <v>1846</v>
      </c>
      <c r="ZB339" s="1047" t="s">
        <v>1846</v>
      </c>
      <c r="ZC339" s="1047" t="s">
        <v>1846</v>
      </c>
      <c r="ZD339" s="1047" t="s">
        <v>1846</v>
      </c>
      <c r="ZE339" s="1047" t="s">
        <v>1846</v>
      </c>
      <c r="ZF339" s="1047" t="s">
        <v>1846</v>
      </c>
      <c r="ZG339" s="1047" t="s">
        <v>1846</v>
      </c>
      <c r="ZH339" s="1047" t="s">
        <v>1846</v>
      </c>
      <c r="ZI339" s="1047" t="s">
        <v>1846</v>
      </c>
      <c r="ZJ339" s="1047" t="s">
        <v>1846</v>
      </c>
      <c r="ZK339" s="1047" t="s">
        <v>1846</v>
      </c>
      <c r="ZL339" s="1047" t="s">
        <v>1846</v>
      </c>
      <c r="ZM339" s="1047" t="s">
        <v>1846</v>
      </c>
      <c r="ZN339" s="1047" t="s">
        <v>1846</v>
      </c>
      <c r="ZO339" s="1047" t="s">
        <v>1846</v>
      </c>
      <c r="ZP339" s="1047" t="s">
        <v>1846</v>
      </c>
      <c r="ZQ339" s="1047" t="s">
        <v>1846</v>
      </c>
      <c r="ZR339" s="1047" t="s">
        <v>1846</v>
      </c>
      <c r="ZS339" s="1047" t="s">
        <v>1846</v>
      </c>
      <c r="ZT339" s="1047" t="s">
        <v>1846</v>
      </c>
      <c r="ZU339" s="1047" t="s">
        <v>1846</v>
      </c>
      <c r="ZV339" s="1047" t="s">
        <v>1846</v>
      </c>
      <c r="ZW339" s="1047" t="s">
        <v>1846</v>
      </c>
      <c r="ZX339" s="1047" t="s">
        <v>1846</v>
      </c>
      <c r="ZY339" s="1047" t="s">
        <v>1846</v>
      </c>
      <c r="ZZ339" s="1047" t="s">
        <v>1846</v>
      </c>
      <c r="AAA339" s="1047" t="s">
        <v>1846</v>
      </c>
      <c r="AAB339" s="1047" t="s">
        <v>1846</v>
      </c>
      <c r="AAC339" s="1047" t="s">
        <v>1846</v>
      </c>
      <c r="AAD339" s="1047" t="s">
        <v>1846</v>
      </c>
      <c r="AAE339" s="1047" t="s">
        <v>1846</v>
      </c>
      <c r="AAF339" s="1047" t="s">
        <v>1846</v>
      </c>
      <c r="AAG339" s="1047" t="s">
        <v>1846</v>
      </c>
      <c r="AAH339" s="1047" t="s">
        <v>1846</v>
      </c>
      <c r="AAI339" s="1047" t="s">
        <v>1846</v>
      </c>
      <c r="AAJ339" s="1047" t="s">
        <v>1846</v>
      </c>
      <c r="AAK339" s="1063"/>
    </row>
    <row r="340" spans="2:713" hidden="1">
      <c r="B340" s="1023" t="s">
        <v>1866</v>
      </c>
      <c r="C340" s="723"/>
      <c r="D340" s="999"/>
      <c r="E340" s="1068" t="s">
        <v>1847</v>
      </c>
      <c r="F340" s="534"/>
      <c r="G340" s="534" t="s">
        <v>68</v>
      </c>
      <c r="H340" s="534"/>
      <c r="I340" s="1047">
        <v>22.584846897193323</v>
      </c>
      <c r="J340" s="1047">
        <v>22.584846897193323</v>
      </c>
      <c r="K340" s="1047">
        <v>22.584846897193323</v>
      </c>
      <c r="L340" s="1047">
        <v>22.584846897193323</v>
      </c>
      <c r="M340" s="1047">
        <v>22.584846897193323</v>
      </c>
      <c r="N340" s="1047">
        <v>22.584846897193323</v>
      </c>
      <c r="O340" s="1047">
        <v>22.584846897193323</v>
      </c>
      <c r="P340" s="1047">
        <v>22.584846897193323</v>
      </c>
      <c r="Q340" s="1047">
        <v>67.678939909665161</v>
      </c>
      <c r="R340" s="1047">
        <v>67.678939909665161</v>
      </c>
      <c r="S340" s="1047">
        <v>67.678939909665161</v>
      </c>
      <c r="T340" s="1047">
        <v>67.678939909665161</v>
      </c>
      <c r="U340" s="1047">
        <v>67.678939909665161</v>
      </c>
      <c r="V340" s="1047">
        <v>67.678939909665161</v>
      </c>
      <c r="W340" s="1047">
        <v>67.678939909665161</v>
      </c>
      <c r="X340" s="1047">
        <v>67.678939909665161</v>
      </c>
      <c r="Y340" s="1047">
        <v>27.953816457788612</v>
      </c>
      <c r="Z340" s="1047">
        <v>27.953816457788612</v>
      </c>
      <c r="AA340" s="1047">
        <v>27.953816457788612</v>
      </c>
      <c r="AB340" s="1047">
        <v>27.953816457788612</v>
      </c>
      <c r="AC340" s="1047">
        <v>27.953816457788612</v>
      </c>
      <c r="AD340" s="1047">
        <v>27.953816457788612</v>
      </c>
      <c r="AE340" s="1047">
        <v>27.953816457788612</v>
      </c>
      <c r="AF340" s="1047">
        <v>27.953816457788612</v>
      </c>
      <c r="AG340" s="1047">
        <v>90.044852633637646</v>
      </c>
      <c r="AH340" s="1047">
        <v>90.044852633637646</v>
      </c>
      <c r="AI340" s="1047">
        <v>90.044852633637646</v>
      </c>
      <c r="AJ340" s="1047">
        <v>90.044852633637646</v>
      </c>
      <c r="AK340" s="1047">
        <v>90.044852633637646</v>
      </c>
      <c r="AL340" s="1047">
        <v>90.044852633637646</v>
      </c>
      <c r="AM340" s="1047">
        <v>90.044852633637646</v>
      </c>
      <c r="AN340" s="1047">
        <v>90.044852633637646</v>
      </c>
      <c r="AO340" s="1047">
        <v>34.13626562164422</v>
      </c>
      <c r="AP340" s="1047">
        <v>34.13626562164422</v>
      </c>
      <c r="AQ340" s="1047">
        <v>34.13626562164422</v>
      </c>
      <c r="AR340" s="1047">
        <v>34.13626562164422</v>
      </c>
      <c r="AS340" s="1047">
        <v>34.13626562164422</v>
      </c>
      <c r="AT340" s="1047">
        <v>34.13626562164422</v>
      </c>
      <c r="AU340" s="1047">
        <v>34.13626562164422</v>
      </c>
      <c r="AV340" s="1047">
        <v>34.13626562164422</v>
      </c>
      <c r="AW340" s="1047">
        <v>115.97882458328219</v>
      </c>
      <c r="AX340" s="1047">
        <v>115.97882458328219</v>
      </c>
      <c r="AY340" s="1047">
        <v>115.97882458328219</v>
      </c>
      <c r="AZ340" s="1047">
        <v>115.97882458328219</v>
      </c>
      <c r="BA340" s="1047">
        <v>115.97882458328219</v>
      </c>
      <c r="BB340" s="1047">
        <v>115.97882458328219</v>
      </c>
      <c r="BC340" s="1047">
        <v>115.97882458328219</v>
      </c>
      <c r="BD340" s="1047">
        <v>115.97882458328219</v>
      </c>
      <c r="BE340" s="1047">
        <v>2.9692718400809959</v>
      </c>
      <c r="BF340" s="1047">
        <v>2.9692718400809959</v>
      </c>
      <c r="BG340" s="1047">
        <v>2.9692718400809959</v>
      </c>
      <c r="BH340" s="1047">
        <v>2.9692718400809959</v>
      </c>
      <c r="BI340" s="1047">
        <v>2.9692718400809959</v>
      </c>
      <c r="BJ340" s="1047">
        <v>2.9692718400809959</v>
      </c>
      <c r="BK340" s="1047">
        <v>2.9692718400809959</v>
      </c>
      <c r="BL340" s="1047">
        <v>2.9692718400809959</v>
      </c>
      <c r="BM340" s="1047">
        <v>10.788715237646525</v>
      </c>
      <c r="BN340" s="1047">
        <v>10.788715237646525</v>
      </c>
      <c r="BO340" s="1047">
        <v>10.788715237646525</v>
      </c>
      <c r="BP340" s="1047">
        <v>10.788715237646525</v>
      </c>
      <c r="BQ340" s="1047">
        <v>10.788715237646525</v>
      </c>
      <c r="BR340" s="1047">
        <v>10.788715237646525</v>
      </c>
      <c r="BS340" s="1047">
        <v>10.788715237646525</v>
      </c>
      <c r="BT340" s="1047">
        <v>10.788715237646525</v>
      </c>
      <c r="BU340" s="1047">
        <v>28.763661613161524</v>
      </c>
      <c r="BV340" s="1047">
        <v>28.763661613161524</v>
      </c>
      <c r="BW340" s="1047">
        <v>28.763661613161524</v>
      </c>
      <c r="BX340" s="1047">
        <v>28.763661613161524</v>
      </c>
      <c r="BY340" s="1047">
        <v>28.763661613161524</v>
      </c>
      <c r="BZ340" s="1047">
        <v>28.763661613161524</v>
      </c>
      <c r="CA340" s="1047">
        <v>28.763661613161524</v>
      </c>
      <c r="CB340" s="1047">
        <v>28.763661613161524</v>
      </c>
      <c r="CC340" s="1047">
        <v>210.83800683532345</v>
      </c>
      <c r="CD340" s="1047">
        <v>210.83800683532345</v>
      </c>
      <c r="CE340" s="1047">
        <v>210.83800683532345</v>
      </c>
      <c r="CF340" s="1047">
        <v>210.83800683532345</v>
      </c>
      <c r="CG340" s="1047">
        <v>210.83800683532345</v>
      </c>
      <c r="CH340" s="1047">
        <v>210.83800683532345</v>
      </c>
      <c r="CI340" s="1047">
        <v>210.83800683532345</v>
      </c>
      <c r="CJ340" s="1047">
        <v>210.83800683532345</v>
      </c>
      <c r="CK340" s="1047">
        <v>30.637793481149025</v>
      </c>
      <c r="CL340" s="1047">
        <v>30.637793481149025</v>
      </c>
      <c r="CM340" s="1047">
        <v>30.637793481149025</v>
      </c>
      <c r="CN340" s="1047">
        <v>30.637793481149025</v>
      </c>
      <c r="CO340" s="1047">
        <v>30.637793481149025</v>
      </c>
      <c r="CP340" s="1047">
        <v>30.637793481149025</v>
      </c>
      <c r="CQ340" s="1047">
        <v>30.637793481149025</v>
      </c>
      <c r="CR340" s="1047">
        <v>30.637793481149025</v>
      </c>
      <c r="CS340" s="1047">
        <v>26.765900237535135</v>
      </c>
      <c r="CT340" s="1047">
        <v>20.720930106794839</v>
      </c>
      <c r="CU340" s="1047">
        <v>27.804883161096999</v>
      </c>
      <c r="CV340" s="1047">
        <v>14.665302343452012</v>
      </c>
      <c r="CW340" s="1047">
        <v>5.1866630161235729</v>
      </c>
      <c r="CX340" s="1047">
        <v>11.616245274836745</v>
      </c>
      <c r="CY340" s="1047">
        <v>0.90019413836609852</v>
      </c>
      <c r="CZ340" s="1047">
        <v>-5.8263825550100306</v>
      </c>
      <c r="DA340" s="1047">
        <v>103.81683831952367</v>
      </c>
      <c r="DB340" s="1047">
        <v>81.221001429023985</v>
      </c>
      <c r="DC340" s="1047">
        <v>108.66825957112351</v>
      </c>
      <c r="DD340" s="1047">
        <v>59.199039072216294</v>
      </c>
      <c r="DE340" s="1047">
        <v>25.835948313500403</v>
      </c>
      <c r="DF340" s="1047">
        <v>48.589077975248294</v>
      </c>
      <c r="DG340" s="1047">
        <v>11.732554758136077</v>
      </c>
      <c r="DH340" s="1047">
        <v>-9.171513215657896</v>
      </c>
      <c r="DI340" s="1047">
        <v>14.763759176753567</v>
      </c>
      <c r="DJ340" s="1047">
        <v>8.5260832053117586</v>
      </c>
      <c r="DK340" s="1047">
        <v>16.657300293165751</v>
      </c>
      <c r="DL340" s="1047">
        <v>2.5706951805009859</v>
      </c>
      <c r="DM340" s="1047">
        <v>-6.8385856231006485</v>
      </c>
      <c r="DN340" s="1047">
        <v>-0.27296350091315208</v>
      </c>
      <c r="DO340" s="1047">
        <v>-11.081587124279634</v>
      </c>
      <c r="DP340" s="1047">
        <v>-16.888909210300316</v>
      </c>
      <c r="DQ340" s="1047">
        <v>82.369185434584907</v>
      </c>
      <c r="DR340" s="1047">
        <v>67.730265914643411</v>
      </c>
      <c r="DS340" s="1047">
        <v>93.260433408314299</v>
      </c>
      <c r="DT340" s="1047">
        <v>56.627607294988167</v>
      </c>
      <c r="DU340" s="1047">
        <v>32.433892444349944</v>
      </c>
      <c r="DV340" s="1047">
        <v>51.606517820231829</v>
      </c>
      <c r="DW340" s="1047">
        <v>21.926908681480676</v>
      </c>
      <c r="DX340" s="1047">
        <v>4.1132935561855151</v>
      </c>
      <c r="DY340" s="1047">
        <v>18.964397965389725</v>
      </c>
      <c r="DZ340" s="1047">
        <v>12.489108109337892</v>
      </c>
      <c r="EA340" s="1047">
        <v>21.625313798267367</v>
      </c>
      <c r="EB340" s="1047">
        <v>6.4435583054311394</v>
      </c>
      <c r="EC340" s="1047">
        <v>-3.6511951708501029</v>
      </c>
      <c r="ED340" s="1047">
        <v>3.9947332118063792</v>
      </c>
      <c r="EE340" s="1047">
        <v>-8.0669084385099268</v>
      </c>
      <c r="EF340" s="1047">
        <v>-15.031168168262667</v>
      </c>
      <c r="EG340" s="1047">
        <v>102.97592530681098</v>
      </c>
      <c r="EH340" s="1047">
        <v>83.649586562905682</v>
      </c>
      <c r="EI340" s="1047">
        <v>116.00282090640195</v>
      </c>
      <c r="EJ340" s="1047">
        <v>67.527688064974157</v>
      </c>
      <c r="EK340" s="1047">
        <v>35.746285042640928</v>
      </c>
      <c r="EL340" s="1047">
        <v>62.435725390409317</v>
      </c>
      <c r="EM340" s="1047">
        <v>22.823466035502747</v>
      </c>
      <c r="EN340" s="1047">
        <v>-0.11190219776925751</v>
      </c>
      <c r="EO340" s="1047">
        <v>3.4982710497291927</v>
      </c>
      <c r="EP340" s="1047">
        <v>1.3189700714937496</v>
      </c>
      <c r="EQ340" s="1047">
        <v>3.7591371232795128</v>
      </c>
      <c r="ER340" s="1047">
        <v>-0.97251443474945398</v>
      </c>
      <c r="ES340" s="1047">
        <v>-4.3716370409855232</v>
      </c>
      <c r="ET340" s="1047">
        <v>-2.2344397052378726</v>
      </c>
      <c r="EU340" s="1047">
        <v>-5.8179650585614366</v>
      </c>
      <c r="EV340" s="1047">
        <v>-8.2017324259803353</v>
      </c>
      <c r="EW340" s="1047">
        <v>-10.411585278476775</v>
      </c>
      <c r="EX340" s="1047">
        <v>-12.014381624378505</v>
      </c>
      <c r="EY340" s="1047">
        <v>-9.7514082086457385</v>
      </c>
      <c r="EZ340" s="1047">
        <v>-13.501403758601297</v>
      </c>
      <c r="FA340" s="1047">
        <v>-15.794455595521931</v>
      </c>
      <c r="FB340" s="1047">
        <v>-14.21274292426506</v>
      </c>
      <c r="FC340" s="1047">
        <v>-16.814391760298175</v>
      </c>
      <c r="FD340" s="1047">
        <v>-18.238472426711578</v>
      </c>
      <c r="FE340" s="1047">
        <v>32.767538901677398</v>
      </c>
      <c r="FF340" s="1047">
        <v>26.831336971598343</v>
      </c>
      <c r="FG340" s="1047">
        <v>25.126573866771896</v>
      </c>
      <c r="FH340" s="1047">
        <v>16.197484929530695</v>
      </c>
      <c r="FI340" s="1047">
        <v>9.3076686341463777</v>
      </c>
      <c r="FJ340" s="1047">
        <v>18.326844354365154</v>
      </c>
      <c r="FK340" s="1047">
        <v>7.4261246725732466</v>
      </c>
      <c r="FL340" s="1047">
        <v>-0.57420140814672005</v>
      </c>
      <c r="FM340" s="1047">
        <v>193.61338398238138</v>
      </c>
      <c r="FN340" s="1047">
        <v>154.46542436601348</v>
      </c>
      <c r="FO340" s="1047">
        <v>217.19680419139743</v>
      </c>
      <c r="FP340" s="1047">
        <v>121.59825689899941</v>
      </c>
      <c r="FQ340" s="1047">
        <v>59.389219092389325</v>
      </c>
      <c r="FR340" s="1047">
        <v>110.79626265459538</v>
      </c>
      <c r="FS340" s="1047">
        <v>34.523073940655081</v>
      </c>
      <c r="FT340" s="1047">
        <v>-6.1371784226956638</v>
      </c>
      <c r="FU340" s="1047">
        <v>17.492962040722897</v>
      </c>
      <c r="FV340" s="1047">
        <v>11.915786305806241</v>
      </c>
      <c r="FW340" s="1047">
        <v>20.314157614005953</v>
      </c>
      <c r="FX340" s="1047">
        <v>6.7871671214976823</v>
      </c>
      <c r="FY340" s="1047">
        <v>-2.0671959210188198</v>
      </c>
      <c r="FZ340" s="1047">
        <v>5.1824574164196964</v>
      </c>
      <c r="GA340" s="1047">
        <v>-5.7364648537716327</v>
      </c>
      <c r="GB340" s="1047">
        <v>-11.977502818411612</v>
      </c>
      <c r="GC340" s="1047">
        <v>29.292260871654666</v>
      </c>
      <c r="GD340" s="1047">
        <v>23.124196540097842</v>
      </c>
      <c r="GE340" s="1047">
        <v>30.359417613906981</v>
      </c>
      <c r="GF340" s="1047">
        <v>16.931541520470017</v>
      </c>
      <c r="GG340" s="1047">
        <v>7.2200187476076465</v>
      </c>
      <c r="GH340" s="1047">
        <v>13.853772266187841</v>
      </c>
      <c r="GI340" s="1047">
        <v>2.8512806058939772</v>
      </c>
      <c r="GJ340" s="1047">
        <v>-4.2014559672485818</v>
      </c>
      <c r="GK340" s="1047">
        <v>107.80225586931894</v>
      </c>
      <c r="GL340" s="1047">
        <v>84.96516909933932</v>
      </c>
      <c r="GM340" s="1047">
        <v>112.74044272360817</v>
      </c>
      <c r="GN340" s="1047">
        <v>62.726706744657108</v>
      </c>
      <c r="GO340" s="1047">
        <v>28.779569151103274</v>
      </c>
      <c r="GP340" s="1047">
        <v>52.111957819977654</v>
      </c>
      <c r="GQ340" s="1047">
        <v>14.523866191602101</v>
      </c>
      <c r="GR340" s="1047">
        <v>-7.4082996034641191</v>
      </c>
      <c r="GS340" s="1047">
        <v>16.487178463159559</v>
      </c>
      <c r="GT340" s="1047">
        <v>10.107312765703984</v>
      </c>
      <c r="GU340" s="1047">
        <v>18.427470194163501</v>
      </c>
      <c r="GV340" s="1047">
        <v>3.991636430576087</v>
      </c>
      <c r="GW340" s="1047">
        <v>-5.7370181868106398</v>
      </c>
      <c r="GX340" s="1047">
        <v>1.1268084902886715</v>
      </c>
      <c r="GY340" s="1047">
        <v>-10.098399358806075</v>
      </c>
      <c r="GZ340" s="1047">
        <v>-16.224304612010172</v>
      </c>
      <c r="HA340" s="1047">
        <v>84.578721152802487</v>
      </c>
      <c r="HB340" s="1047">
        <v>69.790844151682336</v>
      </c>
      <c r="HC340" s="1047">
        <v>95.620597332914741</v>
      </c>
      <c r="HD340" s="1047">
        <v>58.591518501385337</v>
      </c>
      <c r="HE340" s="1047">
        <v>34.146076968682898</v>
      </c>
      <c r="HF340" s="1047">
        <v>53.576443856594466</v>
      </c>
      <c r="HG340" s="1047">
        <v>23.552331267425458</v>
      </c>
      <c r="HH340" s="1047">
        <v>5.4347712816615505</v>
      </c>
      <c r="HI340" s="1047">
        <v>21.013597687046218</v>
      </c>
      <c r="HJ340" s="1047">
        <v>14.425291902253354</v>
      </c>
      <c r="HK340" s="1047">
        <v>23.721434631840491</v>
      </c>
      <c r="HL340" s="1047">
        <v>8.2868173632574749</v>
      </c>
      <c r="HM340" s="1047">
        <v>-2.0739227177053352</v>
      </c>
      <c r="HN340" s="1047">
        <v>5.8161125500232114</v>
      </c>
      <c r="HO340" s="1047">
        <v>-6.5351325283483206</v>
      </c>
      <c r="HP340" s="1047">
        <v>-13.811834534018066</v>
      </c>
      <c r="HQ340" s="1047">
        <v>105.61220778506555</v>
      </c>
      <c r="HR340" s="1047">
        <v>86.112152703854463</v>
      </c>
      <c r="HS340" s="1047">
        <v>118.70077708598699</v>
      </c>
      <c r="HT340" s="1047">
        <v>69.797764837468193</v>
      </c>
      <c r="HU340" s="1047">
        <v>37.642073932751188</v>
      </c>
      <c r="HV340" s="1047">
        <v>64.737866369006795</v>
      </c>
      <c r="HW340" s="1047">
        <v>24.63769786601604</v>
      </c>
      <c r="HX340" s="1047">
        <v>1.1865655211293149</v>
      </c>
      <c r="HY340" s="1047">
        <v>5.1710988804612015</v>
      </c>
      <c r="HZ340" s="1047">
        <v>2.9182816174106567</v>
      </c>
      <c r="IA340" s="1047">
        <v>5.4673051596226712</v>
      </c>
      <c r="IB340" s="1047">
        <v>0.4901859215409427</v>
      </c>
      <c r="IC340" s="1047">
        <v>-3.023409057041857</v>
      </c>
      <c r="ID340" s="1047">
        <v>-0.78001490397996631</v>
      </c>
      <c r="IE340" s="1047">
        <v>-4.5440114403968277</v>
      </c>
      <c r="IF340" s="1047">
        <v>-7.0673198044284273</v>
      </c>
      <c r="IG340" s="1047">
        <v>-9.3000763254090071</v>
      </c>
      <c r="IH340" s="1047">
        <v>-11.031251970369711</v>
      </c>
      <c r="II340" s="1047">
        <v>-8.613115430388655</v>
      </c>
      <c r="IJ340" s="1047">
        <v>-12.588725206005941</v>
      </c>
      <c r="IK340" s="1047">
        <v>-15.067316237099272</v>
      </c>
      <c r="IL340" s="1047">
        <v>-13.332032589541893</v>
      </c>
      <c r="IM340" s="1047">
        <v>-16.151862403235</v>
      </c>
      <c r="IN340" s="1047">
        <v>-17.681891350250091</v>
      </c>
      <c r="IO340" s="1047">
        <v>33.077346248340163</v>
      </c>
      <c r="IP340" s="1047">
        <v>27.127603354788196</v>
      </c>
      <c r="IQ340" s="1047">
        <v>25.420073158583349</v>
      </c>
      <c r="IR340" s="1047">
        <v>16.468377975931435</v>
      </c>
      <c r="IS340" s="1047">
        <v>9.5572191117812686</v>
      </c>
      <c r="IT340" s="1047">
        <v>18.610360536975229</v>
      </c>
      <c r="IU340" s="1047">
        <v>7.6767710173250157</v>
      </c>
      <c r="IV340" s="1047">
        <v>-0.36370920132680001</v>
      </c>
      <c r="IW340" s="1047">
        <v>198.04799392126824</v>
      </c>
      <c r="IX340" s="1047">
        <v>158.82938170826412</v>
      </c>
      <c r="IY340" s="1047">
        <v>221.6687493831416</v>
      </c>
      <c r="IZ340" s="1047">
        <v>125.83677539002072</v>
      </c>
      <c r="JA340" s="1047">
        <v>62.785933350055238</v>
      </c>
      <c r="JB340" s="1047">
        <v>115.03452122808179</v>
      </c>
      <c r="JC340" s="1047">
        <v>37.760353531448786</v>
      </c>
      <c r="JD340" s="1047">
        <v>-4.2429423617916946</v>
      </c>
      <c r="JE340" s="1047">
        <v>19.133330039179942</v>
      </c>
      <c r="JF340" s="1047">
        <v>13.450779398169642</v>
      </c>
      <c r="JG340" s="1047">
        <v>22.005144510577793</v>
      </c>
      <c r="JH340" s="1047">
        <v>8.2415341552695516</v>
      </c>
      <c r="JI340" s="1047">
        <v>-0.78117743837384546</v>
      </c>
      <c r="JJ340" s="1047">
        <v>6.6572993103566231</v>
      </c>
      <c r="JK340" s="1047">
        <v>-4.5298055630682779</v>
      </c>
      <c r="JL340" s="1047">
        <v>-10.982212050659429</v>
      </c>
      <c r="JM340" s="1047">
        <v>3287.4422393844011</v>
      </c>
      <c r="JN340" s="1047">
        <v>756.94127076215125</v>
      </c>
      <c r="JO340" s="1047">
        <v>1704.4792064783353</v>
      </c>
      <c r="JP340" s="1047">
        <v>6814.476401407991</v>
      </c>
      <c r="JQ340" s="1047">
        <v>6111.3830253800297</v>
      </c>
      <c r="JR340" s="1047">
        <v>116300.00951464524</v>
      </c>
      <c r="JS340" s="1047">
        <v>126776.5726718418</v>
      </c>
      <c r="JT340" s="1047">
        <v>137197.77280622005</v>
      </c>
      <c r="JU340" s="1047">
        <v>-132.83019810951308</v>
      </c>
      <c r="JV340" s="1047">
        <v>-87733.277825756362</v>
      </c>
      <c r="JW340" s="1047">
        <v>-90433.233980226505</v>
      </c>
      <c r="JX340" s="1047">
        <v>-97651.598749629018</v>
      </c>
      <c r="JY340" s="1047">
        <v>-48.174915030513219</v>
      </c>
      <c r="JZ340" s="1047">
        <v>-37.484206915233486</v>
      </c>
      <c r="KA340" s="1047">
        <v>-79.494557850298818</v>
      </c>
      <c r="KB340" s="1047">
        <v>-137016.77035076337</v>
      </c>
      <c r="KC340" s="1047">
        <v>-1065.4543064326715</v>
      </c>
      <c r="KD340" s="1047">
        <v>-5229.206484346917</v>
      </c>
      <c r="KE340" s="1047">
        <v>-9239.579013789833</v>
      </c>
      <c r="KF340" s="1047">
        <v>-104.50781539282771</v>
      </c>
      <c r="KG340" s="1047">
        <v>-62.949604595068742</v>
      </c>
      <c r="KH340" s="1047">
        <v>-495.25301186631867</v>
      </c>
      <c r="KI340" s="1047">
        <v>-150.33080680710802</v>
      </c>
      <c r="KJ340" s="1047">
        <v>-85.481686990586326</v>
      </c>
      <c r="KK340" s="1047">
        <v>-14.4321375254156</v>
      </c>
      <c r="KL340" s="1047">
        <v>-10.347637350490098</v>
      </c>
      <c r="KM340" s="1047">
        <v>-7.041188204541557</v>
      </c>
      <c r="KN340" s="1047">
        <v>-9.3275857164041884</v>
      </c>
      <c r="KO340" s="1047">
        <v>-8.6674912854717014</v>
      </c>
      <c r="KP340" s="1047">
        <v>0.9661530767387938</v>
      </c>
      <c r="KQ340" s="1047">
        <v>25.935298335079942</v>
      </c>
      <c r="KR340" s="1047">
        <v>-12.557065318554546</v>
      </c>
      <c r="KS340" s="1047">
        <v>-13182.83824925593</v>
      </c>
      <c r="KT340" s="1047">
        <v>-25342.605380163586</v>
      </c>
      <c r="KU340" s="1047">
        <v>-22533.914686686217</v>
      </c>
      <c r="KV340" s="1047">
        <v>-16722.79811260058</v>
      </c>
      <c r="KW340" s="1047">
        <v>-23790.193119247375</v>
      </c>
      <c r="KX340" s="1047">
        <v>-18668.145798996309</v>
      </c>
      <c r="KY340" s="1047">
        <v>-17238.64433547786</v>
      </c>
      <c r="KZ340" s="1047">
        <v>-13294.357871608987</v>
      </c>
      <c r="LA340" s="1047">
        <v>0.18901724818722065</v>
      </c>
      <c r="LB340" s="1047">
        <v>2.6997003648326561</v>
      </c>
      <c r="LC340" s="1047">
        <v>-4.059244501619605</v>
      </c>
      <c r="LD340" s="1047">
        <v>-8.0077511605112619</v>
      </c>
      <c r="LE340" s="1047">
        <v>-1.5230525913284292</v>
      </c>
      <c r="LF340" s="1047">
        <v>-5.1663292675730164</v>
      </c>
      <c r="LG340" s="1047">
        <v>-15.015098066793895</v>
      </c>
      <c r="LH340" s="1047">
        <v>-15.983110331435318</v>
      </c>
      <c r="LI340" s="1047">
        <v>-12.793925102388187</v>
      </c>
      <c r="LJ340" s="1047">
        <v>-11.489346287648253</v>
      </c>
      <c r="LK340" s="1047">
        <v>304.89488849376056</v>
      </c>
      <c r="LL340" s="1047">
        <v>-11.733756121524262</v>
      </c>
      <c r="LM340" s="1047">
        <v>-11.705021140321406</v>
      </c>
      <c r="LN340" s="1047">
        <v>-11.911681775475108</v>
      </c>
      <c r="LO340" s="1047">
        <v>1370.5855361899166</v>
      </c>
      <c r="LP340" s="1047">
        <v>626.60372068344111</v>
      </c>
      <c r="LQ340" s="1047">
        <v>-40463.036008197443</v>
      </c>
      <c r="LR340" s="1047">
        <v>-43429.828243295786</v>
      </c>
      <c r="LS340" s="1047">
        <v>-36674.668551739116</v>
      </c>
      <c r="LT340" s="1047">
        <v>-37750.092703581744</v>
      </c>
      <c r="LU340" s="1047">
        <v>-39732.139310587176</v>
      </c>
      <c r="LV340" s="1047">
        <v>-10959.226455149061</v>
      </c>
      <c r="LW340" s="1047">
        <v>-15017.244576891</v>
      </c>
      <c r="LX340" s="1047">
        <v>-8688.1082802674719</v>
      </c>
      <c r="LY340" s="1047">
        <v>-25015.182611336259</v>
      </c>
      <c r="LZ340" s="1047">
        <v>-606.44352642213357</v>
      </c>
      <c r="MA340" s="1047">
        <v>-861.17348034542658</v>
      </c>
      <c r="MB340" s="1047">
        <v>-10286.108713733785</v>
      </c>
      <c r="MC340" s="1047">
        <v>-788.5863733015193</v>
      </c>
      <c r="MD340" s="1047">
        <v>-407.78712128359882</v>
      </c>
      <c r="ME340" s="1047">
        <v>-50.57620134691372</v>
      </c>
      <c r="MF340" s="1047">
        <v>-1132.460792649267</v>
      </c>
      <c r="MG340" s="1047">
        <v>-4434.0790007638925</v>
      </c>
      <c r="MH340" s="1047">
        <v>-17266.976063164442</v>
      </c>
      <c r="MI340" s="1047">
        <v>-51924.518575177659</v>
      </c>
      <c r="MJ340" s="1047">
        <v>-13252.097574760859</v>
      </c>
      <c r="MK340" s="1047">
        <v>-31.492061454554968</v>
      </c>
      <c r="ML340" s="1047">
        <v>-168.26138874063099</v>
      </c>
      <c r="MM340" s="1047">
        <v>-2385.373656282361</v>
      </c>
      <c r="MN340" s="1047">
        <v>-5990.6849238187533</v>
      </c>
      <c r="MO340" s="1047">
        <v>-78.46302739118272</v>
      </c>
      <c r="MP340" s="1047">
        <v>-160.50606936191971</v>
      </c>
      <c r="MQ340" s="1047">
        <v>-95.3071148978389</v>
      </c>
      <c r="MR340" s="1047">
        <v>-98.770414251494387</v>
      </c>
      <c r="MS340" s="1047">
        <v>-96.072217719748892</v>
      </c>
      <c r="MT340" s="1047">
        <v>-329.13587709003349</v>
      </c>
      <c r="MU340" s="1047">
        <v>-1018.7262662777911</v>
      </c>
      <c r="MV340" s="1047">
        <v>-84.303631188407252</v>
      </c>
      <c r="MW340" s="1047">
        <v>25.565802214563188</v>
      </c>
      <c r="MX340" s="1047">
        <v>25.565802214563188</v>
      </c>
      <c r="MY340" s="1047">
        <v>25.565802214563188</v>
      </c>
      <c r="MZ340" s="1047">
        <v>25.565802214563188</v>
      </c>
      <c r="NA340" s="1047">
        <v>25.565802214563188</v>
      </c>
      <c r="NB340" s="1047">
        <v>25.565802214563188</v>
      </c>
      <c r="NC340" s="1047">
        <v>25.565802214563188</v>
      </c>
      <c r="ND340" s="1047">
        <v>25.565802214563188</v>
      </c>
      <c r="NE340" s="1047">
        <v>75.170780537895652</v>
      </c>
      <c r="NF340" s="1047">
        <v>75.170780537895652</v>
      </c>
      <c r="NG340" s="1047">
        <v>75.170780537895652</v>
      </c>
      <c r="NH340" s="1047">
        <v>75.170780537895652</v>
      </c>
      <c r="NI340" s="1047">
        <v>75.170780537895652</v>
      </c>
      <c r="NJ340" s="1047">
        <v>75.170780537895652</v>
      </c>
      <c r="NK340" s="1047">
        <v>75.170780537895652</v>
      </c>
      <c r="NL340" s="1047">
        <v>75.170780537895652</v>
      </c>
      <c r="NM340" s="1047">
        <v>32.437704683998511</v>
      </c>
      <c r="NN340" s="1047">
        <v>32.437704683998511</v>
      </c>
      <c r="NO340" s="1047">
        <v>32.437704683998511</v>
      </c>
      <c r="NP340" s="1047">
        <v>32.437704683998511</v>
      </c>
      <c r="NQ340" s="1047">
        <v>32.437704683998511</v>
      </c>
      <c r="NR340" s="1047">
        <v>32.437704683998511</v>
      </c>
      <c r="NS340" s="1047">
        <v>32.437704683998511</v>
      </c>
      <c r="NT340" s="1047">
        <v>32.437704683998511</v>
      </c>
      <c r="NU340" s="1047">
        <v>92.36884411660499</v>
      </c>
      <c r="NV340" s="1047">
        <v>92.36884411660499</v>
      </c>
      <c r="NW340" s="1047">
        <v>92.36884411660499</v>
      </c>
      <c r="NX340" s="1047">
        <v>92.36884411660499</v>
      </c>
      <c r="NY340" s="1047">
        <v>92.36884411660499</v>
      </c>
      <c r="NZ340" s="1047">
        <v>92.36884411660499</v>
      </c>
      <c r="OA340" s="1047">
        <v>92.36884411660499</v>
      </c>
      <c r="OB340" s="1047">
        <v>92.36884411660499</v>
      </c>
      <c r="OC340" s="1047">
        <v>39.570672026806086</v>
      </c>
      <c r="OD340" s="1047">
        <v>39.570672026806086</v>
      </c>
      <c r="OE340" s="1047">
        <v>39.570672026806086</v>
      </c>
      <c r="OF340" s="1047">
        <v>39.570672026806086</v>
      </c>
      <c r="OG340" s="1047">
        <v>39.570672026806086</v>
      </c>
      <c r="OH340" s="1047">
        <v>39.570672026806086</v>
      </c>
      <c r="OI340" s="1047">
        <v>39.570672026806086</v>
      </c>
      <c r="OJ340" s="1047">
        <v>39.570672026806086</v>
      </c>
      <c r="OK340" s="1047">
        <v>115.06304046508814</v>
      </c>
      <c r="OL340" s="1047">
        <v>115.06304046508814</v>
      </c>
      <c r="OM340" s="1047">
        <v>115.06304046508814</v>
      </c>
      <c r="ON340" s="1047">
        <v>115.06304046508814</v>
      </c>
      <c r="OO340" s="1047">
        <v>115.06304046508814</v>
      </c>
      <c r="OP340" s="1047">
        <v>115.06304046508814</v>
      </c>
      <c r="OQ340" s="1047">
        <v>115.06304046508814</v>
      </c>
      <c r="OR340" s="1047">
        <v>115.06304046508814</v>
      </c>
      <c r="OS340" s="1047">
        <v>5.5793613957895536</v>
      </c>
      <c r="OT340" s="1047">
        <v>5.5793613957895536</v>
      </c>
      <c r="OU340" s="1047">
        <v>5.5793613957895536</v>
      </c>
      <c r="OV340" s="1047">
        <v>5.5793613957895536</v>
      </c>
      <c r="OW340" s="1047">
        <v>5.5793613957895536</v>
      </c>
      <c r="OX340" s="1047">
        <v>5.5793613957895536</v>
      </c>
      <c r="OY340" s="1047">
        <v>5.5793613957895536</v>
      </c>
      <c r="OZ340" s="1047">
        <v>5.5793613957895536</v>
      </c>
      <c r="PA340" s="1047">
        <v>14.880153808512347</v>
      </c>
      <c r="PB340" s="1047">
        <v>14.880153808512347</v>
      </c>
      <c r="PC340" s="1047">
        <v>14.880153808512347</v>
      </c>
      <c r="PD340" s="1047">
        <v>14.880153808512347</v>
      </c>
      <c r="PE340" s="1047">
        <v>14.880153808512347</v>
      </c>
      <c r="PF340" s="1047">
        <v>14.880153808512347</v>
      </c>
      <c r="PG340" s="1047">
        <v>14.880153808512347</v>
      </c>
      <c r="PH340" s="1047">
        <v>14.880153808512347</v>
      </c>
      <c r="PI340" s="1047">
        <v>33.048611306940728</v>
      </c>
      <c r="PJ340" s="1047">
        <v>33.048611306940728</v>
      </c>
      <c r="PK340" s="1047">
        <v>33.048611306940728</v>
      </c>
      <c r="PL340" s="1047">
        <v>33.048611306940728</v>
      </c>
      <c r="PM340" s="1047">
        <v>33.048611306940728</v>
      </c>
      <c r="PN340" s="1047">
        <v>33.048611306940728</v>
      </c>
      <c r="PO340" s="1047">
        <v>33.048611306940728</v>
      </c>
      <c r="PP340" s="1047">
        <v>33.048611306940728</v>
      </c>
      <c r="PQ340" s="1047">
        <v>216.8810820106815</v>
      </c>
      <c r="PR340" s="1047">
        <v>216.8810820106815</v>
      </c>
      <c r="PS340" s="1047">
        <v>216.8810820106815</v>
      </c>
      <c r="PT340" s="1047">
        <v>216.8810820106815</v>
      </c>
      <c r="PU340" s="1047">
        <v>216.8810820106815</v>
      </c>
      <c r="PV340" s="1047">
        <v>216.8810820106815</v>
      </c>
      <c r="PW340" s="1047">
        <v>216.8810820106815</v>
      </c>
      <c r="PX340" s="1047">
        <v>216.8810820106815</v>
      </c>
      <c r="PY340" s="1047">
        <v>35.251896096980524</v>
      </c>
      <c r="PZ340" s="1047">
        <v>35.251896096980524</v>
      </c>
      <c r="QA340" s="1047">
        <v>35.251896096980524</v>
      </c>
      <c r="QB340" s="1047">
        <v>35.251896096980524</v>
      </c>
      <c r="QC340" s="1047">
        <v>35.251896096980524</v>
      </c>
      <c r="QD340" s="1047">
        <v>35.251896096980524</v>
      </c>
      <c r="QE340" s="1047">
        <v>35.251896096980524</v>
      </c>
      <c r="QF340" s="1047">
        <v>35.251896096980524</v>
      </c>
      <c r="QG340" s="1047">
        <v>26.018526977233321</v>
      </c>
      <c r="QH340" s="1047">
        <v>20.402214466115399</v>
      </c>
      <c r="QI340" s="1047">
        <v>27.021666353787534</v>
      </c>
      <c r="QJ340" s="1047">
        <v>14.786182850302191</v>
      </c>
      <c r="QK340" s="1047">
        <v>5.9521547863386379</v>
      </c>
      <c r="QL340" s="1047">
        <v>11.898550287986966</v>
      </c>
      <c r="QM340" s="1047">
        <v>2.0302589007301042</v>
      </c>
      <c r="QN340" s="1047">
        <v>-4.3340484819241478</v>
      </c>
      <c r="QO340" s="1047">
        <v>105.17778231396414</v>
      </c>
      <c r="QP340" s="1047">
        <v>83.287118070829351</v>
      </c>
      <c r="QQ340" s="1047">
        <v>109.93523284854261</v>
      </c>
      <c r="QR340" s="1047">
        <v>62.198633006480534</v>
      </c>
      <c r="QS340" s="1047">
        <v>29.425697175953609</v>
      </c>
      <c r="QT340" s="1047">
        <v>51.817314592450195</v>
      </c>
      <c r="QU340" s="1047">
        <v>15.567452728889728</v>
      </c>
      <c r="QV340" s="1047">
        <v>-5.7487329084971091</v>
      </c>
      <c r="QW340" s="1047">
        <v>15.984393379786979</v>
      </c>
      <c r="QX340" s="1047">
        <v>10.150175456470574</v>
      </c>
      <c r="QY340" s="1047">
        <v>17.760417805364135</v>
      </c>
      <c r="QZ340" s="1047">
        <v>4.6265240946422033</v>
      </c>
      <c r="RA340" s="1047">
        <v>-4.2015885944381912</v>
      </c>
      <c r="RB340" s="1047">
        <v>1.9912981109526977</v>
      </c>
      <c r="RC340" s="1047">
        <v>-8.1205837054543046</v>
      </c>
      <c r="RD340" s="1047">
        <v>-13.794187112891402</v>
      </c>
      <c r="RE340" s="1047">
        <v>79.475703440783803</v>
      </c>
      <c r="RF340" s="1047">
        <v>65.652122460709705</v>
      </c>
      <c r="RG340" s="1047">
        <v>90.054545416675793</v>
      </c>
      <c r="RH340" s="1047">
        <v>55.1459299940066</v>
      </c>
      <c r="RI340" s="1047">
        <v>32.524249001014489</v>
      </c>
      <c r="RJ340" s="1047">
        <v>50.220579687064046</v>
      </c>
      <c r="RK340" s="1047">
        <v>22.877559226109952</v>
      </c>
      <c r="RL340" s="1047">
        <v>6.14317336057894</v>
      </c>
      <c r="RM340" s="1047">
        <v>21.42070654213008</v>
      </c>
      <c r="RN340" s="1047">
        <v>15.435892760716484</v>
      </c>
      <c r="RO340" s="1047">
        <v>23.880468898664297</v>
      </c>
      <c r="RP340" s="1047">
        <v>9.7836270018117286</v>
      </c>
      <c r="RQ340" s="1047">
        <v>0.29428635281096954</v>
      </c>
      <c r="RR340" s="1047">
        <v>7.4621762762855228</v>
      </c>
      <c r="RS340" s="1047">
        <v>-3.8182574037956516</v>
      </c>
      <c r="RT340" s="1047">
        <v>-10.553766156925928</v>
      </c>
      <c r="RU340" s="1047">
        <v>98.615077759390601</v>
      </c>
      <c r="RV340" s="1047">
        <v>80.243138268499692</v>
      </c>
      <c r="RW340" s="1047">
        <v>111.13940634281468</v>
      </c>
      <c r="RX340" s="1047">
        <v>65.119061732752996</v>
      </c>
      <c r="RY340" s="1047">
        <v>35.323305593771408</v>
      </c>
      <c r="RZ340" s="1047">
        <v>60.015469819207105</v>
      </c>
      <c r="SA340" s="1047">
        <v>23.530628166505938</v>
      </c>
      <c r="SB340" s="1047">
        <v>2.0651515958100299</v>
      </c>
      <c r="SC340" s="1047">
        <v>3.0523137258861417</v>
      </c>
      <c r="SD340" s="1047">
        <v>0.99009780901525668</v>
      </c>
      <c r="SE340" s="1047">
        <v>3.3046178225780274</v>
      </c>
      <c r="SF340" s="1047">
        <v>-1.2140886183525417</v>
      </c>
      <c r="SG340" s="1047">
        <v>-4.3625320177079132</v>
      </c>
      <c r="SH340" s="1047">
        <v>-2.3363946780691132</v>
      </c>
      <c r="SI340" s="1047">
        <v>-5.6946562922161403</v>
      </c>
      <c r="SJ340" s="1047">
        <v>-7.953458895122111</v>
      </c>
      <c r="SK340" s="1047">
        <v>-8.0114034144300081</v>
      </c>
      <c r="SL340" s="1047">
        <v>-9.6768120058939662</v>
      </c>
      <c r="SM340" s="1047">
        <v>-7.4150075449204849</v>
      </c>
      <c r="SN340" s="1047">
        <v>-11.180435997533358</v>
      </c>
      <c r="SO340" s="1047">
        <v>-13.605826674543431</v>
      </c>
      <c r="SP340" s="1047">
        <v>-11.917820027055711</v>
      </c>
      <c r="SQ340" s="1047">
        <v>-14.654159823332321</v>
      </c>
      <c r="SR340" s="1047">
        <v>-16.154361561336177</v>
      </c>
      <c r="SS340" s="1047">
        <v>32.741545914487425</v>
      </c>
      <c r="ST340" s="1047">
        <v>26.768798087633108</v>
      </c>
      <c r="SU340" s="1047">
        <v>25.014853856280478</v>
      </c>
      <c r="SV340" s="1047">
        <v>16.098965143215274</v>
      </c>
      <c r="SW340" s="1047">
        <v>9.2701942878757482</v>
      </c>
      <c r="SX340" s="1047">
        <v>18.193559836022626</v>
      </c>
      <c r="SY340" s="1047">
        <v>7.4496801211876917</v>
      </c>
      <c r="SZ340" s="1047">
        <v>-0.58162887679097863</v>
      </c>
      <c r="TA340" s="1047">
        <v>195.48710229793809</v>
      </c>
      <c r="TB340" s="1047">
        <v>158.55316336353795</v>
      </c>
      <c r="TC340" s="1047">
        <v>217.73881377443323</v>
      </c>
      <c r="TD340" s="1047">
        <v>127.5688262234639</v>
      </c>
      <c r="TE340" s="1047">
        <v>66.181839196403956</v>
      </c>
      <c r="TF340" s="1047">
        <v>116.93464208067364</v>
      </c>
      <c r="TG340" s="1047">
        <v>41.917386374832518</v>
      </c>
      <c r="TH340" s="1047">
        <v>0.1444216946636247</v>
      </c>
      <c r="TI340" s="1047">
        <v>18.691249521862218</v>
      </c>
      <c r="TJ340" s="1047">
        <v>13.524875314975446</v>
      </c>
      <c r="TK340" s="1047">
        <v>21.442856635255325</v>
      </c>
      <c r="TL340" s="1047">
        <v>8.8155415255151315</v>
      </c>
      <c r="TM340" s="1047">
        <v>0.64847871415030944</v>
      </c>
      <c r="TN340" s="1047">
        <v>7.3566996135338893</v>
      </c>
      <c r="TO340" s="1047">
        <v>-2.7185535034677386</v>
      </c>
      <c r="TP340" s="1047">
        <v>-8.5967264196288937</v>
      </c>
      <c r="TQ340" s="1047">
        <v>28.779138168821341</v>
      </c>
      <c r="TR340" s="1047">
        <v>23.046449290591653</v>
      </c>
      <c r="TS340" s="1047">
        <v>29.805045391358107</v>
      </c>
      <c r="TT340" s="1047">
        <v>17.296610665843446</v>
      </c>
      <c r="TU340" s="1047">
        <v>8.2006219297622014</v>
      </c>
      <c r="TV340" s="1047">
        <v>14.338323734885131</v>
      </c>
      <c r="TW340" s="1047">
        <v>4.1502476626882085</v>
      </c>
      <c r="TX340" s="1047">
        <v>-2.5145934911729584</v>
      </c>
      <c r="TY340" s="1047">
        <v>109.12859084624625</v>
      </c>
      <c r="TZ340" s="1047">
        <v>86.998777716044046</v>
      </c>
      <c r="UA340" s="1047">
        <v>114.00503536323774</v>
      </c>
      <c r="UB340" s="1047">
        <v>65.673963851666173</v>
      </c>
      <c r="UC340" s="1047">
        <v>32.377936810718481</v>
      </c>
      <c r="UD340" s="1047">
        <v>55.264762781965395</v>
      </c>
      <c r="UE340" s="1047">
        <v>18.351255350430527</v>
      </c>
      <c r="UF340" s="1047">
        <v>-3.9066406328971004</v>
      </c>
      <c r="UG340" s="1047">
        <v>17.83292225474845</v>
      </c>
      <c r="UH340" s="1047">
        <v>11.854031583952574</v>
      </c>
      <c r="UI340" s="1047">
        <v>19.651138674674137</v>
      </c>
      <c r="UJ340" s="1047">
        <v>6.1813829054503238</v>
      </c>
      <c r="UK340" s="1047">
        <v>-2.9662613629419203</v>
      </c>
      <c r="UL340" s="1047">
        <v>3.4855896637989443</v>
      </c>
      <c r="UM340" s="1047">
        <v>-7.0264086231634586</v>
      </c>
      <c r="UN340" s="1047">
        <v>-13.01999465567145</v>
      </c>
      <c r="UO340" s="1047">
        <v>81.776269300872798</v>
      </c>
      <c r="UP340" s="1047">
        <v>67.881664327173766</v>
      </c>
      <c r="UQ340" s="1047">
        <v>92.393990908216182</v>
      </c>
      <c r="UR340" s="1047">
        <v>57.303660535995526</v>
      </c>
      <c r="US340" s="1047">
        <v>34.387741138612064</v>
      </c>
      <c r="UT340" s="1047">
        <v>52.329104994003771</v>
      </c>
      <c r="UU340" s="1047">
        <v>24.638498972287653</v>
      </c>
      <c r="UV340" s="1047">
        <v>7.5704979247307387</v>
      </c>
      <c r="UW340" s="1047">
        <v>23.626202205969268</v>
      </c>
      <c r="UX340" s="1047">
        <v>17.49188601096504</v>
      </c>
      <c r="UY340" s="1047">
        <v>26.165229282546573</v>
      </c>
      <c r="UZ340" s="1047">
        <v>11.738903229200732</v>
      </c>
      <c r="VA340" s="1047">
        <v>1.9754900249567298</v>
      </c>
      <c r="VB340" s="1047">
        <v>9.3827578566145551</v>
      </c>
      <c r="VC340" s="1047">
        <v>-2.2193181600973109</v>
      </c>
      <c r="VD340" s="1047">
        <v>-9.2379337908868582</v>
      </c>
      <c r="VE340" s="1047">
        <v>101.28178341157819</v>
      </c>
      <c r="VF340" s="1047">
        <v>82.824764470337627</v>
      </c>
      <c r="VG340" s="1047">
        <v>113.85504448834334</v>
      </c>
      <c r="VH340" s="1047">
        <v>67.5898518513917</v>
      </c>
      <c r="VI340" s="1047">
        <v>37.395352634648766</v>
      </c>
      <c r="VJ340" s="1047">
        <v>62.483880201004595</v>
      </c>
      <c r="VK340" s="1047">
        <v>25.46895288799498</v>
      </c>
      <c r="VL340" s="1047">
        <v>3.4619798319405195</v>
      </c>
      <c r="VM340" s="1047">
        <v>4.7934701959894301</v>
      </c>
      <c r="VN340" s="1047">
        <v>2.6675488641279292</v>
      </c>
      <c r="VO340" s="1047">
        <v>5.0617670970292865</v>
      </c>
      <c r="VP340" s="1047">
        <v>0.37071718801951964</v>
      </c>
      <c r="VQ340" s="1047">
        <v>-2.9357977160480377</v>
      </c>
      <c r="VR340" s="1047">
        <v>-0.79491264288588781</v>
      </c>
      <c r="VS340" s="1047">
        <v>-4.3477935323219077</v>
      </c>
      <c r="VT340" s="1047">
        <v>-6.7622984421636012</v>
      </c>
      <c r="VU340" s="1047">
        <v>-6.8475450373210949</v>
      </c>
      <c r="VV340" s="1047">
        <v>-8.580346136127833</v>
      </c>
      <c r="VW340" s="1047">
        <v>-6.2008020295601671</v>
      </c>
      <c r="VX340" s="1047">
        <v>-10.168453304159824</v>
      </c>
      <c r="VY340" s="1047">
        <v>-12.754135478711987</v>
      </c>
      <c r="VZ340" s="1047">
        <v>-10.950675468891783</v>
      </c>
      <c r="WA340" s="1047">
        <v>-13.869631574990219</v>
      </c>
      <c r="WB340" s="1047">
        <v>-15.520569972963152</v>
      </c>
      <c r="WC340" s="1047">
        <v>33.040846832760245</v>
      </c>
      <c r="WD340" s="1047">
        <v>27.057606650267473</v>
      </c>
      <c r="WE340" s="1047">
        <v>25.301400774088489</v>
      </c>
      <c r="WF340" s="1047">
        <v>16.362960682071066</v>
      </c>
      <c r="WG340" s="1047">
        <v>9.5128717360276411</v>
      </c>
      <c r="WH340" s="1047">
        <v>18.468244532925258</v>
      </c>
      <c r="WI340" s="1047">
        <v>7.6930343833059309</v>
      </c>
      <c r="WJ340" s="1047">
        <v>-0.37439781500211289</v>
      </c>
      <c r="WK340" s="1047">
        <v>199.67377289827022</v>
      </c>
      <c r="WL340" s="1047">
        <v>162.60821382401986</v>
      </c>
      <c r="WM340" s="1047">
        <v>221.99547731895237</v>
      </c>
      <c r="WN340" s="1047">
        <v>131.49322484026328</v>
      </c>
      <c r="WO340" s="1047">
        <v>69.614184085707294</v>
      </c>
      <c r="WP340" s="1047">
        <v>120.81606987290978</v>
      </c>
      <c r="WQ340" s="1047">
        <v>45.105062137897789</v>
      </c>
      <c r="WR340" s="1047">
        <v>2.059420355897025</v>
      </c>
      <c r="WS340" s="1047">
        <v>20.39850934299335</v>
      </c>
      <c r="WT340" s="1047">
        <v>15.133556915571214</v>
      </c>
      <c r="WU340" s="1047">
        <v>23.194450684117225</v>
      </c>
      <c r="WV340" s="1047">
        <v>10.349120193274635</v>
      </c>
      <c r="WW340" s="1047">
        <v>1.9697876831475132</v>
      </c>
      <c r="WX340" s="1047">
        <v>8.8764996726415717</v>
      </c>
      <c r="WY340" s="1047">
        <v>-1.4781018962401611</v>
      </c>
      <c r="WZ340" s="1047">
        <v>-7.5639600417860589</v>
      </c>
      <c r="XA340" s="1047">
        <v>-11351.380825063898</v>
      </c>
      <c r="XB340" s="1047">
        <v>-6486.6121547676903</v>
      </c>
      <c r="XC340" s="1047">
        <v>-289.22031672579357</v>
      </c>
      <c r="XD340" s="1047">
        <v>-357.48767975143431</v>
      </c>
      <c r="XE340" s="1047">
        <v>-42585.172160350747</v>
      </c>
      <c r="XF340" s="1047">
        <v>-1816.5407259882263</v>
      </c>
      <c r="XG340" s="1047">
        <v>2542.0733635239935</v>
      </c>
      <c r="XH340" s="1047">
        <v>-1142.0686454687004</v>
      </c>
      <c r="XI340" s="1047">
        <v>-173.98495415917799</v>
      </c>
      <c r="XJ340" s="1047">
        <v>-218.48586130888512</v>
      </c>
      <c r="XK340" s="1047">
        <v>-82821.921492010923</v>
      </c>
      <c r="XL340" s="1047">
        <v>-110.43727489855674</v>
      </c>
      <c r="XM340" s="1047">
        <v>-361.59387058198956</v>
      </c>
      <c r="XN340" s="1047">
        <v>-127459.58087837629</v>
      </c>
      <c r="XO340" s="1047">
        <v>7687.0060245850273</v>
      </c>
      <c r="XP340" s="1047">
        <v>-133403.97840316274</v>
      </c>
      <c r="XQ340" s="1047">
        <v>-3950.0302893742823</v>
      </c>
      <c r="XR340" s="1047">
        <v>-1959.8550014499529</v>
      </c>
      <c r="XS340" s="1047">
        <v>-1576.3307428971552</v>
      </c>
      <c r="XT340" s="1047">
        <v>-76.907589990045153</v>
      </c>
      <c r="XU340" s="1047">
        <v>-2867.8235800090565</v>
      </c>
      <c r="XV340" s="1047">
        <v>-1673.3657932623062</v>
      </c>
      <c r="XW340" s="1047">
        <v>-984.60249111314249</v>
      </c>
      <c r="XX340" s="1047">
        <v>-161.80495629913742</v>
      </c>
      <c r="XY340" s="1047">
        <v>-19.271441560428887</v>
      </c>
      <c r="XZ340" s="1047">
        <v>-41.413796670321652</v>
      </c>
      <c r="YA340" s="1047">
        <v>-19.767407784590713</v>
      </c>
      <c r="YB340" s="1047">
        <v>-50.975931937130007</v>
      </c>
      <c r="YC340" s="1047">
        <v>-37.995754139532679</v>
      </c>
      <c r="YD340" s="1047">
        <v>-38.231783147063666</v>
      </c>
      <c r="YE340" s="1047">
        <v>-58.406674991955988</v>
      </c>
      <c r="YF340" s="1047">
        <v>-69.235365634052428</v>
      </c>
      <c r="YG340" s="1047">
        <v>-33723.609144003036</v>
      </c>
      <c r="YH340" s="1047">
        <v>-26506.259953795692</v>
      </c>
      <c r="YI340" s="1047">
        <v>-75459.674823971349</v>
      </c>
      <c r="YJ340" s="1047">
        <v>-20232.415733619862</v>
      </c>
      <c r="YK340" s="1047">
        <v>-15051.799262346311</v>
      </c>
      <c r="YL340" s="1047">
        <v>-9739.1061947012568</v>
      </c>
      <c r="YM340" s="1047">
        <v>-22412.342142313249</v>
      </c>
      <c r="YN340" s="1047">
        <v>-1670.5889590001136</v>
      </c>
      <c r="YO340" s="1047">
        <v>-7.477220915909232</v>
      </c>
      <c r="YP340" s="1047">
        <v>7.0522643916285253</v>
      </c>
      <c r="YQ340" s="1047">
        <v>-4.035591986899977</v>
      </c>
      <c r="YR340" s="1047">
        <v>-2.0961980080860778</v>
      </c>
      <c r="YS340" s="1047">
        <v>-2.8532460522130099</v>
      </c>
      <c r="YT340" s="1047">
        <v>-1.0877561214410016</v>
      </c>
      <c r="YU340" s="1047">
        <v>-5.2215525959006834</v>
      </c>
      <c r="YV340" s="1047">
        <v>-16.546371908602215</v>
      </c>
      <c r="YW340" s="1047">
        <v>65.751620403623392</v>
      </c>
      <c r="YX340" s="1047">
        <v>116.68895556239535</v>
      </c>
      <c r="YY340" s="1047">
        <v>199.27169408303331</v>
      </c>
      <c r="YZ340" s="1047">
        <v>61.377506013926649</v>
      </c>
      <c r="ZA340" s="1047">
        <v>72.14163608249811</v>
      </c>
      <c r="ZB340" s="1047">
        <v>141.42473209040156</v>
      </c>
      <c r="ZC340" s="1047">
        <v>1736.2331596793929</v>
      </c>
      <c r="ZD340" s="1047">
        <v>240.44791885582217</v>
      </c>
      <c r="ZE340" s="1047">
        <v>-45195.286862064284</v>
      </c>
      <c r="ZF340" s="1047">
        <v>-48670.838933527019</v>
      </c>
      <c r="ZG340" s="1047">
        <v>-5539.8433412598852</v>
      </c>
      <c r="ZH340" s="1047">
        <v>-47686.158904350064</v>
      </c>
      <c r="ZI340" s="1047">
        <v>-53736.333092245462</v>
      </c>
      <c r="ZJ340" s="1047">
        <v>-9156.524808160626</v>
      </c>
      <c r="ZK340" s="1047">
        <v>-52503.066916951779</v>
      </c>
      <c r="ZL340" s="1047">
        <v>-48952.948304154699</v>
      </c>
      <c r="ZM340" s="1047">
        <v>-97503.080609859157</v>
      </c>
      <c r="ZN340" s="1047">
        <v>-107318.68187216631</v>
      </c>
      <c r="ZO340" s="1047">
        <v>-114321.71387581495</v>
      </c>
      <c r="ZP340" s="1047">
        <v>-119773.05855596598</v>
      </c>
      <c r="ZQ340" s="1047">
        <v>-128213.31514884421</v>
      </c>
      <c r="ZR340" s="1047">
        <v>-1753.1714923384982</v>
      </c>
      <c r="ZS340" s="1047">
        <v>-2025.1165246347118</v>
      </c>
      <c r="ZT340" s="1047">
        <v>-107574.56385537518</v>
      </c>
      <c r="ZU340" s="1047">
        <v>-46657.528571075971</v>
      </c>
      <c r="ZV340" s="1047">
        <v>-11427.819107909105</v>
      </c>
      <c r="ZW340" s="1047">
        <v>-58.280630616280838</v>
      </c>
      <c r="ZX340" s="1047">
        <v>-1691.3326318942823</v>
      </c>
      <c r="ZY340" s="1047">
        <v>-16661.929870176395</v>
      </c>
      <c r="ZZ340" s="1047">
        <v>-34392.872914048763</v>
      </c>
      <c r="AAA340" s="1047">
        <v>-780.76951922474586</v>
      </c>
      <c r="AAB340" s="1047">
        <v>-48894.923894434192</v>
      </c>
      <c r="AAC340" s="1047">
        <v>-3926.1873412226901</v>
      </c>
      <c r="AAD340" s="1047">
        <v>-3527.3241679309754</v>
      </c>
      <c r="AAE340" s="1047">
        <v>-327.82110126958099</v>
      </c>
      <c r="AAF340" s="1047">
        <v>-3281.9023340414074</v>
      </c>
      <c r="AAG340" s="1047">
        <v>-226.86787898302634</v>
      </c>
      <c r="AAH340" s="1047">
        <v>-3301.9711976196181</v>
      </c>
      <c r="AAI340" s="1047">
        <v>-3467.8873477284178</v>
      </c>
      <c r="AAJ340" s="1047">
        <v>-6.8724908080628841</v>
      </c>
      <c r="AAK340" s="1063"/>
    </row>
    <row r="341" spans="2:713" hidden="1">
      <c r="B341" s="1023" t="s">
        <v>1866</v>
      </c>
      <c r="C341" s="723"/>
      <c r="D341" s="999"/>
      <c r="E341" s="1068" t="s">
        <v>1848</v>
      </c>
      <c r="F341" s="534"/>
      <c r="G341" s="534" t="s">
        <v>68</v>
      </c>
      <c r="H341" s="534"/>
      <c r="I341" s="1047">
        <v>60.992757212521333</v>
      </c>
      <c r="J341" s="1047">
        <v>60.992757212521333</v>
      </c>
      <c r="K341" s="1047">
        <v>60.992757212521333</v>
      </c>
      <c r="L341" s="1047">
        <v>60.992757212521333</v>
      </c>
      <c r="M341" s="1047">
        <v>60.992757212521333</v>
      </c>
      <c r="N341" s="1047">
        <v>60.992757212521333</v>
      </c>
      <c r="O341" s="1047">
        <v>60.992757212521333</v>
      </c>
      <c r="P341" s="1047">
        <v>60.992757212521333</v>
      </c>
      <c r="Q341" s="1047">
        <v>76.762559635369186</v>
      </c>
      <c r="R341" s="1047">
        <v>76.762559635369186</v>
      </c>
      <c r="S341" s="1047">
        <v>76.762559635369186</v>
      </c>
      <c r="T341" s="1047">
        <v>76.762559635369186</v>
      </c>
      <c r="U341" s="1047">
        <v>76.762559635369186</v>
      </c>
      <c r="V341" s="1047">
        <v>76.762559635369186</v>
      </c>
      <c r="W341" s="1047">
        <v>76.762559635369186</v>
      </c>
      <c r="X341" s="1047">
        <v>76.762559635369186</v>
      </c>
      <c r="Y341" s="1047">
        <v>61.446671149522146</v>
      </c>
      <c r="Z341" s="1047">
        <v>61.446671149522146</v>
      </c>
      <c r="AA341" s="1047">
        <v>61.446671149522146</v>
      </c>
      <c r="AB341" s="1047">
        <v>61.446671149522146</v>
      </c>
      <c r="AC341" s="1047">
        <v>61.446671149522146</v>
      </c>
      <c r="AD341" s="1047">
        <v>61.446671149522146</v>
      </c>
      <c r="AE341" s="1047">
        <v>61.446671149522146</v>
      </c>
      <c r="AF341" s="1047">
        <v>61.446671149522146</v>
      </c>
      <c r="AG341" s="1047">
        <v>62.961538157469015</v>
      </c>
      <c r="AH341" s="1047">
        <v>62.961538157469015</v>
      </c>
      <c r="AI341" s="1047">
        <v>62.961538157469015</v>
      </c>
      <c r="AJ341" s="1047">
        <v>62.961538157469015</v>
      </c>
      <c r="AK341" s="1047">
        <v>62.961538157469015</v>
      </c>
      <c r="AL341" s="1047">
        <v>62.961538157469015</v>
      </c>
      <c r="AM341" s="1047">
        <v>62.961538157469015</v>
      </c>
      <c r="AN341" s="1047">
        <v>62.961538157469015</v>
      </c>
      <c r="AO341" s="1047">
        <v>65.519044760554323</v>
      </c>
      <c r="AP341" s="1047">
        <v>65.519044760554323</v>
      </c>
      <c r="AQ341" s="1047">
        <v>65.519044760554323</v>
      </c>
      <c r="AR341" s="1047">
        <v>65.519044760554323</v>
      </c>
      <c r="AS341" s="1047">
        <v>65.519044760554323</v>
      </c>
      <c r="AT341" s="1047">
        <v>65.519044760554323</v>
      </c>
      <c r="AU341" s="1047">
        <v>65.519044760554323</v>
      </c>
      <c r="AV341" s="1047">
        <v>65.519044760554323</v>
      </c>
      <c r="AW341" s="1047">
        <v>63.062958365299146</v>
      </c>
      <c r="AX341" s="1047">
        <v>63.062958365299146</v>
      </c>
      <c r="AY341" s="1047">
        <v>63.062958365299146</v>
      </c>
      <c r="AZ341" s="1047">
        <v>63.062958365299146</v>
      </c>
      <c r="BA341" s="1047">
        <v>63.062958365299146</v>
      </c>
      <c r="BB341" s="1047">
        <v>63.062958365299146</v>
      </c>
      <c r="BC341" s="1047">
        <v>63.062958365299146</v>
      </c>
      <c r="BD341" s="1047">
        <v>63.062958365299146</v>
      </c>
      <c r="BE341" s="1047">
        <v>29.270397618397705</v>
      </c>
      <c r="BF341" s="1047">
        <v>29.270397618397705</v>
      </c>
      <c r="BG341" s="1047">
        <v>29.270397618397705</v>
      </c>
      <c r="BH341" s="1047">
        <v>29.270397618397705</v>
      </c>
      <c r="BI341" s="1047">
        <v>29.270397618397705</v>
      </c>
      <c r="BJ341" s="1047">
        <v>29.270397618397705</v>
      </c>
      <c r="BK341" s="1047">
        <v>29.270397618397705</v>
      </c>
      <c r="BL341" s="1047">
        <v>29.270397618397705</v>
      </c>
      <c r="BM341" s="1047">
        <v>52.958124895599141</v>
      </c>
      <c r="BN341" s="1047">
        <v>52.958124895599141</v>
      </c>
      <c r="BO341" s="1047">
        <v>52.958124895599141</v>
      </c>
      <c r="BP341" s="1047">
        <v>52.958124895599141</v>
      </c>
      <c r="BQ341" s="1047">
        <v>52.958124895599141</v>
      </c>
      <c r="BR341" s="1047">
        <v>52.958124895599141</v>
      </c>
      <c r="BS341" s="1047">
        <v>52.958124895599141</v>
      </c>
      <c r="BT341" s="1047">
        <v>52.958124895599141</v>
      </c>
      <c r="BU341" s="1047">
        <v>49.245462211514024</v>
      </c>
      <c r="BV341" s="1047">
        <v>49.245462211514024</v>
      </c>
      <c r="BW341" s="1047">
        <v>49.245462211514024</v>
      </c>
      <c r="BX341" s="1047">
        <v>49.245462211514024</v>
      </c>
      <c r="BY341" s="1047">
        <v>49.245462211514024</v>
      </c>
      <c r="BZ341" s="1047">
        <v>49.245462211514024</v>
      </c>
      <c r="CA341" s="1047">
        <v>49.245462211514024</v>
      </c>
      <c r="CB341" s="1047">
        <v>49.245462211514024</v>
      </c>
      <c r="CC341" s="1047">
        <v>83.896591360572373</v>
      </c>
      <c r="CD341" s="1047">
        <v>83.896591360572373</v>
      </c>
      <c r="CE341" s="1047">
        <v>83.896591360572373</v>
      </c>
      <c r="CF341" s="1047">
        <v>83.896591360572373</v>
      </c>
      <c r="CG341" s="1047">
        <v>83.896591360572373</v>
      </c>
      <c r="CH341" s="1047">
        <v>83.896591360572373</v>
      </c>
      <c r="CI341" s="1047">
        <v>83.896591360572373</v>
      </c>
      <c r="CJ341" s="1047">
        <v>83.896591360572373</v>
      </c>
      <c r="CK341" s="1047">
        <v>58.870500384046757</v>
      </c>
      <c r="CL341" s="1047">
        <v>58.870500384046757</v>
      </c>
      <c r="CM341" s="1047">
        <v>58.870500384046757</v>
      </c>
      <c r="CN341" s="1047">
        <v>58.870500384046757</v>
      </c>
      <c r="CO341" s="1047">
        <v>58.870500384046757</v>
      </c>
      <c r="CP341" s="1047">
        <v>58.870500384046757</v>
      </c>
      <c r="CQ341" s="1047">
        <v>58.870500384046757</v>
      </c>
      <c r="CR341" s="1047">
        <v>58.870500384046757</v>
      </c>
      <c r="CS341" s="1047">
        <v>65.018442823174667</v>
      </c>
      <c r="CT341" s="1047">
        <v>64.682594520983415</v>
      </c>
      <c r="CU341" s="1047">
        <v>66.234555175444584</v>
      </c>
      <c r="CV341" s="1047">
        <v>65.508997748122752</v>
      </c>
      <c r="CW341" s="1047">
        <v>64.62487969574309</v>
      </c>
      <c r="CX341" s="1047">
        <v>63.95089186980568</v>
      </c>
      <c r="CY341" s="1047">
        <v>63.519430754757082</v>
      </c>
      <c r="CZ341" s="1047">
        <v>62.786285467936857</v>
      </c>
      <c r="DA341" s="1047">
        <v>76.105675294431393</v>
      </c>
      <c r="DB341" s="1047">
        <v>80.278154420891298</v>
      </c>
      <c r="DC341" s="1047">
        <v>80.439662195929415</v>
      </c>
      <c r="DD341" s="1047">
        <v>83.944646159713528</v>
      </c>
      <c r="DE341" s="1047">
        <v>80.496004597717857</v>
      </c>
      <c r="DF341" s="1047">
        <v>80.847068994194586</v>
      </c>
      <c r="DG341" s="1047">
        <v>76.750592014151763</v>
      </c>
      <c r="DH341" s="1047">
        <v>72.123795179711678</v>
      </c>
      <c r="DI341" s="1047">
        <v>65.07161368599067</v>
      </c>
      <c r="DJ341" s="1047">
        <v>64.443967785409072</v>
      </c>
      <c r="DK341" s="1047">
        <v>66.136781597335826</v>
      </c>
      <c r="DL341" s="1047">
        <v>64.753214403135246</v>
      </c>
      <c r="DM341" s="1047">
        <v>63.298044241736356</v>
      </c>
      <c r="DN341" s="1047">
        <v>62.840926090332736</v>
      </c>
      <c r="DO341" s="1047">
        <v>61.738721474857897</v>
      </c>
      <c r="DP341" s="1047">
        <v>60.334391044205908</v>
      </c>
      <c r="DQ341" s="1047">
        <v>62.918739221814334</v>
      </c>
      <c r="DR341" s="1047">
        <v>62.920705809918033</v>
      </c>
      <c r="DS341" s="1047">
        <v>64.675044698789222</v>
      </c>
      <c r="DT341" s="1047">
        <v>64.477452272089806</v>
      </c>
      <c r="DU341" s="1047">
        <v>64.030789265870538</v>
      </c>
      <c r="DV341" s="1047">
        <v>62.977698140881692</v>
      </c>
      <c r="DW341" s="1047">
        <v>62.957606659225817</v>
      </c>
      <c r="DX341" s="1047">
        <v>62.290538188484092</v>
      </c>
      <c r="DY341" s="1047">
        <v>64.783013996264074</v>
      </c>
      <c r="DZ341" s="1047">
        <v>64.689041474208906</v>
      </c>
      <c r="EA341" s="1047">
        <v>66.183358299748804</v>
      </c>
      <c r="EB341" s="1047">
        <v>65.78606106850431</v>
      </c>
      <c r="EC341" s="1047">
        <v>65.191995366111428</v>
      </c>
      <c r="ED341" s="1047">
        <v>64.351685953640498</v>
      </c>
      <c r="EE341" s="1047">
        <v>64.13112063164138</v>
      </c>
      <c r="EF341" s="1047">
        <v>63.610783382770236</v>
      </c>
      <c r="EG341" s="1047">
        <v>61.201374463512508</v>
      </c>
      <c r="EH341" s="1047">
        <v>61.224949532483016</v>
      </c>
      <c r="EI341" s="1047">
        <v>62.680011862905353</v>
      </c>
      <c r="EJ341" s="1047">
        <v>62.770184236997927</v>
      </c>
      <c r="EK341" s="1047">
        <v>62.490122302942282</v>
      </c>
      <c r="EL341" s="1047">
        <v>60.464393550331948</v>
      </c>
      <c r="EM341" s="1047">
        <v>61.034906802819386</v>
      </c>
      <c r="EN341" s="1047">
        <v>60.433085126066338</v>
      </c>
      <c r="EO341" s="1047">
        <v>62.424271903372919</v>
      </c>
      <c r="EP341" s="1047">
        <v>56.973301987166636</v>
      </c>
      <c r="EQ341" s="1047">
        <v>62.851071380743811</v>
      </c>
      <c r="ER341" s="1047">
        <v>53.079333860546157</v>
      </c>
      <c r="ES341" s="1047">
        <v>46.313305875571871</v>
      </c>
      <c r="ET341" s="1047">
        <v>48.1117982571716</v>
      </c>
      <c r="EU341" s="1047">
        <v>42.478977158884774</v>
      </c>
      <c r="EV341" s="1047">
        <v>38.470291814136765</v>
      </c>
      <c r="EW341" s="1047">
        <v>57.737913100698172</v>
      </c>
      <c r="EX341" s="1047">
        <v>57.509985056514765</v>
      </c>
      <c r="EY341" s="1047">
        <v>58.872315642055206</v>
      </c>
      <c r="EZ341" s="1047">
        <v>57.993135923531312</v>
      </c>
      <c r="FA341" s="1047">
        <v>57.267983906887977</v>
      </c>
      <c r="FB341" s="1047">
        <v>57.467074121739685</v>
      </c>
      <c r="FC341" s="1047">
        <v>56.704525257306557</v>
      </c>
      <c r="FD341" s="1047">
        <v>56.130378341097206</v>
      </c>
      <c r="FE341" s="1047">
        <v>48.469480532719153</v>
      </c>
      <c r="FF341" s="1047">
        <v>48.467744689987271</v>
      </c>
      <c r="FG341" s="1047">
        <v>49.308536540724745</v>
      </c>
      <c r="FH341" s="1047">
        <v>49.142187522253437</v>
      </c>
      <c r="FI341" s="1047">
        <v>48.965052285108179</v>
      </c>
      <c r="FJ341" s="1047">
        <v>48.497643436539406</v>
      </c>
      <c r="FK341" s="1047">
        <v>48.411236942840276</v>
      </c>
      <c r="FL341" s="1047">
        <v>47.791221775756057</v>
      </c>
      <c r="FM341" s="1047">
        <v>86.430306236480504</v>
      </c>
      <c r="FN341" s="1047">
        <v>85.656604100347835</v>
      </c>
      <c r="FO341" s="1047">
        <v>86.365241603133626</v>
      </c>
      <c r="FP341" s="1047">
        <v>86.261733651871879</v>
      </c>
      <c r="FQ341" s="1047">
        <v>83.984190712767088</v>
      </c>
      <c r="FR341" s="1047">
        <v>81.471586741405986</v>
      </c>
      <c r="FS341" s="1047">
        <v>80.751162179099808</v>
      </c>
      <c r="FT341" s="1047">
        <v>76.519050722423117</v>
      </c>
      <c r="FU341" s="1047">
        <v>58.632326475226584</v>
      </c>
      <c r="FV341" s="1047">
        <v>58.60891425194626</v>
      </c>
      <c r="FW341" s="1047">
        <v>60.602318466472475</v>
      </c>
      <c r="FX341" s="1047">
        <v>60.00057322554629</v>
      </c>
      <c r="FY341" s="1047">
        <v>59.496658390398622</v>
      </c>
      <c r="FZ341" s="1047">
        <v>59.049905332189027</v>
      </c>
      <c r="GA341" s="1047">
        <v>58.72004850345683</v>
      </c>
      <c r="GB341" s="1047">
        <v>58.245125541979483</v>
      </c>
      <c r="GC341" s="1047">
        <v>65.494459407405913</v>
      </c>
      <c r="GD341" s="1047">
        <v>65.210587301664063</v>
      </c>
      <c r="GE341" s="1047">
        <v>66.707739934111828</v>
      </c>
      <c r="GF341" s="1047">
        <v>66.086949681351527</v>
      </c>
      <c r="GG341" s="1047">
        <v>65.281136735753137</v>
      </c>
      <c r="GH341" s="1047">
        <v>64.531249995596013</v>
      </c>
      <c r="GI341" s="1047">
        <v>64.202447638733446</v>
      </c>
      <c r="GJ341" s="1047">
        <v>63.606426464252074</v>
      </c>
      <c r="GK341" s="1047">
        <v>76.401274920634194</v>
      </c>
      <c r="GL341" s="1047">
        <v>80.703963999564081</v>
      </c>
      <c r="GM341" s="1047">
        <v>80.722916485662168</v>
      </c>
      <c r="GN341" s="1047">
        <v>84.494215296618052</v>
      </c>
      <c r="GO341" s="1047">
        <v>81.287683680341502</v>
      </c>
      <c r="GP341" s="1047">
        <v>81.401725752871869</v>
      </c>
      <c r="GQ341" s="1047">
        <v>77.576795644203486</v>
      </c>
      <c r="GR341" s="1047">
        <v>73.297073486961096</v>
      </c>
      <c r="GS341" s="1047">
        <v>65.579407411081277</v>
      </c>
      <c r="GT341" s="1047">
        <v>64.993498992527662</v>
      </c>
      <c r="GU341" s="1047">
        <v>66.630359912019188</v>
      </c>
      <c r="GV341" s="1047">
        <v>65.363888916460994</v>
      </c>
      <c r="GW341" s="1047">
        <v>63.996035723893812</v>
      </c>
      <c r="GX341" s="1047">
        <v>63.43660401120821</v>
      </c>
      <c r="GY341" s="1047">
        <v>62.461687551054872</v>
      </c>
      <c r="GZ341" s="1047">
        <v>61.149753803319719</v>
      </c>
      <c r="HA341" s="1047">
        <v>63.100842629623791</v>
      </c>
      <c r="HB341" s="1047">
        <v>63.159047950890759</v>
      </c>
      <c r="HC341" s="1047">
        <v>64.793890579588506</v>
      </c>
      <c r="HD341" s="1047">
        <v>64.757209486306735</v>
      </c>
      <c r="HE341" s="1047">
        <v>64.381965933626901</v>
      </c>
      <c r="HF341" s="1047">
        <v>63.243631771352462</v>
      </c>
      <c r="HG341" s="1047">
        <v>63.326761651388402</v>
      </c>
      <c r="HH341" s="1047">
        <v>62.762406795191509</v>
      </c>
      <c r="HI341" s="1047">
        <v>65.229775351250808</v>
      </c>
      <c r="HJ341" s="1047">
        <v>65.158921039948879</v>
      </c>
      <c r="HK341" s="1047">
        <v>66.620878958965875</v>
      </c>
      <c r="HL341" s="1047">
        <v>66.287006458006857</v>
      </c>
      <c r="HM341" s="1047">
        <v>65.771396419879025</v>
      </c>
      <c r="HN341" s="1047">
        <v>64.841477747161093</v>
      </c>
      <c r="HO341" s="1047">
        <v>64.728097681454742</v>
      </c>
      <c r="HP341" s="1047">
        <v>64.308647303262532</v>
      </c>
      <c r="HQ341" s="1047">
        <v>61.422326425890347</v>
      </c>
      <c r="HR341" s="1047">
        <v>61.498050343942566</v>
      </c>
      <c r="HS341" s="1047">
        <v>62.89394070591176</v>
      </c>
      <c r="HT341" s="1047">
        <v>63.106985482759107</v>
      </c>
      <c r="HU341" s="1047">
        <v>62.937474417622823</v>
      </c>
      <c r="HV341" s="1047">
        <v>60.76976934602677</v>
      </c>
      <c r="HW341" s="1047">
        <v>61.475348730629129</v>
      </c>
      <c r="HX341" s="1047">
        <v>61.012169407398424</v>
      </c>
      <c r="HY341" s="1047">
        <v>66.935122740009959</v>
      </c>
      <c r="HZ341" s="1047">
        <v>61.079211688389314</v>
      </c>
      <c r="IA341" s="1047">
        <v>67.144603648463431</v>
      </c>
      <c r="IB341" s="1047">
        <v>56.841150275649227</v>
      </c>
      <c r="IC341" s="1047">
        <v>49.402341026961651</v>
      </c>
      <c r="ID341" s="1047">
        <v>51.372468477766176</v>
      </c>
      <c r="IE341" s="1047">
        <v>45.33750832877277</v>
      </c>
      <c r="IF341" s="1047">
        <v>41.057915040468622</v>
      </c>
      <c r="IG341" s="1047">
        <v>58.420461793977573</v>
      </c>
      <c r="IH341" s="1047">
        <v>58.240503549139156</v>
      </c>
      <c r="II341" s="1047">
        <v>59.557187129627813</v>
      </c>
      <c r="IJ341" s="1047">
        <v>58.756998656462443</v>
      </c>
      <c r="IK341" s="1047">
        <v>58.104908457154409</v>
      </c>
      <c r="IL341" s="1047">
        <v>58.24687947017101</v>
      </c>
      <c r="IM341" s="1047">
        <v>57.554407348892518</v>
      </c>
      <c r="IN341" s="1047">
        <v>57.01134158435918</v>
      </c>
      <c r="IO341" s="1047">
        <v>48.507695422604854</v>
      </c>
      <c r="IP341" s="1047">
        <v>48.509891964271787</v>
      </c>
      <c r="IQ341" s="1047">
        <v>49.352576523471221</v>
      </c>
      <c r="IR341" s="1047">
        <v>49.191736659130278</v>
      </c>
      <c r="IS341" s="1047">
        <v>49.019552428499573</v>
      </c>
      <c r="IT341" s="1047">
        <v>48.542804383176673</v>
      </c>
      <c r="IU341" s="1047">
        <v>48.465558172409537</v>
      </c>
      <c r="IV341" s="1047">
        <v>47.858635765582214</v>
      </c>
      <c r="IW341" s="1047">
        <v>86.583377037992619</v>
      </c>
      <c r="IX341" s="1047">
        <v>85.81712683980993</v>
      </c>
      <c r="IY341" s="1047">
        <v>86.510384829308919</v>
      </c>
      <c r="IZ341" s="1047">
        <v>86.460026517377173</v>
      </c>
      <c r="JA341" s="1047">
        <v>84.499240612103364</v>
      </c>
      <c r="JB341" s="1047">
        <v>81.650183579956504</v>
      </c>
      <c r="JC341" s="1047">
        <v>81.294467564414319</v>
      </c>
      <c r="JD341" s="1047">
        <v>77.524729211374279</v>
      </c>
      <c r="JE341" s="1047">
        <v>58.824421783668413</v>
      </c>
      <c r="JF341" s="1047">
        <v>58.836179030508973</v>
      </c>
      <c r="JG341" s="1047">
        <v>60.788875303872288</v>
      </c>
      <c r="JH341" s="1047">
        <v>60.26313859131379</v>
      </c>
      <c r="JI341" s="1047">
        <v>59.819176012665991</v>
      </c>
      <c r="JJ341" s="1047">
        <v>59.303881230260792</v>
      </c>
      <c r="JK341" s="1047">
        <v>59.066335938161345</v>
      </c>
      <c r="JL341" s="1047">
        <v>58.654714060660709</v>
      </c>
      <c r="JM341" s="1047">
        <v>686.40092732028234</v>
      </c>
      <c r="JN341" s="1047">
        <v>182.71511022746151</v>
      </c>
      <c r="JO341" s="1047">
        <v>722.41092628749448</v>
      </c>
      <c r="JP341" s="1047">
        <v>851.39151426530987</v>
      </c>
      <c r="JQ341" s="1047">
        <v>1167.4430268486431</v>
      </c>
      <c r="JR341" s="1047">
        <v>10192.128016181625</v>
      </c>
      <c r="JS341" s="1047">
        <v>9524.4287055233344</v>
      </c>
      <c r="JT341" s="1047">
        <v>11311.26103134844</v>
      </c>
      <c r="JU341" s="1047">
        <v>-189.87147405838874</v>
      </c>
      <c r="JV341" s="1047">
        <v>-2.820571643112393E-7</v>
      </c>
      <c r="JW341" s="1047">
        <v>-2.260938288819351E-7</v>
      </c>
      <c r="JX341" s="1047">
        <v>-2.9579362555609709E-7</v>
      </c>
      <c r="JY341" s="1047">
        <v>-2.6485832589515306E-7</v>
      </c>
      <c r="JZ341" s="1047">
        <v>-2.7517154258029404E-7</v>
      </c>
      <c r="KA341" s="1047">
        <v>-3.2959379023091903E-7</v>
      </c>
      <c r="KB341" s="1047">
        <v>-3.3206442721784135E-7</v>
      </c>
      <c r="KC341" s="1047">
        <v>-23.850382523016712</v>
      </c>
      <c r="KD341" s="1047">
        <v>-8.1334363787993006E-5</v>
      </c>
      <c r="KE341" s="1047">
        <v>-1.6395059615688262E-4</v>
      </c>
      <c r="KF341" s="1047">
        <v>2.3902758683169565</v>
      </c>
      <c r="KG341" s="1047">
        <v>10.591970708468716</v>
      </c>
      <c r="KH341" s="1047">
        <v>-33.180917278781742</v>
      </c>
      <c r="KI341" s="1047">
        <v>33.526000207953139</v>
      </c>
      <c r="KJ341" s="1047">
        <v>14.697800902214972</v>
      </c>
      <c r="KK341" s="1047">
        <v>0.65422396912723269</v>
      </c>
      <c r="KL341" s="1047">
        <v>-3.54323972424167</v>
      </c>
      <c r="KM341" s="1047">
        <v>1.3341242580527704</v>
      </c>
      <c r="KN341" s="1047">
        <v>-4.1433277490687974</v>
      </c>
      <c r="KO341" s="1047">
        <v>-3.9481357222309188</v>
      </c>
      <c r="KP341" s="1047">
        <v>-10.903658134597855</v>
      </c>
      <c r="KQ341" s="1047">
        <v>71.184640213464448</v>
      </c>
      <c r="KR341" s="1047">
        <v>-4.5041305039416608</v>
      </c>
      <c r="KS341" s="1047">
        <v>1046.3638355539688</v>
      </c>
      <c r="KT341" s="1047">
        <v>1835.808493944915</v>
      </c>
      <c r="KU341" s="1047">
        <v>1430.4835881608894</v>
      </c>
      <c r="KV341" s="1047">
        <v>1001.0212317750266</v>
      </c>
      <c r="KW341" s="1047">
        <v>-5.8538877089694807E-6</v>
      </c>
      <c r="KX341" s="1047">
        <v>-4.9707259436545764E-6</v>
      </c>
      <c r="KY341" s="1047">
        <v>-5.4596074238590834E-6</v>
      </c>
      <c r="KZ341" s="1047">
        <v>-4.3775938326681539E-6</v>
      </c>
      <c r="LA341" s="1047">
        <v>1.48944987856928E-6</v>
      </c>
      <c r="LB341" s="1047">
        <v>2.9675936788144064E-6</v>
      </c>
      <c r="LC341" s="1047">
        <v>8.5870615925007929E-6</v>
      </c>
      <c r="LD341" s="1047">
        <v>6.4568833007951824E-5</v>
      </c>
      <c r="LE341" s="1047">
        <v>1.3668046960634586E-5</v>
      </c>
      <c r="LF341" s="1047">
        <v>2.3297934471613446E-5</v>
      </c>
      <c r="LG341" s="1047">
        <v>2.253373870918873E-6</v>
      </c>
      <c r="LH341" s="1047">
        <v>2.2016274506927921E-6</v>
      </c>
      <c r="LI341" s="1047">
        <v>-5.1000338123228808E-2</v>
      </c>
      <c r="LJ341" s="1047">
        <v>-8.5811916623169514E-3</v>
      </c>
      <c r="LK341" s="1047">
        <v>35.468373029649754</v>
      </c>
      <c r="LL341" s="1047">
        <v>-9.3292016252351153E-4</v>
      </c>
      <c r="LM341" s="1047">
        <v>-1.8978350396069332E-3</v>
      </c>
      <c r="LN341" s="1047">
        <v>-5.7662854215171256E-4</v>
      </c>
      <c r="LO341" s="1047">
        <v>88.37035518952267</v>
      </c>
      <c r="LP341" s="1047">
        <v>53.626330059446964</v>
      </c>
      <c r="LQ341" s="1047">
        <v>-22.327051005563135</v>
      </c>
      <c r="LR341" s="1047">
        <v>-23.134564760365585</v>
      </c>
      <c r="LS341" s="1047">
        <v>-19.719540526507515</v>
      </c>
      <c r="LT341" s="1047">
        <v>-23.208125846820661</v>
      </c>
      <c r="LU341" s="1047">
        <v>-25.302321787646804</v>
      </c>
      <c r="LV341" s="1047">
        <v>3028.9165560305742</v>
      </c>
      <c r="LW341" s="1047">
        <v>4298.2129052312612</v>
      </c>
      <c r="LX341" s="1047">
        <v>2983.7485126228912</v>
      </c>
      <c r="LY341" s="1047">
        <v>1473.0603621988428</v>
      </c>
      <c r="LZ341" s="1047">
        <v>-0.12700636673719448</v>
      </c>
      <c r="MA341" s="1047">
        <v>-0.11120115227734237</v>
      </c>
      <c r="MB341" s="1047">
        <v>1595.9610108288794</v>
      </c>
      <c r="MC341" s="1047">
        <v>-7.9753742413666839E-2</v>
      </c>
      <c r="MD341" s="1047">
        <v>-5.6456417656187204E-2</v>
      </c>
      <c r="ME341" s="1047">
        <v>-6.2635511619349327E-2</v>
      </c>
      <c r="MF341" s="1047">
        <v>-4.273946747311199E-2</v>
      </c>
      <c r="MG341" s="1047">
        <v>-1.8087046425719768E-7</v>
      </c>
      <c r="MH341" s="1047">
        <v>-1.8783014989793989E-7</v>
      </c>
      <c r="MI341" s="1047">
        <v>-1.6468003656113901E-7</v>
      </c>
      <c r="MJ341" s="1047">
        <v>-1.5099806566059937E-7</v>
      </c>
      <c r="MK341" s="1047">
        <v>-138.3266697493651</v>
      </c>
      <c r="ML341" s="1047">
        <v>-112.20008619450718</v>
      </c>
      <c r="MM341" s="1047">
        <v>-2.3248217609232167E-7</v>
      </c>
      <c r="MN341" s="1047">
        <v>-1.9282815176733401E-7</v>
      </c>
      <c r="MO341" s="1047">
        <v>-11.088883502897403</v>
      </c>
      <c r="MP341" s="1047">
        <v>-54.43580317914045</v>
      </c>
      <c r="MQ341" s="1047">
        <v>-40.598285964087111</v>
      </c>
      <c r="MR341" s="1047">
        <v>-11.261385617336192</v>
      </c>
      <c r="MS341" s="1047">
        <v>-11.326905705305093</v>
      </c>
      <c r="MT341" s="1047">
        <v>-483.94174423287399</v>
      </c>
      <c r="MU341" s="1047">
        <v>-14.040908025364677</v>
      </c>
      <c r="MV341" s="1047">
        <v>-12.308105629320121</v>
      </c>
      <c r="MW341" s="1047">
        <v>50.078203910141717</v>
      </c>
      <c r="MX341" s="1047">
        <v>50.078203910141717</v>
      </c>
      <c r="MY341" s="1047">
        <v>50.078203910141717</v>
      </c>
      <c r="MZ341" s="1047">
        <v>50.078203910141717</v>
      </c>
      <c r="NA341" s="1047">
        <v>50.078203910141717</v>
      </c>
      <c r="NB341" s="1047">
        <v>50.078203910141717</v>
      </c>
      <c r="NC341" s="1047">
        <v>50.078203910141717</v>
      </c>
      <c r="ND341" s="1047">
        <v>50.078203910141717</v>
      </c>
      <c r="NE341" s="1047">
        <v>69.923255497101252</v>
      </c>
      <c r="NF341" s="1047">
        <v>69.923255497101252</v>
      </c>
      <c r="NG341" s="1047">
        <v>69.923255497101252</v>
      </c>
      <c r="NH341" s="1047">
        <v>69.923255497101252</v>
      </c>
      <c r="NI341" s="1047">
        <v>69.923255497101252</v>
      </c>
      <c r="NJ341" s="1047">
        <v>69.923255497101252</v>
      </c>
      <c r="NK341" s="1047">
        <v>69.923255497101252</v>
      </c>
      <c r="NL341" s="1047">
        <v>69.923255497101252</v>
      </c>
      <c r="NM341" s="1047">
        <v>56.184089124811116</v>
      </c>
      <c r="NN341" s="1047">
        <v>56.184089124811116</v>
      </c>
      <c r="NO341" s="1047">
        <v>56.184089124811116</v>
      </c>
      <c r="NP341" s="1047">
        <v>56.184089124811116</v>
      </c>
      <c r="NQ341" s="1047">
        <v>56.184089124811116</v>
      </c>
      <c r="NR341" s="1047">
        <v>56.184089124811116</v>
      </c>
      <c r="NS341" s="1047">
        <v>56.184089124811116</v>
      </c>
      <c r="NT341" s="1047">
        <v>56.184089124811116</v>
      </c>
      <c r="NU341" s="1047">
        <v>50.512997831017856</v>
      </c>
      <c r="NV341" s="1047">
        <v>50.512997831017856</v>
      </c>
      <c r="NW341" s="1047">
        <v>50.512997831017856</v>
      </c>
      <c r="NX341" s="1047">
        <v>50.512997831017856</v>
      </c>
      <c r="NY341" s="1047">
        <v>50.512997831017856</v>
      </c>
      <c r="NZ341" s="1047">
        <v>50.512997831017856</v>
      </c>
      <c r="OA341" s="1047">
        <v>50.512997831017856</v>
      </c>
      <c r="OB341" s="1047">
        <v>50.512997831017856</v>
      </c>
      <c r="OC341" s="1047">
        <v>55.778183552769448</v>
      </c>
      <c r="OD341" s="1047">
        <v>55.778183552769448</v>
      </c>
      <c r="OE341" s="1047">
        <v>55.778183552769448</v>
      </c>
      <c r="OF341" s="1047">
        <v>55.778183552769448</v>
      </c>
      <c r="OG341" s="1047">
        <v>55.778183552769448</v>
      </c>
      <c r="OH341" s="1047">
        <v>55.778183552769448</v>
      </c>
      <c r="OI341" s="1047">
        <v>55.778183552769448</v>
      </c>
      <c r="OJ341" s="1047">
        <v>55.778183552769448</v>
      </c>
      <c r="OK341" s="1047">
        <v>56.363164129460628</v>
      </c>
      <c r="OL341" s="1047">
        <v>56.363164129460628</v>
      </c>
      <c r="OM341" s="1047">
        <v>56.363164129460628</v>
      </c>
      <c r="ON341" s="1047">
        <v>56.363164129460628</v>
      </c>
      <c r="OO341" s="1047">
        <v>56.363164129460628</v>
      </c>
      <c r="OP341" s="1047">
        <v>56.363164129460628</v>
      </c>
      <c r="OQ341" s="1047">
        <v>56.363164129460628</v>
      </c>
      <c r="OR341" s="1047">
        <v>56.363164129460628</v>
      </c>
      <c r="OS341" s="1047">
        <v>23.363676713409458</v>
      </c>
      <c r="OT341" s="1047">
        <v>23.363676713409458</v>
      </c>
      <c r="OU341" s="1047">
        <v>23.363676713409458</v>
      </c>
      <c r="OV341" s="1047">
        <v>23.363676713409458</v>
      </c>
      <c r="OW341" s="1047">
        <v>23.363676713409458</v>
      </c>
      <c r="OX341" s="1047">
        <v>23.363676713409458</v>
      </c>
      <c r="OY341" s="1047">
        <v>23.363676713409458</v>
      </c>
      <c r="OZ341" s="1047">
        <v>23.363676713409458</v>
      </c>
      <c r="PA341" s="1047">
        <v>45.032804847419058</v>
      </c>
      <c r="PB341" s="1047">
        <v>45.032804847419058</v>
      </c>
      <c r="PC341" s="1047">
        <v>45.032804847419058</v>
      </c>
      <c r="PD341" s="1047">
        <v>45.032804847419058</v>
      </c>
      <c r="PE341" s="1047">
        <v>45.032804847419058</v>
      </c>
      <c r="PF341" s="1047">
        <v>45.032804847419058</v>
      </c>
      <c r="PG341" s="1047">
        <v>45.032804847419058</v>
      </c>
      <c r="PH341" s="1047">
        <v>45.032804847419058</v>
      </c>
      <c r="PI341" s="1047">
        <v>49.377060370841562</v>
      </c>
      <c r="PJ341" s="1047">
        <v>49.377060370841562</v>
      </c>
      <c r="PK341" s="1047">
        <v>49.377060370841562</v>
      </c>
      <c r="PL341" s="1047">
        <v>49.377060370841562</v>
      </c>
      <c r="PM341" s="1047">
        <v>49.377060370841562</v>
      </c>
      <c r="PN341" s="1047">
        <v>49.377060370841562</v>
      </c>
      <c r="PO341" s="1047">
        <v>49.377060370841562</v>
      </c>
      <c r="PP341" s="1047">
        <v>49.377060370841562</v>
      </c>
      <c r="PQ341" s="1047">
        <v>73.996392410170017</v>
      </c>
      <c r="PR341" s="1047">
        <v>73.996392410170017</v>
      </c>
      <c r="PS341" s="1047">
        <v>73.996392410170017</v>
      </c>
      <c r="PT341" s="1047">
        <v>73.996392410170017</v>
      </c>
      <c r="PU341" s="1047">
        <v>73.996392410170017</v>
      </c>
      <c r="PV341" s="1047">
        <v>73.996392410170017</v>
      </c>
      <c r="PW341" s="1047">
        <v>73.996392410170017</v>
      </c>
      <c r="PX341" s="1047">
        <v>73.996392410170017</v>
      </c>
      <c r="PY341" s="1047">
        <v>49.345773757850289</v>
      </c>
      <c r="PZ341" s="1047">
        <v>49.345773757850289</v>
      </c>
      <c r="QA341" s="1047">
        <v>49.345773757850289</v>
      </c>
      <c r="QB341" s="1047">
        <v>49.345773757850289</v>
      </c>
      <c r="QC341" s="1047">
        <v>49.345773757850289</v>
      </c>
      <c r="QD341" s="1047">
        <v>49.345773757850289</v>
      </c>
      <c r="QE341" s="1047">
        <v>49.345773757850289</v>
      </c>
      <c r="QF341" s="1047">
        <v>49.345773757850289</v>
      </c>
      <c r="QG341" s="1047">
        <v>53.753738853363878</v>
      </c>
      <c r="QH341" s="1047">
        <v>53.460508246158483</v>
      </c>
      <c r="QI341" s="1047">
        <v>54.750028957010869</v>
      </c>
      <c r="QJ341" s="1047">
        <v>54.106671229527805</v>
      </c>
      <c r="QK341" s="1047">
        <v>53.348826685555693</v>
      </c>
      <c r="QL341" s="1047">
        <v>52.822757427304829</v>
      </c>
      <c r="QM341" s="1047">
        <v>52.411199863317812</v>
      </c>
      <c r="QN341" s="1047">
        <v>51.850982524826726</v>
      </c>
      <c r="QO341" s="1047">
        <v>70.046112013857623</v>
      </c>
      <c r="QP341" s="1047">
        <v>73.55253915107572</v>
      </c>
      <c r="QQ341" s="1047">
        <v>73.83416690265183</v>
      </c>
      <c r="QR341" s="1047">
        <v>76.504899452919616</v>
      </c>
      <c r="QS341" s="1047">
        <v>73.701218058411186</v>
      </c>
      <c r="QT341" s="1047">
        <v>73.683120076714133</v>
      </c>
      <c r="QU341" s="1047">
        <v>70.543943759412045</v>
      </c>
      <c r="QV341" s="1047">
        <v>66.786042385646226</v>
      </c>
      <c r="QW341" s="1047">
        <v>58.812511699582217</v>
      </c>
      <c r="QX341" s="1047">
        <v>58.207527945524348</v>
      </c>
      <c r="QY341" s="1047">
        <v>59.793636154523213</v>
      </c>
      <c r="QZ341" s="1047">
        <v>58.386197759544793</v>
      </c>
      <c r="RA341" s="1047">
        <v>57.008344631027192</v>
      </c>
      <c r="RB341" s="1047">
        <v>56.59842909139158</v>
      </c>
      <c r="RC341" s="1047">
        <v>55.581186671057253</v>
      </c>
      <c r="RD341" s="1047">
        <v>54.354285817322584</v>
      </c>
      <c r="RE341" s="1047">
        <v>51.375602388605202</v>
      </c>
      <c r="RF341" s="1047">
        <v>51.337449013734243</v>
      </c>
      <c r="RG341" s="1047">
        <v>52.688675650991613</v>
      </c>
      <c r="RH341" s="1047">
        <v>52.572223496229036</v>
      </c>
      <c r="RI341" s="1047">
        <v>52.05092417966619</v>
      </c>
      <c r="RJ341" s="1047">
        <v>51.353244710902068</v>
      </c>
      <c r="RK341" s="1047">
        <v>51.070119351557032</v>
      </c>
      <c r="RL341" s="1047">
        <v>50.471979521446748</v>
      </c>
      <c r="RM341" s="1047">
        <v>54.972091682930198</v>
      </c>
      <c r="RN341" s="1047">
        <v>54.852621081561253</v>
      </c>
      <c r="RO341" s="1047">
        <v>56.221707675632167</v>
      </c>
      <c r="RP341" s="1047">
        <v>55.798422238559318</v>
      </c>
      <c r="RQ341" s="1047">
        <v>55.330850880477499</v>
      </c>
      <c r="RR341" s="1047">
        <v>54.611689508109031</v>
      </c>
      <c r="RS341" s="1047">
        <v>54.449802902801835</v>
      </c>
      <c r="RT341" s="1047">
        <v>54.082825985754916</v>
      </c>
      <c r="RU341" s="1047">
        <v>54.948661593342869</v>
      </c>
      <c r="RV341" s="1047">
        <v>54.875971534703481</v>
      </c>
      <c r="RW341" s="1047">
        <v>56.322753617108518</v>
      </c>
      <c r="RX341" s="1047">
        <v>56.099177193719456</v>
      </c>
      <c r="RY341" s="1047">
        <v>55.506819209082991</v>
      </c>
      <c r="RZ341" s="1047">
        <v>53.964240123696285</v>
      </c>
      <c r="SA341" s="1047">
        <v>53.919257959965648</v>
      </c>
      <c r="SB341" s="1047">
        <v>53.183069988822716</v>
      </c>
      <c r="SC341" s="1047">
        <v>52.344138877317079</v>
      </c>
      <c r="SD341" s="1047">
        <v>47.789757336371906</v>
      </c>
      <c r="SE341" s="1047">
        <v>52.696861709230554</v>
      </c>
      <c r="SF341" s="1047">
        <v>44.601122497518197</v>
      </c>
      <c r="SG341" s="1047">
        <v>38.891099456325307</v>
      </c>
      <c r="SH341" s="1047">
        <v>40.365317464019235</v>
      </c>
      <c r="SI341" s="1047">
        <v>35.689456808111693</v>
      </c>
      <c r="SJ341" s="1047">
        <v>32.377064433365689</v>
      </c>
      <c r="SK341" s="1047">
        <v>48.075424076690688</v>
      </c>
      <c r="SL341" s="1047">
        <v>47.96729303677926</v>
      </c>
      <c r="SM341" s="1047">
        <v>49.060090280280569</v>
      </c>
      <c r="SN341" s="1047">
        <v>48.443870182577719</v>
      </c>
      <c r="SO341" s="1047">
        <v>47.96066730536748</v>
      </c>
      <c r="SP341" s="1047">
        <v>48.063838576113938</v>
      </c>
      <c r="SQ341" s="1047">
        <v>47.547746244140924</v>
      </c>
      <c r="SR341" s="1047">
        <v>47.155237880665851</v>
      </c>
      <c r="SS341" s="1047">
        <v>48.444524371225846</v>
      </c>
      <c r="ST341" s="1047">
        <v>48.4089533520944</v>
      </c>
      <c r="SU341" s="1047">
        <v>49.268471215629155</v>
      </c>
      <c r="SV341" s="1047">
        <v>49.047914487934392</v>
      </c>
      <c r="SW341" s="1047">
        <v>48.808147726046144</v>
      </c>
      <c r="SX341" s="1047">
        <v>48.402499815763377</v>
      </c>
      <c r="SY341" s="1047">
        <v>48.23150168283177</v>
      </c>
      <c r="SZ341" s="1047">
        <v>47.596785499112094</v>
      </c>
      <c r="TA341" s="1047">
        <v>76.323988774834035</v>
      </c>
      <c r="TB341" s="1047">
        <v>75.658883310875794</v>
      </c>
      <c r="TC341" s="1047">
        <v>76.378111944889781</v>
      </c>
      <c r="TD341" s="1047">
        <v>76.25737245884477</v>
      </c>
      <c r="TE341" s="1047">
        <v>75.381891014434302</v>
      </c>
      <c r="TF341" s="1047">
        <v>72.251207681166107</v>
      </c>
      <c r="TG341" s="1047">
        <v>72.92028222294249</v>
      </c>
      <c r="TH341" s="1047">
        <v>70.242368308283403</v>
      </c>
      <c r="TI341" s="1047">
        <v>48.978371092694879</v>
      </c>
      <c r="TJ341" s="1047">
        <v>48.932647043257475</v>
      </c>
      <c r="TK341" s="1047">
        <v>50.613278800226361</v>
      </c>
      <c r="TL341" s="1047">
        <v>50.042719870311551</v>
      </c>
      <c r="TM341" s="1047">
        <v>49.556815766304702</v>
      </c>
      <c r="TN341" s="1047">
        <v>49.224928001900686</v>
      </c>
      <c r="TO341" s="1047">
        <v>48.880894307741343</v>
      </c>
      <c r="TP341" s="1047">
        <v>48.488494188899374</v>
      </c>
      <c r="TQ341" s="1047">
        <v>54.102539374816317</v>
      </c>
      <c r="TR341" s="1047">
        <v>53.842085554117091</v>
      </c>
      <c r="TS341" s="1047">
        <v>55.09086304866306</v>
      </c>
      <c r="TT341" s="1047">
        <v>54.538440284358018</v>
      </c>
      <c r="TU341" s="1047">
        <v>53.867651129666143</v>
      </c>
      <c r="TV341" s="1047">
        <v>53.272482567966435</v>
      </c>
      <c r="TW341" s="1047">
        <v>52.968376414610248</v>
      </c>
      <c r="TX341" s="1047">
        <v>52.507738516829818</v>
      </c>
      <c r="TY341" s="1047">
        <v>70.327590818694418</v>
      </c>
      <c r="TZ341" s="1047">
        <v>73.954720710936741</v>
      </c>
      <c r="UA341" s="1047">
        <v>74.083517852382869</v>
      </c>
      <c r="UB341" s="1047">
        <v>77.028739744131542</v>
      </c>
      <c r="UC341" s="1047">
        <v>74.406574594652795</v>
      </c>
      <c r="UD341" s="1047">
        <v>74.206526049656858</v>
      </c>
      <c r="UE341" s="1047">
        <v>71.281207124808461</v>
      </c>
      <c r="UF341" s="1047">
        <v>67.82109971345146</v>
      </c>
      <c r="UG341" s="1047">
        <v>59.240991418958608</v>
      </c>
      <c r="UH341" s="1047">
        <v>58.674516465642682</v>
      </c>
      <c r="UI341" s="1047">
        <v>60.209604817114958</v>
      </c>
      <c r="UJ341" s="1047">
        <v>58.900955853269977</v>
      </c>
      <c r="UK341" s="1047">
        <v>57.618997724142382</v>
      </c>
      <c r="UL341" s="1047">
        <v>57.114763805820346</v>
      </c>
      <c r="UM341" s="1047">
        <v>56.231082411658782</v>
      </c>
      <c r="UN341" s="1047">
        <v>55.106981467263232</v>
      </c>
      <c r="UO341" s="1047">
        <v>51.463893377156822</v>
      </c>
      <c r="UP341" s="1047">
        <v>51.443917805516989</v>
      </c>
      <c r="UQ341" s="1047">
        <v>52.770835855069187</v>
      </c>
      <c r="UR341" s="1047">
        <v>52.704582619476938</v>
      </c>
      <c r="US341" s="1047">
        <v>52.275302062103606</v>
      </c>
      <c r="UT341" s="1047">
        <v>51.501386307347026</v>
      </c>
      <c r="UU341" s="1047">
        <v>51.3190798580898</v>
      </c>
      <c r="UV341" s="1047">
        <v>50.823900571261355</v>
      </c>
      <c r="UW341" s="1047">
        <v>55.307013216625982</v>
      </c>
      <c r="UX341" s="1047">
        <v>55.233265940444731</v>
      </c>
      <c r="UY341" s="1047">
        <v>56.541856106806044</v>
      </c>
      <c r="UZ341" s="1047">
        <v>56.209520228104545</v>
      </c>
      <c r="VA341" s="1047">
        <v>55.815049179399011</v>
      </c>
      <c r="VB341" s="1047">
        <v>55.02367547468112</v>
      </c>
      <c r="VC341" s="1047">
        <v>54.951167279413127</v>
      </c>
      <c r="VD341" s="1047">
        <v>54.660473210980818</v>
      </c>
      <c r="VE341" s="1047">
        <v>55.104097711256564</v>
      </c>
      <c r="VF341" s="1047">
        <v>55.047837415583288</v>
      </c>
      <c r="VG341" s="1047">
        <v>56.469570206049582</v>
      </c>
      <c r="VH341" s="1047">
        <v>56.303586716437977</v>
      </c>
      <c r="VI341" s="1047">
        <v>55.834370821280459</v>
      </c>
      <c r="VJ341" s="1047">
        <v>54.152687340462982</v>
      </c>
      <c r="VK341" s="1047">
        <v>54.275594872666971</v>
      </c>
      <c r="VL341" s="1047">
        <v>53.706894696670673</v>
      </c>
      <c r="VM341" s="1047">
        <v>55.670448179356015</v>
      </c>
      <c r="VN341" s="1047">
        <v>50.900760052130401</v>
      </c>
      <c r="VO341" s="1047">
        <v>55.948811343034421</v>
      </c>
      <c r="VP341" s="1047">
        <v>47.481377930614187</v>
      </c>
      <c r="VQ341" s="1047">
        <v>41.341775977040562</v>
      </c>
      <c r="VR341" s="1047">
        <v>42.924124728645083</v>
      </c>
      <c r="VS341" s="1047">
        <v>37.931408761908024</v>
      </c>
      <c r="VT341" s="1047">
        <v>34.43888292847496</v>
      </c>
      <c r="VU341" s="1047">
        <v>48.615741306954881</v>
      </c>
      <c r="VV341" s="1047">
        <v>48.530096075969482</v>
      </c>
      <c r="VW341" s="1047">
        <v>49.595569263290095</v>
      </c>
      <c r="VX341" s="1047">
        <v>49.037484990152095</v>
      </c>
      <c r="VY341" s="1047">
        <v>48.610818643376668</v>
      </c>
      <c r="VZ341" s="1047">
        <v>48.672486111282751</v>
      </c>
      <c r="WA341" s="1047">
        <v>48.215485807319439</v>
      </c>
      <c r="WB341" s="1047">
        <v>47.87119049089155</v>
      </c>
      <c r="WC341" s="1047">
        <v>48.486505524923103</v>
      </c>
      <c r="WD341" s="1047">
        <v>48.452438387552107</v>
      </c>
      <c r="WE341" s="1047">
        <v>49.314349355948934</v>
      </c>
      <c r="WF341" s="1047">
        <v>49.098678258573905</v>
      </c>
      <c r="WG341" s="1047">
        <v>48.864406616278465</v>
      </c>
      <c r="WH341" s="1047">
        <v>48.449465999399422</v>
      </c>
      <c r="WI341" s="1047">
        <v>48.286449030023512</v>
      </c>
      <c r="WJ341" s="1047">
        <v>47.661805433846602</v>
      </c>
      <c r="WK341" s="1047">
        <v>76.52619204536235</v>
      </c>
      <c r="WL341" s="1047">
        <v>75.883076960617487</v>
      </c>
      <c r="WM341" s="1047">
        <v>76.564055433920188</v>
      </c>
      <c r="WN341" s="1047">
        <v>76.506024282346019</v>
      </c>
      <c r="WO341" s="1047">
        <v>75.770062841719067</v>
      </c>
      <c r="WP341" s="1047">
        <v>72.493404666393445</v>
      </c>
      <c r="WQ341" s="1047">
        <v>73.364567012038094</v>
      </c>
      <c r="WR341" s="1047">
        <v>71.097092415120144</v>
      </c>
      <c r="WS341" s="1047">
        <v>49.099515277788058</v>
      </c>
      <c r="WT341" s="1047">
        <v>49.078795829826717</v>
      </c>
      <c r="WU341" s="1047">
        <v>50.728038865279764</v>
      </c>
      <c r="WV341" s="1047">
        <v>50.217812505840975</v>
      </c>
      <c r="WW341" s="1047">
        <v>49.795690900123162</v>
      </c>
      <c r="WX341" s="1047">
        <v>49.395402769219615</v>
      </c>
      <c r="WY341" s="1047">
        <v>49.1405981669526</v>
      </c>
      <c r="WZ341" s="1047">
        <v>48.801769040258307</v>
      </c>
      <c r="XA341" s="1047">
        <v>342.18801956384806</v>
      </c>
      <c r="XB341" s="1047">
        <v>416.898266175039</v>
      </c>
      <c r="XC341" s="1047">
        <v>35.516750729487335</v>
      </c>
      <c r="XD341" s="1047">
        <v>194.34202102721554</v>
      </c>
      <c r="XE341" s="1047">
        <v>2411.8086515192695</v>
      </c>
      <c r="XF341" s="1047">
        <v>1028.3261869891194</v>
      </c>
      <c r="XG341" s="1047">
        <v>1253.2708571322864</v>
      </c>
      <c r="XH341" s="1047">
        <v>220.55015528060756</v>
      </c>
      <c r="XI341" s="1047">
        <v>-284.59904019302024</v>
      </c>
      <c r="XJ341" s="1047">
        <v>-275.60196214369262</v>
      </c>
      <c r="XK341" s="1047">
        <v>-2.7551490030603014E-7</v>
      </c>
      <c r="XL341" s="1047">
        <v>-268.86795442876041</v>
      </c>
      <c r="XM341" s="1047">
        <v>-3.4167985441410745E-7</v>
      </c>
      <c r="XN341" s="1047">
        <v>-3.5092393757416097E-7</v>
      </c>
      <c r="XO341" s="1047">
        <v>-3.5381383879280279E-7</v>
      </c>
      <c r="XP341" s="1047">
        <v>-3.7804901910195991E-7</v>
      </c>
      <c r="XQ341" s="1047">
        <v>3238.0851026814803</v>
      </c>
      <c r="XR341" s="1047">
        <v>1500.51950735174</v>
      </c>
      <c r="XS341" s="1047">
        <v>1147.4981176924316</v>
      </c>
      <c r="XT341" s="1047">
        <v>-29.254655987809166</v>
      </c>
      <c r="XU341" s="1047">
        <v>-24.121110073435304</v>
      </c>
      <c r="XV341" s="1047">
        <v>613.94553284511971</v>
      </c>
      <c r="XW341" s="1047">
        <v>732.68142326789496</v>
      </c>
      <c r="XX341" s="1047">
        <v>15.779657388845068</v>
      </c>
      <c r="XY341" s="1047">
        <v>-17.121326922597728</v>
      </c>
      <c r="XZ341" s="1047">
        <v>0.52690809924199156</v>
      </c>
      <c r="YA341" s="1047">
        <v>-11.986164925926776</v>
      </c>
      <c r="YB341" s="1047">
        <v>-6.3648975542300041</v>
      </c>
      <c r="YC341" s="1047">
        <v>-7.5658350811983333</v>
      </c>
      <c r="YD341" s="1047">
        <v>3.2271863441899962</v>
      </c>
      <c r="YE341" s="1047">
        <v>-128.4303697261079</v>
      </c>
      <c r="YF341" s="1047">
        <v>-101.65926935000952</v>
      </c>
      <c r="YG341" s="1047">
        <v>2749.9425600234404</v>
      </c>
      <c r="YH341" s="1047">
        <v>2436.3717216976279</v>
      </c>
      <c r="YI341" s="1047">
        <v>3401.7324062872171</v>
      </c>
      <c r="YJ341" s="1047">
        <v>1999.1180356315676</v>
      </c>
      <c r="YK341" s="1047">
        <v>1075.4769359246311</v>
      </c>
      <c r="YL341" s="1047">
        <v>717.59315246171536</v>
      </c>
      <c r="YM341" s="1047">
        <v>1613.2684533050235</v>
      </c>
      <c r="YN341" s="1047">
        <v>154.73853924212023</v>
      </c>
      <c r="YO341" s="1047">
        <v>1.3365865077719989E-5</v>
      </c>
      <c r="YP341" s="1047">
        <v>1.1403944583862589E-5</v>
      </c>
      <c r="YQ341" s="1047">
        <v>1.5607260806810096E-5</v>
      </c>
      <c r="YR341" s="1047">
        <v>2.3030181882117225E-5</v>
      </c>
      <c r="YS341" s="1047">
        <v>1.2120085491061004E-5</v>
      </c>
      <c r="YT341" s="1047">
        <v>8.1646045549602888E-6</v>
      </c>
      <c r="YU341" s="1047">
        <v>1.7210764223821063E-5</v>
      </c>
      <c r="YV341" s="1047">
        <v>5.9268315795093404E-6</v>
      </c>
      <c r="YW341" s="1047">
        <v>49.572526173436358</v>
      </c>
      <c r="YX341" s="1047">
        <v>65.25824693727273</v>
      </c>
      <c r="YY341" s="1047">
        <v>40.739643881008355</v>
      </c>
      <c r="YZ341" s="1047">
        <v>85.225259030342457</v>
      </c>
      <c r="ZA341" s="1047">
        <v>74.591602035923813</v>
      </c>
      <c r="ZB341" s="1047">
        <v>165.24032333243511</v>
      </c>
      <c r="ZC341" s="1047">
        <v>134.54640783696217</v>
      </c>
      <c r="ZD341" s="1047">
        <v>149.72852983572594</v>
      </c>
      <c r="ZE341" s="1047">
        <v>-25.177799731312593</v>
      </c>
      <c r="ZF341" s="1047">
        <v>-25.971027733624851</v>
      </c>
      <c r="ZG341" s="1047">
        <v>1812.3866350389053</v>
      </c>
      <c r="ZH341" s="1047">
        <v>-25.893848580179132</v>
      </c>
      <c r="ZI341" s="1047">
        <v>-28.046903005672931</v>
      </c>
      <c r="ZJ341" s="1047">
        <v>2655.4491086072303</v>
      </c>
      <c r="ZK341" s="1047">
        <v>-28.344854809966208</v>
      </c>
      <c r="ZL341" s="1047">
        <v>-27.240423536476943</v>
      </c>
      <c r="ZM341" s="1047">
        <v>1810.1305853202118</v>
      </c>
      <c r="ZN341" s="1047">
        <v>-1.0046889672520836</v>
      </c>
      <c r="ZO341" s="1047">
        <v>-0.92690654378038928</v>
      </c>
      <c r="ZP341" s="1047">
        <v>2419.8211589752796</v>
      </c>
      <c r="ZQ341" s="1047">
        <v>2349.2305300205103</v>
      </c>
      <c r="ZR341" s="1047">
        <v>-0.45968356359626267</v>
      </c>
      <c r="ZS341" s="1047">
        <v>-0.23856256159593786</v>
      </c>
      <c r="ZT341" s="1047">
        <v>2662.1096402608705</v>
      </c>
      <c r="ZU341" s="1047">
        <v>-2.5864994247714224E-7</v>
      </c>
      <c r="ZV341" s="1047">
        <v>-2.6298504900715668E-7</v>
      </c>
      <c r="ZW341" s="1047">
        <v>-68.462522225305534</v>
      </c>
      <c r="ZX341" s="1047">
        <v>768.15302333688533</v>
      </c>
      <c r="ZY341" s="1047">
        <v>-2.1463305793479753E-7</v>
      </c>
      <c r="ZZ341" s="1047">
        <v>-1.8690238370705522E-7</v>
      </c>
      <c r="AAA341" s="1047">
        <v>575.68094639998685</v>
      </c>
      <c r="AAB341" s="1047">
        <v>-2.3789333155100563E-7</v>
      </c>
      <c r="AAC341" s="1047">
        <v>435.10658569074241</v>
      </c>
      <c r="AAD341" s="1047">
        <v>482.8432027153803</v>
      </c>
      <c r="AAE341" s="1047">
        <v>-10.612663127014303</v>
      </c>
      <c r="AAF341" s="1047">
        <v>-1577.0014108168243</v>
      </c>
      <c r="AAG341" s="1047">
        <v>-12.081456658981958</v>
      </c>
      <c r="AAH341" s="1047">
        <v>715.32661157386428</v>
      </c>
      <c r="AAI341" s="1047">
        <v>837.96936712311708</v>
      </c>
      <c r="AAJ341" s="1047">
        <v>-723.87260637249483</v>
      </c>
      <c r="AAK341" s="1063"/>
    </row>
    <row r="342" spans="2:713" hidden="1">
      <c r="B342" s="1023" t="s">
        <v>1866</v>
      </c>
      <c r="C342" s="723"/>
      <c r="D342" s="999"/>
      <c r="E342" s="1068" t="s">
        <v>1850</v>
      </c>
      <c r="F342" s="534"/>
      <c r="G342" s="534" t="s">
        <v>68</v>
      </c>
      <c r="H342" s="534"/>
      <c r="I342" s="1047"/>
      <c r="J342" s="1047"/>
      <c r="K342" s="1047"/>
      <c r="L342" s="1047"/>
      <c r="M342" s="1047"/>
      <c r="N342" s="1047"/>
      <c r="O342" s="1047"/>
      <c r="P342" s="1047"/>
      <c r="Q342" s="1047"/>
      <c r="R342" s="1047"/>
      <c r="S342" s="1047"/>
      <c r="T342" s="1047"/>
      <c r="U342" s="1047"/>
      <c r="V342" s="1047"/>
      <c r="W342" s="1047"/>
      <c r="X342" s="1047"/>
      <c r="Y342" s="1047"/>
      <c r="Z342" s="1047"/>
      <c r="AA342" s="1047"/>
      <c r="AB342" s="1047"/>
      <c r="AC342" s="1047"/>
      <c r="AD342" s="1047"/>
      <c r="AE342" s="1047"/>
      <c r="AF342" s="1047"/>
      <c r="AG342" s="1047"/>
      <c r="AH342" s="1047"/>
      <c r="AI342" s="1047"/>
      <c r="AJ342" s="1047"/>
      <c r="AK342" s="1047"/>
      <c r="AL342" s="1047"/>
      <c r="AM342" s="1047"/>
      <c r="AN342" s="1047"/>
      <c r="AO342" s="1047"/>
      <c r="AP342" s="1047"/>
      <c r="AQ342" s="1047"/>
      <c r="AR342" s="1047"/>
      <c r="AS342" s="1047"/>
      <c r="AT342" s="1047"/>
      <c r="AU342" s="1047"/>
      <c r="AV342" s="1047"/>
      <c r="AW342" s="1047"/>
      <c r="AX342" s="1047"/>
      <c r="AY342" s="1047"/>
      <c r="AZ342" s="1047"/>
      <c r="BA342" s="1047"/>
      <c r="BB342" s="1047"/>
      <c r="BC342" s="1047"/>
      <c r="BD342" s="1047"/>
      <c r="BE342" s="1047"/>
      <c r="BF342" s="1047"/>
      <c r="BG342" s="1047"/>
      <c r="BH342" s="1047"/>
      <c r="BI342" s="1047"/>
      <c r="BJ342" s="1047"/>
      <c r="BK342" s="1047"/>
      <c r="BL342" s="1047"/>
      <c r="BM342" s="1047"/>
      <c r="BN342" s="1047"/>
      <c r="BO342" s="1047"/>
      <c r="BP342" s="1047"/>
      <c r="BQ342" s="1047"/>
      <c r="BR342" s="1047"/>
      <c r="BS342" s="1047"/>
      <c r="BT342" s="1047"/>
      <c r="BU342" s="1047"/>
      <c r="BV342" s="1047"/>
      <c r="BW342" s="1047"/>
      <c r="BX342" s="1047"/>
      <c r="BY342" s="1047"/>
      <c r="BZ342" s="1047"/>
      <c r="CA342" s="1047"/>
      <c r="CB342" s="1047"/>
      <c r="CC342" s="1047"/>
      <c r="CD342" s="1047"/>
      <c r="CE342" s="1047"/>
      <c r="CF342" s="1047"/>
      <c r="CG342" s="1047"/>
      <c r="CH342" s="1047"/>
      <c r="CI342" s="1047"/>
      <c r="CJ342" s="1047"/>
      <c r="CK342" s="1047"/>
      <c r="CL342" s="1047"/>
      <c r="CM342" s="1047"/>
      <c r="CN342" s="1047"/>
      <c r="CO342" s="1047"/>
      <c r="CP342" s="1047"/>
      <c r="CQ342" s="1047"/>
      <c r="CR342" s="1047"/>
      <c r="CS342" s="1047"/>
      <c r="CT342" s="1047"/>
      <c r="CU342" s="1047"/>
      <c r="CV342" s="1047"/>
      <c r="CW342" s="1047"/>
      <c r="CX342" s="1047"/>
      <c r="CY342" s="1047"/>
      <c r="CZ342" s="1047"/>
      <c r="DA342" s="1047"/>
      <c r="DB342" s="1047"/>
      <c r="DC342" s="1047"/>
      <c r="DD342" s="1047"/>
      <c r="DE342" s="1047"/>
      <c r="DF342" s="1047"/>
      <c r="DG342" s="1047"/>
      <c r="DH342" s="1047"/>
      <c r="DI342" s="1047"/>
      <c r="DJ342" s="1047"/>
      <c r="DK342" s="1047"/>
      <c r="DL342" s="1047"/>
      <c r="DM342" s="1047"/>
      <c r="DN342" s="1047"/>
      <c r="DO342" s="1047"/>
      <c r="DP342" s="1047"/>
      <c r="DQ342" s="1047"/>
      <c r="DR342" s="1047"/>
      <c r="DS342" s="1047"/>
      <c r="DT342" s="1047"/>
      <c r="DU342" s="1047"/>
      <c r="DV342" s="1047"/>
      <c r="DW342" s="1047"/>
      <c r="DX342" s="1047"/>
      <c r="DY342" s="1047"/>
      <c r="DZ342" s="1047"/>
      <c r="EA342" s="1047"/>
      <c r="EB342" s="1047"/>
      <c r="EC342" s="1047"/>
      <c r="ED342" s="1047"/>
      <c r="EE342" s="1047"/>
      <c r="EF342" s="1047"/>
      <c r="EG342" s="1047"/>
      <c r="EH342" s="1047"/>
      <c r="EI342" s="1047"/>
      <c r="EJ342" s="1047"/>
      <c r="EK342" s="1047"/>
      <c r="EL342" s="1047"/>
      <c r="EM342" s="1047"/>
      <c r="EN342" s="1047"/>
      <c r="EO342" s="1047"/>
      <c r="EP342" s="1047"/>
      <c r="EQ342" s="1047"/>
      <c r="ER342" s="1047"/>
      <c r="ES342" s="1047"/>
      <c r="ET342" s="1047"/>
      <c r="EU342" s="1047"/>
      <c r="EV342" s="1047"/>
      <c r="EW342" s="1047"/>
      <c r="EX342" s="1047"/>
      <c r="EY342" s="1047"/>
      <c r="EZ342" s="1047"/>
      <c r="FA342" s="1047"/>
      <c r="FB342" s="1047"/>
      <c r="FC342" s="1047"/>
      <c r="FD342" s="1047"/>
      <c r="FE342" s="1047"/>
      <c r="FF342" s="1047"/>
      <c r="FG342" s="1047"/>
      <c r="FH342" s="1047"/>
      <c r="FI342" s="1047"/>
      <c r="FJ342" s="1047"/>
      <c r="FK342" s="1047"/>
      <c r="FL342" s="1047"/>
      <c r="FM342" s="1047"/>
      <c r="FN342" s="1047"/>
      <c r="FO342" s="1047"/>
      <c r="FP342" s="1047"/>
      <c r="FQ342" s="1047"/>
      <c r="FR342" s="1047"/>
      <c r="FS342" s="1047"/>
      <c r="FT342" s="1047"/>
      <c r="FU342" s="1047"/>
      <c r="FV342" s="1047"/>
      <c r="FW342" s="1047"/>
      <c r="FX342" s="1047"/>
      <c r="FY342" s="1047"/>
      <c r="FZ342" s="1047"/>
      <c r="GA342" s="1047"/>
      <c r="GB342" s="1047"/>
      <c r="GC342" s="1047"/>
      <c r="GD342" s="1047"/>
      <c r="GE342" s="1047"/>
      <c r="GF342" s="1047"/>
      <c r="GG342" s="1047"/>
      <c r="GH342" s="1047"/>
      <c r="GI342" s="1047"/>
      <c r="GJ342" s="1047"/>
      <c r="GK342" s="1047"/>
      <c r="GL342" s="1047"/>
      <c r="GM342" s="1047"/>
      <c r="GN342" s="1047"/>
      <c r="GO342" s="1047"/>
      <c r="GP342" s="1047"/>
      <c r="GQ342" s="1047"/>
      <c r="GR342" s="1047"/>
      <c r="GS342" s="1047"/>
      <c r="GT342" s="1047"/>
      <c r="GU342" s="1047"/>
      <c r="GV342" s="1047"/>
      <c r="GW342" s="1047"/>
      <c r="GX342" s="1047"/>
      <c r="GY342" s="1047"/>
      <c r="GZ342" s="1047"/>
      <c r="HA342" s="1047"/>
      <c r="HB342" s="1047"/>
      <c r="HC342" s="1047"/>
      <c r="HD342" s="1047"/>
      <c r="HE342" s="1047"/>
      <c r="HF342" s="1047"/>
      <c r="HG342" s="1047"/>
      <c r="HH342" s="1047"/>
      <c r="HI342" s="1047"/>
      <c r="HJ342" s="1047"/>
      <c r="HK342" s="1047"/>
      <c r="HL342" s="1047"/>
      <c r="HM342" s="1047"/>
      <c r="HN342" s="1047"/>
      <c r="HO342" s="1047"/>
      <c r="HP342" s="1047"/>
      <c r="HQ342" s="1047"/>
      <c r="HR342" s="1047"/>
      <c r="HS342" s="1047"/>
      <c r="HT342" s="1047"/>
      <c r="HU342" s="1047"/>
      <c r="HV342" s="1047"/>
      <c r="HW342" s="1047"/>
      <c r="HX342" s="1047"/>
      <c r="HY342" s="1047"/>
      <c r="HZ342" s="1047"/>
      <c r="IA342" s="1047"/>
      <c r="IB342" s="1047"/>
      <c r="IC342" s="1047"/>
      <c r="ID342" s="1047"/>
      <c r="IE342" s="1047"/>
      <c r="IF342" s="1047"/>
      <c r="IG342" s="1047"/>
      <c r="IH342" s="1047"/>
      <c r="II342" s="1047"/>
      <c r="IJ342" s="1047"/>
      <c r="IK342" s="1047"/>
      <c r="IL342" s="1047"/>
      <c r="IM342" s="1047"/>
      <c r="IN342" s="1047"/>
      <c r="IO342" s="1047"/>
      <c r="IP342" s="1047"/>
      <c r="IQ342" s="1047"/>
      <c r="IR342" s="1047"/>
      <c r="IS342" s="1047"/>
      <c r="IT342" s="1047"/>
      <c r="IU342" s="1047"/>
      <c r="IV342" s="1047"/>
      <c r="IW342" s="1047"/>
      <c r="IX342" s="1047"/>
      <c r="IY342" s="1047"/>
      <c r="IZ342" s="1047"/>
      <c r="JA342" s="1047"/>
      <c r="JB342" s="1047"/>
      <c r="JC342" s="1047"/>
      <c r="JD342" s="1047"/>
      <c r="JE342" s="1047"/>
      <c r="JF342" s="1047"/>
      <c r="JG342" s="1047"/>
      <c r="JH342" s="1047"/>
      <c r="JI342" s="1047"/>
      <c r="JJ342" s="1047"/>
      <c r="JK342" s="1047"/>
      <c r="JL342" s="1047"/>
      <c r="JM342" s="1047">
        <v>-999.28974688906067</v>
      </c>
      <c r="JN342" s="1047">
        <v>-222.38337129215768</v>
      </c>
      <c r="JO342" s="1047">
        <v>-844.39771697981041</v>
      </c>
      <c r="JP342" s="1047">
        <v>-1611.6754625081051</v>
      </c>
      <c r="JQ342" s="1047">
        <v>-1870.0518651686766</v>
      </c>
      <c r="JR342" s="1047">
        <v>-126495.68824250858</v>
      </c>
      <c r="JS342" s="1047">
        <v>-136304.01168220033</v>
      </c>
      <c r="JT342" s="1047">
        <v>-148512.28390092001</v>
      </c>
      <c r="JU342" s="1047">
        <v>116.38426787482018</v>
      </c>
      <c r="JV342" s="1047">
        <v>87691.097915913328</v>
      </c>
      <c r="JW342" s="1047">
        <v>56183.155590764531</v>
      </c>
      <c r="JX342" s="1047">
        <v>97608.886252540891</v>
      </c>
      <c r="JY342" s="1047">
        <v>-0.59629615556111204</v>
      </c>
      <c r="JZ342" s="1047">
        <v>-0.71853513965070326</v>
      </c>
      <c r="KA342" s="1047">
        <v>-1.1921976862028201</v>
      </c>
      <c r="KB342" s="1047">
        <v>136965.5303518532</v>
      </c>
      <c r="KC342" s="1047">
        <v>651.02066124512203</v>
      </c>
      <c r="KD342" s="1047">
        <v>-0.71813303089345293</v>
      </c>
      <c r="KE342" s="1047">
        <v>-0.51101881908383451</v>
      </c>
      <c r="KF342" s="1047">
        <v>-5.4832719264357159</v>
      </c>
      <c r="KG342" s="1047">
        <v>-0.56734110798728654</v>
      </c>
      <c r="KH342" s="1047">
        <v>289.97928071531805</v>
      </c>
      <c r="KI342" s="1047">
        <v>-0.63726903743651375</v>
      </c>
      <c r="KJ342" s="1047">
        <v>-0.6058574871996163</v>
      </c>
      <c r="KK342" s="1047">
        <v>-0.14171267321524075</v>
      </c>
      <c r="KL342" s="1047">
        <v>-0.1876357822554014</v>
      </c>
      <c r="KM342" s="1047">
        <v>-5.3295726828317132E-2</v>
      </c>
      <c r="KN342" s="1047">
        <v>-0.5089595821302999</v>
      </c>
      <c r="KO342" s="1047">
        <v>-0.42223832285117519</v>
      </c>
      <c r="KP342" s="1047">
        <v>-2.0478674939774311</v>
      </c>
      <c r="KQ342" s="1047">
        <v>29.544612801556617</v>
      </c>
      <c r="KR342" s="1047">
        <v>-0.32874418947400535</v>
      </c>
      <c r="KS342" s="1047">
        <v>4565.8856702311787</v>
      </c>
      <c r="KT342" s="1047">
        <v>9458.5368685417288</v>
      </c>
      <c r="KU342" s="1047">
        <v>7299.3585527314999</v>
      </c>
      <c r="KV342" s="1047">
        <v>6580.171876720914</v>
      </c>
      <c r="KW342" s="1047">
        <v>8662.6826980785427</v>
      </c>
      <c r="KX342" s="1047">
        <v>7176.7553482470557</v>
      </c>
      <c r="KY342" s="1047">
        <v>7389.2338826406158</v>
      </c>
      <c r="KZ342" s="1047">
        <v>-1.5413851679252555</v>
      </c>
      <c r="LA342" s="1047">
        <v>4.326828222781347</v>
      </c>
      <c r="LB342" s="1047">
        <v>6.8822152007158506</v>
      </c>
      <c r="LC342" s="1047">
        <v>4.5923135773913133</v>
      </c>
      <c r="LD342" s="1047">
        <v>12.670089668715429</v>
      </c>
      <c r="LE342" s="1047">
        <v>6.62606903415411</v>
      </c>
      <c r="LF342" s="1047">
        <v>9.7797959900874734</v>
      </c>
      <c r="LG342" s="1047">
        <v>24.097097749846309</v>
      </c>
      <c r="LH342" s="1047">
        <v>15.731094183514587</v>
      </c>
      <c r="LI342" s="1047">
        <v>21.216030487191453</v>
      </c>
      <c r="LJ342" s="1047">
        <v>20.542924592440936</v>
      </c>
      <c r="LK342" s="1047">
        <v>-267.65311537937339</v>
      </c>
      <c r="LL342" s="1047">
        <v>20.070689122335349</v>
      </c>
      <c r="LM342" s="1047">
        <v>20.289412504747279</v>
      </c>
      <c r="LN342" s="1047">
        <v>19.598998153832106</v>
      </c>
      <c r="LO342" s="1047">
        <v>-34.520275716300347</v>
      </c>
      <c r="LP342" s="1047">
        <v>-27.638566681667179</v>
      </c>
      <c r="LQ342" s="1047">
        <v>40442.987315143073</v>
      </c>
      <c r="LR342" s="1047">
        <v>43411.350395406131</v>
      </c>
      <c r="LS342" s="1047">
        <v>36654.676517583182</v>
      </c>
      <c r="LT342" s="1047">
        <v>37734.495217027441</v>
      </c>
      <c r="LU342" s="1047">
        <v>39721.179151262142</v>
      </c>
      <c r="LV342" s="1047">
        <v>7904.5757930541986</v>
      </c>
      <c r="LW342" s="1047">
        <v>10697.381254326498</v>
      </c>
      <c r="LX342" s="1047">
        <v>5681.8998083608003</v>
      </c>
      <c r="LY342" s="1047">
        <v>5023.5343685897706</v>
      </c>
      <c r="LZ342" s="1047">
        <v>105.21975588511533</v>
      </c>
      <c r="MA342" s="1047">
        <v>109.24409107862252</v>
      </c>
      <c r="MB342" s="1047">
        <v>2806.1652280448316</v>
      </c>
      <c r="MC342" s="1047">
        <v>119.28335258896355</v>
      </c>
      <c r="MD342" s="1047">
        <v>37.461227735537577</v>
      </c>
      <c r="ME342" s="1047">
        <v>24.116823704930187</v>
      </c>
      <c r="MF342" s="1047">
        <v>36.61967484777837</v>
      </c>
      <c r="MG342" s="1047">
        <v>-5.1638822224895309</v>
      </c>
      <c r="MH342" s="1047">
        <v>-13.157215335895737</v>
      </c>
      <c r="MI342" s="1047">
        <v>19264.015899349317</v>
      </c>
      <c r="MJ342" s="1047">
        <v>-3.3429788133834086</v>
      </c>
      <c r="MK342" s="1047">
        <v>36.996713104508984</v>
      </c>
      <c r="ML342" s="1047">
        <v>114.06496227289907</v>
      </c>
      <c r="MM342" s="1047">
        <v>-26.297122193550109</v>
      </c>
      <c r="MN342" s="1047">
        <v>-13.700738353489667</v>
      </c>
      <c r="MO342" s="1047">
        <v>29.668552060407087</v>
      </c>
      <c r="MP342" s="1047">
        <v>78.33201034910212</v>
      </c>
      <c r="MQ342" s="1047">
        <v>57.086844492626298</v>
      </c>
      <c r="MR342" s="1047">
        <v>42.551131575667917</v>
      </c>
      <c r="MS342" s="1047">
        <v>45.069092049786107</v>
      </c>
      <c r="MT342" s="1047">
        <v>550.68061676434604</v>
      </c>
      <c r="MU342" s="1047">
        <v>560.61704531392058</v>
      </c>
      <c r="MV342" s="1047">
        <v>29.645982071554887</v>
      </c>
      <c r="MW342" s="1047"/>
      <c r="MX342" s="1047"/>
      <c r="MY342" s="1047"/>
      <c r="MZ342" s="1047"/>
      <c r="NA342" s="1047"/>
      <c r="NB342" s="1047"/>
      <c r="NC342" s="1047"/>
      <c r="ND342" s="1047"/>
      <c r="NE342" s="1047"/>
      <c r="NF342" s="1047"/>
      <c r="NG342" s="1047"/>
      <c r="NH342" s="1047"/>
      <c r="NI342" s="1047"/>
      <c r="NJ342" s="1047"/>
      <c r="NK342" s="1047"/>
      <c r="NL342" s="1047"/>
      <c r="NM342" s="1047"/>
      <c r="NN342" s="1047"/>
      <c r="NO342" s="1047"/>
      <c r="NP342" s="1047"/>
      <c r="NQ342" s="1047"/>
      <c r="NR342" s="1047"/>
      <c r="NS342" s="1047"/>
      <c r="NT342" s="1047"/>
      <c r="NU342" s="1047"/>
      <c r="NV342" s="1047"/>
      <c r="NW342" s="1047"/>
      <c r="NX342" s="1047"/>
      <c r="NY342" s="1047"/>
      <c r="NZ342" s="1047"/>
      <c r="OA342" s="1047"/>
      <c r="OB342" s="1047"/>
      <c r="OC342" s="1047"/>
      <c r="OD342" s="1047"/>
      <c r="OE342" s="1047"/>
      <c r="OF342" s="1047"/>
      <c r="OG342" s="1047"/>
      <c r="OH342" s="1047"/>
      <c r="OI342" s="1047"/>
      <c r="OJ342" s="1047"/>
      <c r="OK342" s="1047"/>
      <c r="OL342" s="1047"/>
      <c r="OM342" s="1047"/>
      <c r="ON342" s="1047"/>
      <c r="OO342" s="1047"/>
      <c r="OP342" s="1047"/>
      <c r="OQ342" s="1047"/>
      <c r="OR342" s="1047"/>
      <c r="OS342" s="1047"/>
      <c r="OT342" s="1047"/>
      <c r="OU342" s="1047"/>
      <c r="OV342" s="1047"/>
      <c r="OW342" s="1047"/>
      <c r="OX342" s="1047"/>
      <c r="OY342" s="1047"/>
      <c r="OZ342" s="1047"/>
      <c r="PA342" s="1047"/>
      <c r="PB342" s="1047"/>
      <c r="PC342" s="1047"/>
      <c r="PD342" s="1047"/>
      <c r="PE342" s="1047"/>
      <c r="PF342" s="1047"/>
      <c r="PG342" s="1047"/>
      <c r="PH342" s="1047"/>
      <c r="PI342" s="1047"/>
      <c r="PJ342" s="1047"/>
      <c r="PK342" s="1047"/>
      <c r="PL342" s="1047"/>
      <c r="PM342" s="1047"/>
      <c r="PN342" s="1047"/>
      <c r="PO342" s="1047"/>
      <c r="PP342" s="1047"/>
      <c r="PQ342" s="1047"/>
      <c r="PR342" s="1047"/>
      <c r="PS342" s="1047"/>
      <c r="PT342" s="1047"/>
      <c r="PU342" s="1047"/>
      <c r="PV342" s="1047"/>
      <c r="PW342" s="1047"/>
      <c r="PX342" s="1047"/>
      <c r="PY342" s="1047"/>
      <c r="PZ342" s="1047"/>
      <c r="QA342" s="1047"/>
      <c r="QB342" s="1047"/>
      <c r="QC342" s="1047"/>
      <c r="QD342" s="1047"/>
      <c r="QE342" s="1047"/>
      <c r="QF342" s="1047"/>
      <c r="QG342" s="1047"/>
      <c r="QH342" s="1047"/>
      <c r="QI342" s="1047"/>
      <c r="QJ342" s="1047"/>
      <c r="QK342" s="1047"/>
      <c r="QL342" s="1047"/>
      <c r="QM342" s="1047"/>
      <c r="QN342" s="1047"/>
      <c r="QO342" s="1047"/>
      <c r="QP342" s="1047"/>
      <c r="QQ342" s="1047"/>
      <c r="QR342" s="1047"/>
      <c r="QS342" s="1047"/>
      <c r="QT342" s="1047"/>
      <c r="QU342" s="1047"/>
      <c r="QV342" s="1047"/>
      <c r="QW342" s="1047"/>
      <c r="QX342" s="1047"/>
      <c r="QY342" s="1047"/>
      <c r="QZ342" s="1047"/>
      <c r="RA342" s="1047"/>
      <c r="RB342" s="1047"/>
      <c r="RC342" s="1047"/>
      <c r="RD342" s="1047"/>
      <c r="RE342" s="1047"/>
      <c r="RF342" s="1047"/>
      <c r="RG342" s="1047"/>
      <c r="RH342" s="1047"/>
      <c r="RI342" s="1047"/>
      <c r="RJ342" s="1047"/>
      <c r="RK342" s="1047"/>
      <c r="RL342" s="1047"/>
      <c r="RM342" s="1047"/>
      <c r="RN342" s="1047"/>
      <c r="RO342" s="1047"/>
      <c r="RP342" s="1047"/>
      <c r="RQ342" s="1047"/>
      <c r="RR342" s="1047"/>
      <c r="RS342" s="1047"/>
      <c r="RT342" s="1047"/>
      <c r="RU342" s="1047"/>
      <c r="RV342" s="1047"/>
      <c r="RW342" s="1047"/>
      <c r="RX342" s="1047"/>
      <c r="RY342" s="1047"/>
      <c r="RZ342" s="1047"/>
      <c r="SA342" s="1047"/>
      <c r="SB342" s="1047"/>
      <c r="SC342" s="1047"/>
      <c r="SD342" s="1047"/>
      <c r="SE342" s="1047"/>
      <c r="SF342" s="1047"/>
      <c r="SG342" s="1047"/>
      <c r="SH342" s="1047"/>
      <c r="SI342" s="1047"/>
      <c r="SJ342" s="1047"/>
      <c r="SK342" s="1047"/>
      <c r="SL342" s="1047"/>
      <c r="SM342" s="1047"/>
      <c r="SN342" s="1047"/>
      <c r="SO342" s="1047"/>
      <c r="SP342" s="1047"/>
      <c r="SQ342" s="1047"/>
      <c r="SR342" s="1047"/>
      <c r="SS342" s="1047"/>
      <c r="ST342" s="1047"/>
      <c r="SU342" s="1047"/>
      <c r="SV342" s="1047"/>
      <c r="SW342" s="1047"/>
      <c r="SX342" s="1047"/>
      <c r="SY342" s="1047"/>
      <c r="SZ342" s="1047"/>
      <c r="TA342" s="1047"/>
      <c r="TB342" s="1047"/>
      <c r="TC342" s="1047"/>
      <c r="TD342" s="1047"/>
      <c r="TE342" s="1047"/>
      <c r="TF342" s="1047"/>
      <c r="TG342" s="1047"/>
      <c r="TH342" s="1047"/>
      <c r="TI342" s="1047"/>
      <c r="TJ342" s="1047"/>
      <c r="TK342" s="1047"/>
      <c r="TL342" s="1047"/>
      <c r="TM342" s="1047"/>
      <c r="TN342" s="1047"/>
      <c r="TO342" s="1047"/>
      <c r="TP342" s="1047"/>
      <c r="TQ342" s="1047"/>
      <c r="TR342" s="1047"/>
      <c r="TS342" s="1047"/>
      <c r="TT342" s="1047"/>
      <c r="TU342" s="1047"/>
      <c r="TV342" s="1047"/>
      <c r="TW342" s="1047"/>
      <c r="TX342" s="1047"/>
      <c r="TY342" s="1047"/>
      <c r="TZ342" s="1047"/>
      <c r="UA342" s="1047"/>
      <c r="UB342" s="1047"/>
      <c r="UC342" s="1047"/>
      <c r="UD342" s="1047"/>
      <c r="UE342" s="1047"/>
      <c r="UF342" s="1047"/>
      <c r="UG342" s="1047"/>
      <c r="UH342" s="1047"/>
      <c r="UI342" s="1047"/>
      <c r="UJ342" s="1047"/>
      <c r="UK342" s="1047"/>
      <c r="UL342" s="1047"/>
      <c r="UM342" s="1047"/>
      <c r="UN342" s="1047"/>
      <c r="UO342" s="1047"/>
      <c r="UP342" s="1047"/>
      <c r="UQ342" s="1047"/>
      <c r="UR342" s="1047"/>
      <c r="US342" s="1047"/>
      <c r="UT342" s="1047"/>
      <c r="UU342" s="1047"/>
      <c r="UV342" s="1047"/>
      <c r="UW342" s="1047"/>
      <c r="UX342" s="1047"/>
      <c r="UY342" s="1047"/>
      <c r="UZ342" s="1047"/>
      <c r="VA342" s="1047"/>
      <c r="VB342" s="1047"/>
      <c r="VC342" s="1047"/>
      <c r="VD342" s="1047"/>
      <c r="VE342" s="1047"/>
      <c r="VF342" s="1047"/>
      <c r="VG342" s="1047"/>
      <c r="VH342" s="1047"/>
      <c r="VI342" s="1047"/>
      <c r="VJ342" s="1047"/>
      <c r="VK342" s="1047"/>
      <c r="VL342" s="1047"/>
      <c r="VM342" s="1047"/>
      <c r="VN342" s="1047"/>
      <c r="VO342" s="1047"/>
      <c r="VP342" s="1047"/>
      <c r="VQ342" s="1047"/>
      <c r="VR342" s="1047"/>
      <c r="VS342" s="1047"/>
      <c r="VT342" s="1047"/>
      <c r="VU342" s="1047"/>
      <c r="VV342" s="1047"/>
      <c r="VW342" s="1047"/>
      <c r="VX342" s="1047"/>
      <c r="VY342" s="1047"/>
      <c r="VZ342" s="1047"/>
      <c r="WA342" s="1047"/>
      <c r="WB342" s="1047"/>
      <c r="WC342" s="1047"/>
      <c r="WD342" s="1047"/>
      <c r="WE342" s="1047"/>
      <c r="WF342" s="1047"/>
      <c r="WG342" s="1047"/>
      <c r="WH342" s="1047"/>
      <c r="WI342" s="1047"/>
      <c r="WJ342" s="1047"/>
      <c r="WK342" s="1047"/>
      <c r="WL342" s="1047"/>
      <c r="WM342" s="1047"/>
      <c r="WN342" s="1047"/>
      <c r="WO342" s="1047"/>
      <c r="WP342" s="1047"/>
      <c r="WQ342" s="1047"/>
      <c r="WR342" s="1047"/>
      <c r="WS342" s="1047"/>
      <c r="WT342" s="1047"/>
      <c r="WU342" s="1047"/>
      <c r="WV342" s="1047"/>
      <c r="WW342" s="1047"/>
      <c r="WX342" s="1047"/>
      <c r="WY342" s="1047"/>
      <c r="WZ342" s="1047"/>
      <c r="XA342" s="1047">
        <v>0.10222510862561709</v>
      </c>
      <c r="XB342" s="1047">
        <v>7.3219380310715759E-2</v>
      </c>
      <c r="XC342" s="1047">
        <v>0.12219412455251148</v>
      </c>
      <c r="XD342" s="1047">
        <v>-241.5160705915799</v>
      </c>
      <c r="XE342" s="1047">
        <v>2.3900484266038657</v>
      </c>
      <c r="XF342" s="1047">
        <v>-7826.2011352680211</v>
      </c>
      <c r="XG342" s="1047">
        <v>-3835.6307236525176</v>
      </c>
      <c r="XH342" s="1047">
        <v>-523.71989620894647</v>
      </c>
      <c r="XI342" s="1047">
        <v>143.29419628359557</v>
      </c>
      <c r="XJ342" s="1047">
        <v>223.31598590000485</v>
      </c>
      <c r="XK342" s="1047">
        <v>-1.071428979563944</v>
      </c>
      <c r="XL342" s="1047">
        <v>116.41166989701296</v>
      </c>
      <c r="XM342" s="1047">
        <v>-0.5438965920351605</v>
      </c>
      <c r="XN342" s="1047">
        <v>127392.57270152975</v>
      </c>
      <c r="XO342" s="1047">
        <v>-1.0396516180021056</v>
      </c>
      <c r="XP342" s="1047">
        <v>133341.01993946944</v>
      </c>
      <c r="XQ342" s="1047">
        <v>638.3745557480496</v>
      </c>
      <c r="XR342" s="1047">
        <v>233.17964691137061</v>
      </c>
      <c r="XS342" s="1047">
        <v>205.34740135862984</v>
      </c>
      <c r="XT342" s="1047">
        <v>42.92102865742212</v>
      </c>
      <c r="XU342" s="1047">
        <v>2553.20593751155</v>
      </c>
      <c r="XV342" s="1047">
        <v>395.99613637360602</v>
      </c>
      <c r="XW342" s="1047">
        <v>-0.3934219317773614</v>
      </c>
      <c r="XX342" s="1047">
        <v>-0.35823177168593995</v>
      </c>
      <c r="XY342" s="1047">
        <v>1.1583048782661456</v>
      </c>
      <c r="XZ342" s="1047">
        <v>-1.1199652269087068</v>
      </c>
      <c r="YA342" s="1047">
        <v>-1.5588497196853688</v>
      </c>
      <c r="YB342" s="1047">
        <v>-0.18327912549642661</v>
      </c>
      <c r="YC342" s="1047">
        <v>-0.27349664013380737</v>
      </c>
      <c r="YD342" s="1047">
        <v>-1.5365898143204801</v>
      </c>
      <c r="YE342" s="1047">
        <v>-18.594519323403581</v>
      </c>
      <c r="YF342" s="1047">
        <v>-32.085365567177902</v>
      </c>
      <c r="YG342" s="1047">
        <v>4575.0092292439822</v>
      </c>
      <c r="YH342" s="1047">
        <v>4187.4889708918217</v>
      </c>
      <c r="YI342" s="1047">
        <v>6044.4827221884016</v>
      </c>
      <c r="YJ342" s="1047">
        <v>3289.6518782318612</v>
      </c>
      <c r="YK342" s="1047">
        <v>2134.3487397995209</v>
      </c>
      <c r="YL342" s="1047">
        <v>1704.1986921463895</v>
      </c>
      <c r="YM342" s="1047">
        <v>7864.4588760618572</v>
      </c>
      <c r="YN342" s="1047">
        <v>387.97948931547927</v>
      </c>
      <c r="YO342" s="1047">
        <v>16.822673218004503</v>
      </c>
      <c r="YP342" s="1047">
        <v>12.91213015186672</v>
      </c>
      <c r="YQ342" s="1047">
        <v>13.508852620429284</v>
      </c>
      <c r="YR342" s="1047">
        <v>18.231423605462819</v>
      </c>
      <c r="YS342" s="1047">
        <v>18.317944907693985</v>
      </c>
      <c r="YT342" s="1047">
        <v>13.601082049042288</v>
      </c>
      <c r="YU342" s="1047">
        <v>18.220669036409458</v>
      </c>
      <c r="YV342" s="1047">
        <v>28.404831955020938</v>
      </c>
      <c r="YW342" s="1047">
        <v>-85.050235877938491</v>
      </c>
      <c r="YX342" s="1047">
        <v>-152.82575120132057</v>
      </c>
      <c r="YY342" s="1047">
        <v>-206.99244739372804</v>
      </c>
      <c r="YZ342" s="1047">
        <v>-112.78255773708699</v>
      </c>
      <c r="ZA342" s="1047">
        <v>-115.09515502017872</v>
      </c>
      <c r="ZB342" s="1047">
        <v>-272.86604533665746</v>
      </c>
      <c r="ZC342" s="1047">
        <v>-212.3583232571668</v>
      </c>
      <c r="ZD342" s="1047">
        <v>-354.78964960282713</v>
      </c>
      <c r="ZE342" s="1047">
        <v>45187.22817384683</v>
      </c>
      <c r="ZF342" s="1047">
        <v>48664.838812118061</v>
      </c>
      <c r="ZG342" s="1047">
        <v>3706.5480465523142</v>
      </c>
      <c r="ZH342" s="1047">
        <v>47681.984082668132</v>
      </c>
      <c r="ZI342" s="1047">
        <v>53734.367875275711</v>
      </c>
      <c r="ZJ342" s="1047">
        <v>6487.5243815548529</v>
      </c>
      <c r="ZK342" s="1047">
        <v>52504.439057617026</v>
      </c>
      <c r="ZL342" s="1047">
        <v>48952.900452694266</v>
      </c>
      <c r="ZM342" s="1047">
        <v>11286.940303962117</v>
      </c>
      <c r="ZN342" s="1047">
        <v>16108.217773485148</v>
      </c>
      <c r="ZO342" s="1047">
        <v>15760.496784298941</v>
      </c>
      <c r="ZP342" s="1047">
        <v>9970.1872374839168</v>
      </c>
      <c r="ZQ342" s="1047">
        <v>12333.874042948528</v>
      </c>
      <c r="ZR342" s="1047">
        <v>151.11643307010701</v>
      </c>
      <c r="ZS342" s="1047">
        <v>175.71455163716843</v>
      </c>
      <c r="ZT342" s="1047">
        <v>8607.518961391761</v>
      </c>
      <c r="ZU342" s="1047">
        <v>-2.0761401869935585</v>
      </c>
      <c r="ZV342" s="1047">
        <v>8552.86753306014</v>
      </c>
      <c r="ZW342" s="1047">
        <v>-7.2555895137383635</v>
      </c>
      <c r="ZX342" s="1047">
        <v>-1.1799983986599309</v>
      </c>
      <c r="ZY342" s="1047">
        <v>-4.790258930166468</v>
      </c>
      <c r="ZZ342" s="1047">
        <v>-2.6387839924586562</v>
      </c>
      <c r="AAA342" s="1047">
        <v>-1.6206041097070261</v>
      </c>
      <c r="AAB342" s="1047">
        <v>-4.9510603278225007</v>
      </c>
      <c r="AAC342" s="1047">
        <v>387.13606789888775</v>
      </c>
      <c r="AAD342" s="1047">
        <v>435.97081741735963</v>
      </c>
      <c r="AAE342" s="1047">
        <v>50.33009962490587</v>
      </c>
      <c r="AAF342" s="1047">
        <v>847.63412121978092</v>
      </c>
      <c r="AAG342" s="1047">
        <v>40.543524809263715</v>
      </c>
      <c r="AAH342" s="1047">
        <v>636.23628920953354</v>
      </c>
      <c r="AAI342" s="1047">
        <v>296.61751260233655</v>
      </c>
      <c r="AAJ342" s="1047">
        <v>191.39780922287568</v>
      </c>
      <c r="AAK342" s="1063"/>
    </row>
    <row r="343" spans="2:713" hidden="1">
      <c r="B343" s="1023" t="s">
        <v>1866</v>
      </c>
      <c r="C343" s="723"/>
      <c r="D343" s="999"/>
      <c r="E343" s="1068" t="s">
        <v>1852</v>
      </c>
      <c r="F343" s="534"/>
      <c r="G343" s="534" t="s">
        <v>68</v>
      </c>
      <c r="H343" s="534"/>
      <c r="I343" s="1047"/>
      <c r="J343" s="1047"/>
      <c r="K343" s="1047"/>
      <c r="L343" s="1047"/>
      <c r="M343" s="1047"/>
      <c r="N343" s="1047"/>
      <c r="O343" s="1047"/>
      <c r="P343" s="1047"/>
      <c r="Q343" s="1047"/>
      <c r="R343" s="1047"/>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c r="AS343" s="1047"/>
      <c r="AT343" s="1047"/>
      <c r="AU343" s="1047"/>
      <c r="AV343" s="1047"/>
      <c r="AW343" s="1047"/>
      <c r="AX343" s="1047"/>
      <c r="AY343" s="1047"/>
      <c r="AZ343" s="1047"/>
      <c r="BA343" s="1047"/>
      <c r="BB343" s="1047"/>
      <c r="BC343" s="1047"/>
      <c r="BD343" s="1047"/>
      <c r="BE343" s="1047"/>
      <c r="BF343" s="1047"/>
      <c r="BG343" s="1047"/>
      <c r="BH343" s="1047"/>
      <c r="BI343" s="1047"/>
      <c r="BJ343" s="1047"/>
      <c r="BK343" s="1047"/>
      <c r="BL343" s="1047"/>
      <c r="BM343" s="1047"/>
      <c r="BN343" s="1047"/>
      <c r="BO343" s="1047"/>
      <c r="BP343" s="1047"/>
      <c r="BQ343" s="1047"/>
      <c r="BR343" s="1047"/>
      <c r="BS343" s="1047"/>
      <c r="BT343" s="1047"/>
      <c r="BU343" s="1047"/>
      <c r="BV343" s="1047"/>
      <c r="BW343" s="1047"/>
      <c r="BX343" s="1047"/>
      <c r="BY343" s="1047"/>
      <c r="BZ343" s="1047"/>
      <c r="CA343" s="1047"/>
      <c r="CB343" s="1047"/>
      <c r="CC343" s="1047"/>
      <c r="CD343" s="1047"/>
      <c r="CE343" s="1047"/>
      <c r="CF343" s="1047"/>
      <c r="CG343" s="1047"/>
      <c r="CH343" s="1047"/>
      <c r="CI343" s="1047"/>
      <c r="CJ343" s="1047"/>
      <c r="CK343" s="1047"/>
      <c r="CL343" s="1047"/>
      <c r="CM343" s="1047"/>
      <c r="CN343" s="1047"/>
      <c r="CO343" s="1047"/>
      <c r="CP343" s="1047"/>
      <c r="CQ343" s="1047"/>
      <c r="CR343" s="1047"/>
      <c r="CS343" s="1047"/>
      <c r="CT343" s="1047"/>
      <c r="CU343" s="1047"/>
      <c r="CV343" s="1047"/>
      <c r="CW343" s="1047"/>
      <c r="CX343" s="1047"/>
      <c r="CY343" s="1047"/>
      <c r="CZ343" s="1047"/>
      <c r="DA343" s="1047"/>
      <c r="DB343" s="1047"/>
      <c r="DC343" s="1047"/>
      <c r="DD343" s="1047"/>
      <c r="DE343" s="1047"/>
      <c r="DF343" s="1047"/>
      <c r="DG343" s="1047"/>
      <c r="DH343" s="1047"/>
      <c r="DI343" s="1047"/>
      <c r="DJ343" s="1047"/>
      <c r="DK343" s="1047"/>
      <c r="DL343" s="1047"/>
      <c r="DM343" s="1047"/>
      <c r="DN343" s="1047"/>
      <c r="DO343" s="1047"/>
      <c r="DP343" s="1047"/>
      <c r="DQ343" s="1047"/>
      <c r="DR343" s="1047"/>
      <c r="DS343" s="1047"/>
      <c r="DT343" s="1047"/>
      <c r="DU343" s="1047"/>
      <c r="DV343" s="1047"/>
      <c r="DW343" s="1047"/>
      <c r="DX343" s="1047"/>
      <c r="DY343" s="1047"/>
      <c r="DZ343" s="1047"/>
      <c r="EA343" s="1047"/>
      <c r="EB343" s="1047"/>
      <c r="EC343" s="1047"/>
      <c r="ED343" s="1047"/>
      <c r="EE343" s="1047"/>
      <c r="EF343" s="1047"/>
      <c r="EG343" s="1047"/>
      <c r="EH343" s="1047"/>
      <c r="EI343" s="1047"/>
      <c r="EJ343" s="1047"/>
      <c r="EK343" s="1047"/>
      <c r="EL343" s="1047"/>
      <c r="EM343" s="1047"/>
      <c r="EN343" s="1047"/>
      <c r="EO343" s="1047"/>
      <c r="EP343" s="1047"/>
      <c r="EQ343" s="1047"/>
      <c r="ER343" s="1047"/>
      <c r="ES343" s="1047"/>
      <c r="ET343" s="1047"/>
      <c r="EU343" s="1047"/>
      <c r="EV343" s="1047"/>
      <c r="EW343" s="1047"/>
      <c r="EX343" s="1047"/>
      <c r="EY343" s="1047"/>
      <c r="EZ343" s="1047"/>
      <c r="FA343" s="1047"/>
      <c r="FB343" s="1047"/>
      <c r="FC343" s="1047"/>
      <c r="FD343" s="1047"/>
      <c r="FE343" s="1047"/>
      <c r="FF343" s="1047"/>
      <c r="FG343" s="1047"/>
      <c r="FH343" s="1047"/>
      <c r="FI343" s="1047"/>
      <c r="FJ343" s="1047"/>
      <c r="FK343" s="1047"/>
      <c r="FL343" s="1047"/>
      <c r="FM343" s="1047"/>
      <c r="FN343" s="1047"/>
      <c r="FO343" s="1047"/>
      <c r="FP343" s="1047"/>
      <c r="FQ343" s="1047"/>
      <c r="FR343" s="1047"/>
      <c r="FS343" s="1047"/>
      <c r="FT343" s="1047"/>
      <c r="FU343" s="1047"/>
      <c r="FV343" s="1047"/>
      <c r="FW343" s="1047"/>
      <c r="FX343" s="1047"/>
      <c r="FY343" s="1047"/>
      <c r="FZ343" s="1047"/>
      <c r="GA343" s="1047"/>
      <c r="GB343" s="1047"/>
      <c r="GC343" s="1047"/>
      <c r="GD343" s="1047"/>
      <c r="GE343" s="1047"/>
      <c r="GF343" s="1047"/>
      <c r="GG343" s="1047"/>
      <c r="GH343" s="1047"/>
      <c r="GI343" s="1047"/>
      <c r="GJ343" s="1047"/>
      <c r="GK343" s="1047"/>
      <c r="GL343" s="1047"/>
      <c r="GM343" s="1047"/>
      <c r="GN343" s="1047"/>
      <c r="GO343" s="1047"/>
      <c r="GP343" s="1047"/>
      <c r="GQ343" s="1047"/>
      <c r="GR343" s="1047"/>
      <c r="GS343" s="1047"/>
      <c r="GT343" s="1047"/>
      <c r="GU343" s="1047"/>
      <c r="GV343" s="1047"/>
      <c r="GW343" s="1047"/>
      <c r="GX343" s="1047"/>
      <c r="GY343" s="1047"/>
      <c r="GZ343" s="1047"/>
      <c r="HA343" s="1047"/>
      <c r="HB343" s="1047"/>
      <c r="HC343" s="1047"/>
      <c r="HD343" s="1047"/>
      <c r="HE343" s="1047"/>
      <c r="HF343" s="1047"/>
      <c r="HG343" s="1047"/>
      <c r="HH343" s="1047"/>
      <c r="HI343" s="1047"/>
      <c r="HJ343" s="1047"/>
      <c r="HK343" s="1047"/>
      <c r="HL343" s="1047"/>
      <c r="HM343" s="1047"/>
      <c r="HN343" s="1047"/>
      <c r="HO343" s="1047"/>
      <c r="HP343" s="1047"/>
      <c r="HQ343" s="1047"/>
      <c r="HR343" s="1047"/>
      <c r="HS343" s="1047"/>
      <c r="HT343" s="1047"/>
      <c r="HU343" s="1047"/>
      <c r="HV343" s="1047"/>
      <c r="HW343" s="1047"/>
      <c r="HX343" s="1047"/>
      <c r="HY343" s="1047"/>
      <c r="HZ343" s="1047"/>
      <c r="IA343" s="1047"/>
      <c r="IB343" s="1047"/>
      <c r="IC343" s="1047"/>
      <c r="ID343" s="1047"/>
      <c r="IE343" s="1047"/>
      <c r="IF343" s="1047"/>
      <c r="IG343" s="1047"/>
      <c r="IH343" s="1047"/>
      <c r="II343" s="1047"/>
      <c r="IJ343" s="1047"/>
      <c r="IK343" s="1047"/>
      <c r="IL343" s="1047"/>
      <c r="IM343" s="1047"/>
      <c r="IN343" s="1047"/>
      <c r="IO343" s="1047"/>
      <c r="IP343" s="1047"/>
      <c r="IQ343" s="1047"/>
      <c r="IR343" s="1047"/>
      <c r="IS343" s="1047"/>
      <c r="IT343" s="1047"/>
      <c r="IU343" s="1047"/>
      <c r="IV343" s="1047"/>
      <c r="IW343" s="1047"/>
      <c r="IX343" s="1047"/>
      <c r="IY343" s="1047"/>
      <c r="IZ343" s="1047"/>
      <c r="JA343" s="1047"/>
      <c r="JB343" s="1047"/>
      <c r="JC343" s="1047"/>
      <c r="JD343" s="1047"/>
      <c r="JE343" s="1047"/>
      <c r="JF343" s="1047"/>
      <c r="JG343" s="1047"/>
      <c r="JH343" s="1047"/>
      <c r="JI343" s="1047"/>
      <c r="JJ343" s="1047"/>
      <c r="JK343" s="1047"/>
      <c r="JL343" s="1047"/>
      <c r="JM343" s="1047">
        <v>-2970.0272903714645</v>
      </c>
      <c r="JN343" s="1047">
        <v>-712.56171273286714</v>
      </c>
      <c r="JO343" s="1047">
        <v>-1578.2432726668771</v>
      </c>
      <c r="JP343" s="1047">
        <v>-6049.6467096076176</v>
      </c>
      <c r="JQ343" s="1047">
        <v>-5404.1538976395732</v>
      </c>
      <c r="JR343" s="1047">
        <v>7.6083471797089501</v>
      </c>
      <c r="JS343" s="1047">
        <v>7.0854481907201965</v>
      </c>
      <c r="JT343" s="1047">
        <v>7.3546074468641374</v>
      </c>
      <c r="JU343" s="1047">
        <v>15.356596090472452</v>
      </c>
      <c r="JV343" s="1047">
        <v>2.6616162293612442</v>
      </c>
      <c r="JW343" s="1047">
        <v>34240.195121589953</v>
      </c>
      <c r="JX343" s="1047">
        <v>4.1184006777843418</v>
      </c>
      <c r="JY343" s="1047">
        <v>3.3298696507422232</v>
      </c>
      <c r="JZ343" s="1047">
        <v>5.1591228502219639</v>
      </c>
      <c r="KA343" s="1047">
        <v>7.8143011684309744</v>
      </c>
      <c r="KB343" s="1047">
        <v>4.7003782952913982</v>
      </c>
      <c r="KC343" s="1047">
        <v>13.853276352330324</v>
      </c>
      <c r="KD343" s="1047">
        <v>16.526437199984677</v>
      </c>
      <c r="KE343" s="1047">
        <v>14.953541547864976</v>
      </c>
      <c r="KF343" s="1047">
        <v>21.061209036768922</v>
      </c>
      <c r="KG343" s="1047">
        <v>17.989945059766953</v>
      </c>
      <c r="KH343" s="1047">
        <v>26.771614652616819</v>
      </c>
      <c r="KI343" s="1047">
        <v>26.821674624973245</v>
      </c>
      <c r="KJ343" s="1047">
        <v>23.818498386534234</v>
      </c>
      <c r="KK343" s="1047">
        <v>8.4304921953468259</v>
      </c>
      <c r="KL343" s="1047">
        <v>5.4850694336155268</v>
      </c>
      <c r="KM343" s="1047">
        <v>-0.19537813686729905</v>
      </c>
      <c r="KN343" s="1047">
        <v>5.4689766398706281</v>
      </c>
      <c r="KO343" s="1047">
        <v>5.1781771229966447</v>
      </c>
      <c r="KP343" s="1047">
        <v>2.7173091905609392</v>
      </c>
      <c r="KQ343" s="1047">
        <v>-158.71239972994613</v>
      </c>
      <c r="KR343" s="1047">
        <v>2.8677694216813427</v>
      </c>
      <c r="KS343" s="1047">
        <v>12.842688807371818</v>
      </c>
      <c r="KT343" s="1047">
        <v>12.06667005429334</v>
      </c>
      <c r="KU343" s="1047">
        <v>12.689699800090269</v>
      </c>
      <c r="KV343" s="1047">
        <v>13.134322347148613</v>
      </c>
      <c r="KW343" s="1047">
        <v>10.843912099705147</v>
      </c>
      <c r="KX343" s="1047">
        <v>12.135803343494189</v>
      </c>
      <c r="KY343" s="1047">
        <v>13.36878400250141</v>
      </c>
      <c r="KZ343" s="1047">
        <v>11.841459425971479</v>
      </c>
      <c r="LA343" s="1047">
        <v>-3.4648389225233389E-2</v>
      </c>
      <c r="LB343" s="1047">
        <v>-0.1007916200080996</v>
      </c>
      <c r="LC343" s="1047">
        <v>2.9084103120318932</v>
      </c>
      <c r="LD343" s="1047">
        <v>-0.12428777680251162</v>
      </c>
      <c r="LE343" s="1047">
        <v>-0.11227215242138064</v>
      </c>
      <c r="LF343" s="1047">
        <v>-0.21558182498742579</v>
      </c>
      <c r="LG343" s="1047">
        <v>-35.264358649618252</v>
      </c>
      <c r="LH343" s="1047">
        <v>-4.2720454407545336</v>
      </c>
      <c r="LI343" s="1047">
        <v>8.2747568714036941</v>
      </c>
      <c r="LJ343" s="1047">
        <v>5.9674764689792479</v>
      </c>
      <c r="LK343" s="1047">
        <v>-45.114820207915386</v>
      </c>
      <c r="LL343" s="1047">
        <v>5.4440045063956015</v>
      </c>
      <c r="LM343" s="1047">
        <v>5.6049024985902571</v>
      </c>
      <c r="LN343" s="1047">
        <v>5.2016068363952606</v>
      </c>
      <c r="LO343" s="1047">
        <v>-1406.5798452939814</v>
      </c>
      <c r="LP343" s="1047">
        <v>-633.03497959620381</v>
      </c>
      <c r="LQ343" s="1047">
        <v>27.474203103772727</v>
      </c>
      <c r="LR343" s="1047">
        <v>26.504166444293091</v>
      </c>
      <c r="LS343" s="1047">
        <v>27.269738562497398</v>
      </c>
      <c r="LT343" s="1047">
        <v>24.080417041205067</v>
      </c>
      <c r="LU343" s="1047">
        <v>19.508334811913269</v>
      </c>
      <c r="LV343" s="1047">
        <v>23.234000049193622</v>
      </c>
      <c r="LW343" s="1047">
        <v>19.441398288563359</v>
      </c>
      <c r="LX343" s="1047">
        <v>19.517246189003501</v>
      </c>
      <c r="LY343" s="1047">
        <v>18516.934688810685</v>
      </c>
      <c r="LZ343" s="1047">
        <v>499.44390467423284</v>
      </c>
      <c r="MA343" s="1047">
        <v>750.41965413073876</v>
      </c>
      <c r="MB343" s="1047">
        <v>5880.2755829218859</v>
      </c>
      <c r="MC343" s="1047">
        <v>667.46143319551879</v>
      </c>
      <c r="MD343" s="1047">
        <v>367.9425244284559</v>
      </c>
      <c r="ME343" s="1047">
        <v>22.320438947885673</v>
      </c>
      <c r="MF343" s="1047">
        <v>1093.1994958392063</v>
      </c>
      <c r="MG343" s="1047">
        <v>2649.3108162122094</v>
      </c>
      <c r="MH343" s="1047">
        <v>14801.222442660055</v>
      </c>
      <c r="MI343" s="1047">
        <v>32649.619701869873</v>
      </c>
      <c r="MJ343" s="1047">
        <v>13144.022662115065</v>
      </c>
      <c r="MK343" s="1047">
        <v>5.3361307911784346</v>
      </c>
      <c r="ML343" s="1047">
        <v>65.721987139076631</v>
      </c>
      <c r="MM343" s="1047">
        <v>22.556992647863265</v>
      </c>
      <c r="MN343" s="1047">
        <v>5578.4186706704686</v>
      </c>
      <c r="MO343" s="1047">
        <v>11.487761091286572</v>
      </c>
      <c r="MP343" s="1047">
        <v>12.144110288743315</v>
      </c>
      <c r="MQ343" s="1047">
        <v>10.84621924150402</v>
      </c>
      <c r="MR343" s="1047">
        <v>12.078312470074028</v>
      </c>
      <c r="MS343" s="1047">
        <v>11.259802259375325</v>
      </c>
      <c r="MT343" s="1047">
        <v>12.87444338323113</v>
      </c>
      <c r="MU343" s="1047">
        <v>12.539871744467421</v>
      </c>
      <c r="MV343" s="1047">
        <v>10.836712738897756</v>
      </c>
      <c r="MW343" s="1047"/>
      <c r="MX343" s="1047"/>
      <c r="MY343" s="1047"/>
      <c r="MZ343" s="1047"/>
      <c r="NA343" s="1047"/>
      <c r="NB343" s="1047"/>
      <c r="NC343" s="1047"/>
      <c r="ND343" s="1047"/>
      <c r="NE343" s="1047"/>
      <c r="NF343" s="1047"/>
      <c r="NG343" s="1047"/>
      <c r="NH343" s="1047"/>
      <c r="NI343" s="1047"/>
      <c r="NJ343" s="1047"/>
      <c r="NK343" s="1047"/>
      <c r="NL343" s="1047"/>
      <c r="NM343" s="1047"/>
      <c r="NN343" s="1047"/>
      <c r="NO343" s="1047"/>
      <c r="NP343" s="1047"/>
      <c r="NQ343" s="1047"/>
      <c r="NR343" s="1047"/>
      <c r="NS343" s="1047"/>
      <c r="NT343" s="1047"/>
      <c r="NU343" s="1047"/>
      <c r="NV343" s="1047"/>
      <c r="NW343" s="1047"/>
      <c r="NX343" s="1047"/>
      <c r="NY343" s="1047"/>
      <c r="NZ343" s="1047"/>
      <c r="OA343" s="1047"/>
      <c r="OB343" s="1047"/>
      <c r="OC343" s="1047"/>
      <c r="OD343" s="1047"/>
      <c r="OE343" s="1047"/>
      <c r="OF343" s="1047"/>
      <c r="OG343" s="1047"/>
      <c r="OH343" s="1047"/>
      <c r="OI343" s="1047"/>
      <c r="OJ343" s="1047"/>
      <c r="OK343" s="1047"/>
      <c r="OL343" s="1047"/>
      <c r="OM343" s="1047"/>
      <c r="ON343" s="1047"/>
      <c r="OO343" s="1047"/>
      <c r="OP343" s="1047"/>
      <c r="OQ343" s="1047"/>
      <c r="OR343" s="1047"/>
      <c r="OS343" s="1047"/>
      <c r="OT343" s="1047"/>
      <c r="OU343" s="1047"/>
      <c r="OV343" s="1047"/>
      <c r="OW343" s="1047"/>
      <c r="OX343" s="1047"/>
      <c r="OY343" s="1047"/>
      <c r="OZ343" s="1047"/>
      <c r="PA343" s="1047"/>
      <c r="PB343" s="1047"/>
      <c r="PC343" s="1047"/>
      <c r="PD343" s="1047"/>
      <c r="PE343" s="1047"/>
      <c r="PF343" s="1047"/>
      <c r="PG343" s="1047"/>
      <c r="PH343" s="1047"/>
      <c r="PI343" s="1047"/>
      <c r="PJ343" s="1047"/>
      <c r="PK343" s="1047"/>
      <c r="PL343" s="1047"/>
      <c r="PM343" s="1047"/>
      <c r="PN343" s="1047"/>
      <c r="PO343" s="1047"/>
      <c r="PP343" s="1047"/>
      <c r="PQ343" s="1047"/>
      <c r="PR343" s="1047"/>
      <c r="PS343" s="1047"/>
      <c r="PT343" s="1047"/>
      <c r="PU343" s="1047"/>
      <c r="PV343" s="1047"/>
      <c r="PW343" s="1047"/>
      <c r="PX343" s="1047"/>
      <c r="PY343" s="1047"/>
      <c r="PZ343" s="1047"/>
      <c r="QA343" s="1047"/>
      <c r="QB343" s="1047"/>
      <c r="QC343" s="1047"/>
      <c r="QD343" s="1047"/>
      <c r="QE343" s="1047"/>
      <c r="QF343" s="1047"/>
      <c r="QG343" s="1047"/>
      <c r="QH343" s="1047"/>
      <c r="QI343" s="1047"/>
      <c r="QJ343" s="1047"/>
      <c r="QK343" s="1047"/>
      <c r="QL343" s="1047"/>
      <c r="QM343" s="1047"/>
      <c r="QN343" s="1047"/>
      <c r="QO343" s="1047"/>
      <c r="QP343" s="1047"/>
      <c r="QQ343" s="1047"/>
      <c r="QR343" s="1047"/>
      <c r="QS343" s="1047"/>
      <c r="QT343" s="1047"/>
      <c r="QU343" s="1047"/>
      <c r="QV343" s="1047"/>
      <c r="QW343" s="1047"/>
      <c r="QX343" s="1047"/>
      <c r="QY343" s="1047"/>
      <c r="QZ343" s="1047"/>
      <c r="RA343" s="1047"/>
      <c r="RB343" s="1047"/>
      <c r="RC343" s="1047"/>
      <c r="RD343" s="1047"/>
      <c r="RE343" s="1047"/>
      <c r="RF343" s="1047"/>
      <c r="RG343" s="1047"/>
      <c r="RH343" s="1047"/>
      <c r="RI343" s="1047"/>
      <c r="RJ343" s="1047"/>
      <c r="RK343" s="1047"/>
      <c r="RL343" s="1047"/>
      <c r="RM343" s="1047"/>
      <c r="RN343" s="1047"/>
      <c r="RO343" s="1047"/>
      <c r="RP343" s="1047"/>
      <c r="RQ343" s="1047"/>
      <c r="RR343" s="1047"/>
      <c r="RS343" s="1047"/>
      <c r="RT343" s="1047"/>
      <c r="RU343" s="1047"/>
      <c r="RV343" s="1047"/>
      <c r="RW343" s="1047"/>
      <c r="RX343" s="1047"/>
      <c r="RY343" s="1047"/>
      <c r="RZ343" s="1047"/>
      <c r="SA343" s="1047"/>
      <c r="SB343" s="1047"/>
      <c r="SC343" s="1047"/>
      <c r="SD343" s="1047"/>
      <c r="SE343" s="1047"/>
      <c r="SF343" s="1047"/>
      <c r="SG343" s="1047"/>
      <c r="SH343" s="1047"/>
      <c r="SI343" s="1047"/>
      <c r="SJ343" s="1047"/>
      <c r="SK343" s="1047"/>
      <c r="SL343" s="1047"/>
      <c r="SM343" s="1047"/>
      <c r="SN343" s="1047"/>
      <c r="SO343" s="1047"/>
      <c r="SP343" s="1047"/>
      <c r="SQ343" s="1047"/>
      <c r="SR343" s="1047"/>
      <c r="SS343" s="1047"/>
      <c r="ST343" s="1047"/>
      <c r="SU343" s="1047"/>
      <c r="SV343" s="1047"/>
      <c r="SW343" s="1047"/>
      <c r="SX343" s="1047"/>
      <c r="SY343" s="1047"/>
      <c r="SZ343" s="1047"/>
      <c r="TA343" s="1047"/>
      <c r="TB343" s="1047"/>
      <c r="TC343" s="1047"/>
      <c r="TD343" s="1047"/>
      <c r="TE343" s="1047"/>
      <c r="TF343" s="1047"/>
      <c r="TG343" s="1047"/>
      <c r="TH343" s="1047"/>
      <c r="TI343" s="1047"/>
      <c r="TJ343" s="1047"/>
      <c r="TK343" s="1047"/>
      <c r="TL343" s="1047"/>
      <c r="TM343" s="1047"/>
      <c r="TN343" s="1047"/>
      <c r="TO343" s="1047"/>
      <c r="TP343" s="1047"/>
      <c r="TQ343" s="1047"/>
      <c r="TR343" s="1047"/>
      <c r="TS343" s="1047"/>
      <c r="TT343" s="1047"/>
      <c r="TU343" s="1047"/>
      <c r="TV343" s="1047"/>
      <c r="TW343" s="1047"/>
      <c r="TX343" s="1047"/>
      <c r="TY343" s="1047"/>
      <c r="TZ343" s="1047"/>
      <c r="UA343" s="1047"/>
      <c r="UB343" s="1047"/>
      <c r="UC343" s="1047"/>
      <c r="UD343" s="1047"/>
      <c r="UE343" s="1047"/>
      <c r="UF343" s="1047"/>
      <c r="UG343" s="1047"/>
      <c r="UH343" s="1047"/>
      <c r="UI343" s="1047"/>
      <c r="UJ343" s="1047"/>
      <c r="UK343" s="1047"/>
      <c r="UL343" s="1047"/>
      <c r="UM343" s="1047"/>
      <c r="UN343" s="1047"/>
      <c r="UO343" s="1047"/>
      <c r="UP343" s="1047"/>
      <c r="UQ343" s="1047"/>
      <c r="UR343" s="1047"/>
      <c r="US343" s="1047"/>
      <c r="UT343" s="1047"/>
      <c r="UU343" s="1047"/>
      <c r="UV343" s="1047"/>
      <c r="UW343" s="1047"/>
      <c r="UX343" s="1047"/>
      <c r="UY343" s="1047"/>
      <c r="UZ343" s="1047"/>
      <c r="VA343" s="1047"/>
      <c r="VB343" s="1047"/>
      <c r="VC343" s="1047"/>
      <c r="VD343" s="1047"/>
      <c r="VE343" s="1047"/>
      <c r="VF343" s="1047"/>
      <c r="VG343" s="1047"/>
      <c r="VH343" s="1047"/>
      <c r="VI343" s="1047"/>
      <c r="VJ343" s="1047"/>
      <c r="VK343" s="1047"/>
      <c r="VL343" s="1047"/>
      <c r="VM343" s="1047"/>
      <c r="VN343" s="1047"/>
      <c r="VO343" s="1047"/>
      <c r="VP343" s="1047"/>
      <c r="VQ343" s="1047"/>
      <c r="VR343" s="1047"/>
      <c r="VS343" s="1047"/>
      <c r="VT343" s="1047"/>
      <c r="VU343" s="1047"/>
      <c r="VV343" s="1047"/>
      <c r="VW343" s="1047"/>
      <c r="VX343" s="1047"/>
      <c r="VY343" s="1047"/>
      <c r="VZ343" s="1047"/>
      <c r="WA343" s="1047"/>
      <c r="WB343" s="1047"/>
      <c r="WC343" s="1047"/>
      <c r="WD343" s="1047"/>
      <c r="WE343" s="1047"/>
      <c r="WF343" s="1047"/>
      <c r="WG343" s="1047"/>
      <c r="WH343" s="1047"/>
      <c r="WI343" s="1047"/>
      <c r="WJ343" s="1047"/>
      <c r="WK343" s="1047"/>
      <c r="WL343" s="1047"/>
      <c r="WM343" s="1047"/>
      <c r="WN343" s="1047"/>
      <c r="WO343" s="1047"/>
      <c r="WP343" s="1047"/>
      <c r="WQ343" s="1047"/>
      <c r="WR343" s="1047"/>
      <c r="WS343" s="1047"/>
      <c r="WT343" s="1047"/>
      <c r="WU343" s="1047"/>
      <c r="WV343" s="1047"/>
      <c r="WW343" s="1047"/>
      <c r="WX343" s="1047"/>
      <c r="WY343" s="1047"/>
      <c r="WZ343" s="1047"/>
      <c r="XA343" s="1047">
        <v>11014.940342145144</v>
      </c>
      <c r="XB343" s="1047">
        <v>6075.9539649013168</v>
      </c>
      <c r="XC343" s="1047">
        <v>259.52388332064317</v>
      </c>
      <c r="XD343" s="1047">
        <v>411.55723869847026</v>
      </c>
      <c r="XE343" s="1047">
        <v>40178.363775599406</v>
      </c>
      <c r="XF343" s="1047">
        <v>8621.4098818260954</v>
      </c>
      <c r="XG343" s="1047">
        <v>48.203677794074217</v>
      </c>
      <c r="XH343" s="1047">
        <v>1452.3311501207404</v>
      </c>
      <c r="XI343" s="1047">
        <v>45.334045913352668</v>
      </c>
      <c r="XJ343" s="1047">
        <v>11.703357013347889</v>
      </c>
      <c r="XK343" s="1047">
        <v>82822.397835606593</v>
      </c>
      <c r="XL343" s="1047">
        <v>14.766264604079481</v>
      </c>
      <c r="XM343" s="1047">
        <v>16.996141280835836</v>
      </c>
      <c r="XN343" s="1047">
        <v>21.531692629698622</v>
      </c>
      <c r="XO343" s="1047">
        <v>-7813.0428452317183</v>
      </c>
      <c r="XP343" s="1047">
        <v>6.9618968583971235</v>
      </c>
      <c r="XQ343" s="1047">
        <v>-448.46010001209027</v>
      </c>
      <c r="XR343" s="1047">
        <v>24.617627377361075</v>
      </c>
      <c r="XS343" s="1047">
        <v>69.55268961767338</v>
      </c>
      <c r="XT343" s="1047">
        <v>25.357233156632763</v>
      </c>
      <c r="XU343" s="1047">
        <v>20.081722699577476</v>
      </c>
      <c r="XV343" s="1047">
        <v>28.972741233584703</v>
      </c>
      <c r="XW343" s="1047">
        <v>19.732840328385475</v>
      </c>
      <c r="XX343" s="1047">
        <v>21.496803168854104</v>
      </c>
      <c r="XY343" s="1047">
        <v>30.859354721870549</v>
      </c>
      <c r="XZ343" s="1047">
        <v>33.676034308053445</v>
      </c>
      <c r="YA343" s="1047">
        <v>26.036424529230018</v>
      </c>
      <c r="YB343" s="1047">
        <v>53.246546343321072</v>
      </c>
      <c r="YC343" s="1047">
        <v>35.642450017668914</v>
      </c>
      <c r="YD343" s="1047">
        <v>22.68466060314389</v>
      </c>
      <c r="YE343" s="1047">
        <v>162.30490500485402</v>
      </c>
      <c r="YF343" s="1047">
        <v>150.25045474848642</v>
      </c>
      <c r="YG343" s="1047">
        <v>9991.8292072210315</v>
      </c>
      <c r="YH343" s="1047">
        <v>4505.1791947088259</v>
      </c>
      <c r="YI343" s="1047">
        <v>39110.788200142721</v>
      </c>
      <c r="YJ343" s="1047">
        <v>1305.951639779817</v>
      </c>
      <c r="YK343" s="1047">
        <v>207.03801067308765</v>
      </c>
      <c r="YL343" s="1047">
        <v>89.801241187604631</v>
      </c>
      <c r="YM343" s="1047">
        <v>25.711976361245913</v>
      </c>
      <c r="YN343" s="1047">
        <v>40.195082723264363</v>
      </c>
      <c r="YO343" s="1047">
        <v>-0.14129920270760571</v>
      </c>
      <c r="YP343" s="1047">
        <v>-0.1795642323686473</v>
      </c>
      <c r="YQ343" s="1047">
        <v>-8.2295519038654952E-2</v>
      </c>
      <c r="YR343" s="1047">
        <v>-0.17168372059696613</v>
      </c>
      <c r="YS343" s="1047">
        <v>-0.17959008386188247</v>
      </c>
      <c r="YT343" s="1047">
        <v>-0.18207874694041074</v>
      </c>
      <c r="YU343" s="1047">
        <v>-2.6146399841346817</v>
      </c>
      <c r="YV343" s="1047">
        <v>-0.27585960475579147</v>
      </c>
      <c r="YW343" s="1047">
        <v>-4.2373274002771106</v>
      </c>
      <c r="YX343" s="1047">
        <v>-7.4769767702056189</v>
      </c>
      <c r="YY343" s="1047">
        <v>-2.1649646371510669</v>
      </c>
      <c r="YZ343" s="1047">
        <v>-13.431100675961961</v>
      </c>
      <c r="ZA343" s="1047">
        <v>-10.999883822404641</v>
      </c>
      <c r="ZB343" s="1047">
        <v>-15.115038333204879</v>
      </c>
      <c r="ZC343" s="1047">
        <v>-1639.4462558691068</v>
      </c>
      <c r="ZD343" s="1047">
        <v>-16.110928130485416</v>
      </c>
      <c r="ZE343" s="1047">
        <v>19.901839038126116</v>
      </c>
      <c r="ZF343" s="1047">
        <v>18.533402256088277</v>
      </c>
      <c r="ZG343" s="1047">
        <v>21.9840431027446</v>
      </c>
      <c r="ZH343" s="1047">
        <v>17.145382113734907</v>
      </c>
      <c r="ZI343" s="1047">
        <v>15.116063552609612</v>
      </c>
      <c r="ZJ343" s="1047">
        <v>15.857348055599285</v>
      </c>
      <c r="ZK343" s="1047">
        <v>13.914029465000587</v>
      </c>
      <c r="ZL343" s="1047">
        <v>14.063770658474233</v>
      </c>
      <c r="ZM343" s="1047">
        <v>84404.441175980246</v>
      </c>
      <c r="ZN343" s="1047">
        <v>91211.156649853277</v>
      </c>
      <c r="ZO343" s="1047">
        <v>98562.208233925208</v>
      </c>
      <c r="ZP343" s="1047">
        <v>107379.80654298747</v>
      </c>
      <c r="ZQ343" s="1047">
        <v>113530.35848808149</v>
      </c>
      <c r="ZR343" s="1047">
        <v>1600.7102722145264</v>
      </c>
      <c r="ZS343" s="1047">
        <v>1846.0886702270416</v>
      </c>
      <c r="ZT343" s="1047">
        <v>96301.057345482477</v>
      </c>
      <c r="ZU343" s="1047">
        <v>37449.354307040099</v>
      </c>
      <c r="ZV343" s="1047">
        <v>-0.378562128375735</v>
      </c>
      <c r="ZW343" s="1047">
        <v>77.421826510166795</v>
      </c>
      <c r="ZX343" s="1047">
        <v>736.15805432039167</v>
      </c>
      <c r="ZY343" s="1047">
        <v>16595.92192830762</v>
      </c>
      <c r="ZZ343" s="1047">
        <v>33518.237715744661</v>
      </c>
      <c r="AAA343" s="1047">
        <v>47.571284779723413</v>
      </c>
      <c r="AAB343" s="1047">
        <v>47054.283959588232</v>
      </c>
      <c r="AAC343" s="1047">
        <v>1669.6130679277355</v>
      </c>
      <c r="AAD343" s="1047">
        <v>1365.5643348659439</v>
      </c>
      <c r="AAE343" s="1047">
        <v>215.93931061995963</v>
      </c>
      <c r="AAF343" s="1047">
        <v>1436.1799950041241</v>
      </c>
      <c r="AAG343" s="1047">
        <v>120.31371433823585</v>
      </c>
      <c r="AAH343" s="1047">
        <v>765.40617187263433</v>
      </c>
      <c r="AAI343" s="1047">
        <v>23.043172613180829</v>
      </c>
      <c r="AAJ343" s="1047">
        <v>28.295391432326273</v>
      </c>
      <c r="AAK343" s="1063"/>
    </row>
    <row r="344" spans="2:713" hidden="1">
      <c r="B344" s="1023" t="s">
        <v>1866</v>
      </c>
      <c r="C344" s="723"/>
      <c r="D344" s="999"/>
      <c r="E344" s="1068" t="s">
        <v>1854</v>
      </c>
      <c r="F344" s="534"/>
      <c r="G344" s="534" t="s">
        <v>68</v>
      </c>
      <c r="H344" s="534"/>
      <c r="I344" s="1047"/>
      <c r="J344" s="1047"/>
      <c r="K344" s="1047"/>
      <c r="L344" s="1047"/>
      <c r="M344" s="1047"/>
      <c r="N344" s="1047"/>
      <c r="O344" s="1047"/>
      <c r="P344" s="1047"/>
      <c r="Q344" s="1047"/>
      <c r="R344" s="1047"/>
      <c r="S344" s="1047"/>
      <c r="T344" s="1047"/>
      <c r="U344" s="1047"/>
      <c r="V344" s="1047"/>
      <c r="W344" s="1047"/>
      <c r="X344" s="1047"/>
      <c r="Y344" s="1047"/>
      <c r="Z344" s="1047"/>
      <c r="AA344" s="1047"/>
      <c r="AB344" s="1047"/>
      <c r="AC344" s="1047"/>
      <c r="AD344" s="1047"/>
      <c r="AE344" s="1047"/>
      <c r="AF344" s="1047"/>
      <c r="AG344" s="1047"/>
      <c r="AH344" s="1047"/>
      <c r="AI344" s="1047"/>
      <c r="AJ344" s="1047"/>
      <c r="AK344" s="1047"/>
      <c r="AL344" s="1047"/>
      <c r="AM344" s="1047"/>
      <c r="AN344" s="1047"/>
      <c r="AO344" s="1047"/>
      <c r="AP344" s="1047"/>
      <c r="AQ344" s="1047"/>
      <c r="AR344" s="1047"/>
      <c r="AS344" s="1047"/>
      <c r="AT344" s="1047"/>
      <c r="AU344" s="1047"/>
      <c r="AV344" s="1047"/>
      <c r="AW344" s="1047"/>
      <c r="AX344" s="1047"/>
      <c r="AY344" s="1047"/>
      <c r="AZ344" s="1047"/>
      <c r="BA344" s="1047"/>
      <c r="BB344" s="1047"/>
      <c r="BC344" s="1047"/>
      <c r="BD344" s="1047"/>
      <c r="BE344" s="1047"/>
      <c r="BF344" s="1047"/>
      <c r="BG344" s="1047"/>
      <c r="BH344" s="1047"/>
      <c r="BI344" s="1047"/>
      <c r="BJ344" s="1047"/>
      <c r="BK344" s="1047"/>
      <c r="BL344" s="1047"/>
      <c r="BM344" s="1047"/>
      <c r="BN344" s="1047"/>
      <c r="BO344" s="1047"/>
      <c r="BP344" s="1047"/>
      <c r="BQ344" s="1047"/>
      <c r="BR344" s="1047"/>
      <c r="BS344" s="1047"/>
      <c r="BT344" s="1047"/>
      <c r="BU344" s="1047"/>
      <c r="BV344" s="1047"/>
      <c r="BW344" s="1047"/>
      <c r="BX344" s="1047"/>
      <c r="BY344" s="1047"/>
      <c r="BZ344" s="1047"/>
      <c r="CA344" s="1047"/>
      <c r="CB344" s="1047"/>
      <c r="CC344" s="1047"/>
      <c r="CD344" s="1047"/>
      <c r="CE344" s="1047"/>
      <c r="CF344" s="1047"/>
      <c r="CG344" s="1047"/>
      <c r="CH344" s="1047"/>
      <c r="CI344" s="1047"/>
      <c r="CJ344" s="1047"/>
      <c r="CK344" s="1047"/>
      <c r="CL344" s="1047"/>
      <c r="CM344" s="1047"/>
      <c r="CN344" s="1047"/>
      <c r="CO344" s="1047"/>
      <c r="CP344" s="1047"/>
      <c r="CQ344" s="1047"/>
      <c r="CR344" s="1047"/>
      <c r="CS344" s="1047"/>
      <c r="CT344" s="1047"/>
      <c r="CU344" s="1047"/>
      <c r="CV344" s="1047"/>
      <c r="CW344" s="1047"/>
      <c r="CX344" s="1047"/>
      <c r="CY344" s="1047"/>
      <c r="CZ344" s="1047"/>
      <c r="DA344" s="1047"/>
      <c r="DB344" s="1047"/>
      <c r="DC344" s="1047"/>
      <c r="DD344" s="1047"/>
      <c r="DE344" s="1047"/>
      <c r="DF344" s="1047"/>
      <c r="DG344" s="1047"/>
      <c r="DH344" s="1047"/>
      <c r="DI344" s="1047"/>
      <c r="DJ344" s="1047"/>
      <c r="DK344" s="1047"/>
      <c r="DL344" s="1047"/>
      <c r="DM344" s="1047"/>
      <c r="DN344" s="1047"/>
      <c r="DO344" s="1047"/>
      <c r="DP344" s="1047"/>
      <c r="DQ344" s="1047"/>
      <c r="DR344" s="1047"/>
      <c r="DS344" s="1047"/>
      <c r="DT344" s="1047"/>
      <c r="DU344" s="1047"/>
      <c r="DV344" s="1047"/>
      <c r="DW344" s="1047"/>
      <c r="DX344" s="1047"/>
      <c r="DY344" s="1047"/>
      <c r="DZ344" s="1047"/>
      <c r="EA344" s="1047"/>
      <c r="EB344" s="1047"/>
      <c r="EC344" s="1047"/>
      <c r="ED344" s="1047"/>
      <c r="EE344" s="1047"/>
      <c r="EF344" s="1047"/>
      <c r="EG344" s="1047"/>
      <c r="EH344" s="1047"/>
      <c r="EI344" s="1047"/>
      <c r="EJ344" s="1047"/>
      <c r="EK344" s="1047"/>
      <c r="EL344" s="1047"/>
      <c r="EM344" s="1047"/>
      <c r="EN344" s="1047"/>
      <c r="EO344" s="1047"/>
      <c r="EP344" s="1047"/>
      <c r="EQ344" s="1047"/>
      <c r="ER344" s="1047"/>
      <c r="ES344" s="1047"/>
      <c r="ET344" s="1047"/>
      <c r="EU344" s="1047"/>
      <c r="EV344" s="1047"/>
      <c r="EW344" s="1047"/>
      <c r="EX344" s="1047"/>
      <c r="EY344" s="1047"/>
      <c r="EZ344" s="1047"/>
      <c r="FA344" s="1047"/>
      <c r="FB344" s="1047"/>
      <c r="FC344" s="1047"/>
      <c r="FD344" s="1047"/>
      <c r="FE344" s="1047"/>
      <c r="FF344" s="1047"/>
      <c r="FG344" s="1047"/>
      <c r="FH344" s="1047"/>
      <c r="FI344" s="1047"/>
      <c r="FJ344" s="1047"/>
      <c r="FK344" s="1047"/>
      <c r="FL344" s="1047"/>
      <c r="FM344" s="1047"/>
      <c r="FN344" s="1047"/>
      <c r="FO344" s="1047"/>
      <c r="FP344" s="1047"/>
      <c r="FQ344" s="1047"/>
      <c r="FR344" s="1047"/>
      <c r="FS344" s="1047"/>
      <c r="FT344" s="1047"/>
      <c r="FU344" s="1047"/>
      <c r="FV344" s="1047"/>
      <c r="FW344" s="1047"/>
      <c r="FX344" s="1047"/>
      <c r="FY344" s="1047"/>
      <c r="FZ344" s="1047"/>
      <c r="GA344" s="1047"/>
      <c r="GB344" s="1047"/>
      <c r="GC344" s="1047"/>
      <c r="GD344" s="1047"/>
      <c r="GE344" s="1047"/>
      <c r="GF344" s="1047"/>
      <c r="GG344" s="1047"/>
      <c r="GH344" s="1047"/>
      <c r="GI344" s="1047"/>
      <c r="GJ344" s="1047"/>
      <c r="GK344" s="1047"/>
      <c r="GL344" s="1047"/>
      <c r="GM344" s="1047"/>
      <c r="GN344" s="1047"/>
      <c r="GO344" s="1047"/>
      <c r="GP344" s="1047"/>
      <c r="GQ344" s="1047"/>
      <c r="GR344" s="1047"/>
      <c r="GS344" s="1047"/>
      <c r="GT344" s="1047"/>
      <c r="GU344" s="1047"/>
      <c r="GV344" s="1047"/>
      <c r="GW344" s="1047"/>
      <c r="GX344" s="1047"/>
      <c r="GY344" s="1047"/>
      <c r="GZ344" s="1047"/>
      <c r="HA344" s="1047"/>
      <c r="HB344" s="1047"/>
      <c r="HC344" s="1047"/>
      <c r="HD344" s="1047"/>
      <c r="HE344" s="1047"/>
      <c r="HF344" s="1047"/>
      <c r="HG344" s="1047"/>
      <c r="HH344" s="1047"/>
      <c r="HI344" s="1047"/>
      <c r="HJ344" s="1047"/>
      <c r="HK344" s="1047"/>
      <c r="HL344" s="1047"/>
      <c r="HM344" s="1047"/>
      <c r="HN344" s="1047"/>
      <c r="HO344" s="1047"/>
      <c r="HP344" s="1047"/>
      <c r="HQ344" s="1047"/>
      <c r="HR344" s="1047"/>
      <c r="HS344" s="1047"/>
      <c r="HT344" s="1047"/>
      <c r="HU344" s="1047"/>
      <c r="HV344" s="1047"/>
      <c r="HW344" s="1047"/>
      <c r="HX344" s="1047"/>
      <c r="HY344" s="1047"/>
      <c r="HZ344" s="1047"/>
      <c r="IA344" s="1047"/>
      <c r="IB344" s="1047"/>
      <c r="IC344" s="1047"/>
      <c r="ID344" s="1047"/>
      <c r="IE344" s="1047"/>
      <c r="IF344" s="1047"/>
      <c r="IG344" s="1047"/>
      <c r="IH344" s="1047"/>
      <c r="II344" s="1047"/>
      <c r="IJ344" s="1047"/>
      <c r="IK344" s="1047"/>
      <c r="IL344" s="1047"/>
      <c r="IM344" s="1047"/>
      <c r="IN344" s="1047"/>
      <c r="IO344" s="1047"/>
      <c r="IP344" s="1047"/>
      <c r="IQ344" s="1047"/>
      <c r="IR344" s="1047"/>
      <c r="IS344" s="1047"/>
      <c r="IT344" s="1047"/>
      <c r="IU344" s="1047"/>
      <c r="IV344" s="1047"/>
      <c r="IW344" s="1047"/>
      <c r="IX344" s="1047"/>
      <c r="IY344" s="1047"/>
      <c r="IZ344" s="1047"/>
      <c r="JA344" s="1047"/>
      <c r="JB344" s="1047"/>
      <c r="JC344" s="1047"/>
      <c r="JD344" s="1047"/>
      <c r="JE344" s="1047"/>
      <c r="JF344" s="1047"/>
      <c r="JG344" s="1047"/>
      <c r="JH344" s="1047"/>
      <c r="JI344" s="1047"/>
      <c r="JJ344" s="1047"/>
      <c r="JK344" s="1047"/>
      <c r="JL344" s="1047"/>
      <c r="JM344" s="1047">
        <v>44.319502425994848</v>
      </c>
      <c r="JN344" s="1047">
        <v>43.448642354338425</v>
      </c>
      <c r="JO344" s="1047">
        <v>46.126512114462528</v>
      </c>
      <c r="JP344" s="1047">
        <v>42.787252786098549</v>
      </c>
      <c r="JQ344" s="1047">
        <v>43.317273921329168</v>
      </c>
      <c r="JR344" s="1047">
        <v>42.622249506092778</v>
      </c>
      <c r="JS344" s="1047">
        <v>42.925845503838389</v>
      </c>
      <c r="JT344" s="1047">
        <v>42.386206483527083</v>
      </c>
      <c r="JU344" s="1047">
        <v>12.478190939300084</v>
      </c>
      <c r="JV344" s="1047">
        <v>86.911791277203506</v>
      </c>
      <c r="JW344" s="1047">
        <v>64.402828934297162</v>
      </c>
      <c r="JX344" s="1047">
        <v>90.520268374870113</v>
      </c>
      <c r="JY344" s="1047">
        <v>92.208894236127989</v>
      </c>
      <c r="JZ344" s="1047">
        <v>85.827701637262464</v>
      </c>
      <c r="KA344" s="1047">
        <v>131.28894415896596</v>
      </c>
      <c r="KB344" s="1047">
        <v>105.08408351597309</v>
      </c>
      <c r="KC344" s="1047">
        <v>424.64844217942567</v>
      </c>
      <c r="KD344" s="1047">
        <v>5241.2622006787942</v>
      </c>
      <c r="KE344" s="1047">
        <v>9249.7816965329403</v>
      </c>
      <c r="KF344" s="1047">
        <v>96.299385453026332</v>
      </c>
      <c r="KG344" s="1047">
        <v>62.845681777078781</v>
      </c>
      <c r="KH344" s="1047">
        <v>222.92880142392369</v>
      </c>
      <c r="KI344" s="1047">
        <v>117.37917515107806</v>
      </c>
      <c r="KJ344" s="1047">
        <v>75.533889357910951</v>
      </c>
      <c r="KK344" s="1047">
        <v>27.791915950892651</v>
      </c>
      <c r="KL344" s="1047">
        <v>36.859878191779664</v>
      </c>
      <c r="KM344" s="1047">
        <v>25.682116283710904</v>
      </c>
      <c r="KN344" s="1047">
        <v>37.37066341765086</v>
      </c>
      <c r="KO344" s="1047">
        <v>38.012141556565773</v>
      </c>
      <c r="KP344" s="1047">
        <v>41.997697726765907</v>
      </c>
      <c r="KQ344" s="1047">
        <v>63.719272484896813</v>
      </c>
      <c r="KR344" s="1047">
        <v>46.974188731957689</v>
      </c>
      <c r="KS344" s="1047">
        <v>7583.2112413386822</v>
      </c>
      <c r="KT344" s="1047">
        <v>14063.599272867679</v>
      </c>
      <c r="KU344" s="1047">
        <v>13815.253395655718</v>
      </c>
      <c r="KV344" s="1047">
        <v>9157.3086545945953</v>
      </c>
      <c r="KW344" s="1047">
        <v>15149.193522045096</v>
      </c>
      <c r="KX344" s="1047">
        <v>11512.845481295333</v>
      </c>
      <c r="KY344" s="1047">
        <v>9873.7444274968693</v>
      </c>
      <c r="KZ344" s="1047">
        <v>13317.557782860495</v>
      </c>
      <c r="LA344" s="1047">
        <v>-14.507577742958222</v>
      </c>
      <c r="LB344" s="1047">
        <v>-17.042229100606182</v>
      </c>
      <c r="LC344" s="1047">
        <v>-8.0822551646823477</v>
      </c>
      <c r="LD344" s="1047">
        <v>-7.8278725166500713</v>
      </c>
      <c r="LE344" s="1047">
        <v>-11.394720907207363</v>
      </c>
      <c r="LF344" s="1047">
        <v>-17.081606074536808</v>
      </c>
      <c r="LG344" s="1047">
        <v>19.582316513641786</v>
      </c>
      <c r="LH344" s="1047">
        <v>1.7980999870781194</v>
      </c>
      <c r="LI344" s="1047">
        <v>38.421149589699809</v>
      </c>
      <c r="LJ344" s="1047">
        <v>39.453851086982837</v>
      </c>
      <c r="LK344" s="1047">
        <v>29.337219252221157</v>
      </c>
      <c r="LL344" s="1047">
        <v>40.15464967922393</v>
      </c>
      <c r="LM344" s="1047">
        <v>40.186743966700384</v>
      </c>
      <c r="LN344" s="1047">
        <v>40.512946499304924</v>
      </c>
      <c r="LO344" s="1047">
        <v>33.427742046348094</v>
      </c>
      <c r="LP344" s="1047">
        <v>32.486054864940215</v>
      </c>
      <c r="LQ344" s="1047">
        <v>112.27995412719781</v>
      </c>
      <c r="LR344" s="1047">
        <v>115.61247507626975</v>
      </c>
      <c r="LS344" s="1047">
        <v>111.08932740708006</v>
      </c>
      <c r="LT344" s="1047">
        <v>119.05276168663512</v>
      </c>
      <c r="LU344" s="1047">
        <v>122.48413019025369</v>
      </c>
      <c r="LV344" s="1047">
        <v>114.56352636602362</v>
      </c>
      <c r="LW344" s="1047">
        <v>124.29478218560162</v>
      </c>
      <c r="LX344" s="1047">
        <v>118.54751947131106</v>
      </c>
      <c r="LY344" s="1047">
        <v>57.096767589260047</v>
      </c>
      <c r="LZ344" s="1047">
        <v>82.09451457725477</v>
      </c>
      <c r="MA344" s="1047">
        <v>83.727865313218857</v>
      </c>
      <c r="MB344" s="1047">
        <v>63.386063475192238</v>
      </c>
      <c r="MC344" s="1047">
        <v>86.522592168752766</v>
      </c>
      <c r="MD344" s="1047">
        <v>86.335164435147377</v>
      </c>
      <c r="ME344" s="1047">
        <v>87.621787943220539</v>
      </c>
      <c r="MF344" s="1047">
        <v>89.4493595690966</v>
      </c>
      <c r="MG344" s="1047">
        <v>1815.9109394275879</v>
      </c>
      <c r="MH344" s="1047">
        <v>2507.0880510182528</v>
      </c>
      <c r="MI344" s="1047">
        <v>46.538188036731412</v>
      </c>
      <c r="MJ344" s="1047">
        <v>142.97071961427517</v>
      </c>
      <c r="MK344" s="1047">
        <v>4.8555669487257171</v>
      </c>
      <c r="ML344" s="1047">
        <v>35.251990918841464</v>
      </c>
      <c r="MM344" s="1047">
        <v>2435.8461569985238</v>
      </c>
      <c r="MN344" s="1047">
        <v>462.88008291133013</v>
      </c>
      <c r="MO344" s="1047">
        <v>75.985033931978109</v>
      </c>
      <c r="MP344" s="1047">
        <v>151.66196370941756</v>
      </c>
      <c r="MQ344" s="1047">
        <v>92.754214555927888</v>
      </c>
      <c r="MR344" s="1047">
        <v>85.360995065410577</v>
      </c>
      <c r="MS344" s="1047">
        <v>81.369615961405486</v>
      </c>
      <c r="MT344" s="1047">
        <v>278.01504184843816</v>
      </c>
      <c r="MU344" s="1047">
        <v>489.65156596200228</v>
      </c>
      <c r="MV344" s="1047">
        <v>88.323585101299486</v>
      </c>
      <c r="MW344" s="1047"/>
      <c r="MX344" s="1047"/>
      <c r="MY344" s="1047"/>
      <c r="MZ344" s="1047"/>
      <c r="NA344" s="1047"/>
      <c r="NB344" s="1047"/>
      <c r="NC344" s="1047"/>
      <c r="ND344" s="1047"/>
      <c r="NE344" s="1047"/>
      <c r="NF344" s="1047"/>
      <c r="NG344" s="1047"/>
      <c r="NH344" s="1047"/>
      <c r="NI344" s="1047"/>
      <c r="NJ344" s="1047"/>
      <c r="NK344" s="1047"/>
      <c r="NL344" s="1047"/>
      <c r="NM344" s="1047"/>
      <c r="NN344" s="1047"/>
      <c r="NO344" s="1047"/>
      <c r="NP344" s="1047"/>
      <c r="NQ344" s="1047"/>
      <c r="NR344" s="1047"/>
      <c r="NS344" s="1047"/>
      <c r="NT344" s="1047"/>
      <c r="NU344" s="1047"/>
      <c r="NV344" s="1047"/>
      <c r="NW344" s="1047"/>
      <c r="NX344" s="1047"/>
      <c r="NY344" s="1047"/>
      <c r="NZ344" s="1047"/>
      <c r="OA344" s="1047"/>
      <c r="OB344" s="1047"/>
      <c r="OC344" s="1047"/>
      <c r="OD344" s="1047"/>
      <c r="OE344" s="1047"/>
      <c r="OF344" s="1047"/>
      <c r="OG344" s="1047"/>
      <c r="OH344" s="1047"/>
      <c r="OI344" s="1047"/>
      <c r="OJ344" s="1047"/>
      <c r="OK344" s="1047"/>
      <c r="OL344" s="1047"/>
      <c r="OM344" s="1047"/>
      <c r="ON344" s="1047"/>
      <c r="OO344" s="1047"/>
      <c r="OP344" s="1047"/>
      <c r="OQ344" s="1047"/>
      <c r="OR344" s="1047"/>
      <c r="OS344" s="1047"/>
      <c r="OT344" s="1047"/>
      <c r="OU344" s="1047"/>
      <c r="OV344" s="1047"/>
      <c r="OW344" s="1047"/>
      <c r="OX344" s="1047"/>
      <c r="OY344" s="1047"/>
      <c r="OZ344" s="1047"/>
      <c r="PA344" s="1047"/>
      <c r="PB344" s="1047"/>
      <c r="PC344" s="1047"/>
      <c r="PD344" s="1047"/>
      <c r="PE344" s="1047"/>
      <c r="PF344" s="1047"/>
      <c r="PG344" s="1047"/>
      <c r="PH344" s="1047"/>
      <c r="PI344" s="1047"/>
      <c r="PJ344" s="1047"/>
      <c r="PK344" s="1047"/>
      <c r="PL344" s="1047"/>
      <c r="PM344" s="1047"/>
      <c r="PN344" s="1047"/>
      <c r="PO344" s="1047"/>
      <c r="PP344" s="1047"/>
      <c r="PQ344" s="1047"/>
      <c r="PR344" s="1047"/>
      <c r="PS344" s="1047"/>
      <c r="PT344" s="1047"/>
      <c r="PU344" s="1047"/>
      <c r="PV344" s="1047"/>
      <c r="PW344" s="1047"/>
      <c r="PX344" s="1047"/>
      <c r="PY344" s="1047"/>
      <c r="PZ344" s="1047"/>
      <c r="QA344" s="1047"/>
      <c r="QB344" s="1047"/>
      <c r="QC344" s="1047"/>
      <c r="QD344" s="1047"/>
      <c r="QE344" s="1047"/>
      <c r="QF344" s="1047"/>
      <c r="QG344" s="1047"/>
      <c r="QH344" s="1047"/>
      <c r="QI344" s="1047"/>
      <c r="QJ344" s="1047"/>
      <c r="QK344" s="1047"/>
      <c r="QL344" s="1047"/>
      <c r="QM344" s="1047"/>
      <c r="QN344" s="1047"/>
      <c r="QO344" s="1047"/>
      <c r="QP344" s="1047"/>
      <c r="QQ344" s="1047"/>
      <c r="QR344" s="1047"/>
      <c r="QS344" s="1047"/>
      <c r="QT344" s="1047"/>
      <c r="QU344" s="1047"/>
      <c r="QV344" s="1047"/>
      <c r="QW344" s="1047"/>
      <c r="QX344" s="1047"/>
      <c r="QY344" s="1047"/>
      <c r="QZ344" s="1047"/>
      <c r="RA344" s="1047"/>
      <c r="RB344" s="1047"/>
      <c r="RC344" s="1047"/>
      <c r="RD344" s="1047"/>
      <c r="RE344" s="1047"/>
      <c r="RF344" s="1047"/>
      <c r="RG344" s="1047"/>
      <c r="RH344" s="1047"/>
      <c r="RI344" s="1047"/>
      <c r="RJ344" s="1047"/>
      <c r="RK344" s="1047"/>
      <c r="RL344" s="1047"/>
      <c r="RM344" s="1047"/>
      <c r="RN344" s="1047"/>
      <c r="RO344" s="1047"/>
      <c r="RP344" s="1047"/>
      <c r="RQ344" s="1047"/>
      <c r="RR344" s="1047"/>
      <c r="RS344" s="1047"/>
      <c r="RT344" s="1047"/>
      <c r="RU344" s="1047"/>
      <c r="RV344" s="1047"/>
      <c r="RW344" s="1047"/>
      <c r="RX344" s="1047"/>
      <c r="RY344" s="1047"/>
      <c r="RZ344" s="1047"/>
      <c r="SA344" s="1047"/>
      <c r="SB344" s="1047"/>
      <c r="SC344" s="1047"/>
      <c r="SD344" s="1047"/>
      <c r="SE344" s="1047"/>
      <c r="SF344" s="1047"/>
      <c r="SG344" s="1047"/>
      <c r="SH344" s="1047"/>
      <c r="SI344" s="1047"/>
      <c r="SJ344" s="1047"/>
      <c r="SK344" s="1047"/>
      <c r="SL344" s="1047"/>
      <c r="SM344" s="1047"/>
      <c r="SN344" s="1047"/>
      <c r="SO344" s="1047"/>
      <c r="SP344" s="1047"/>
      <c r="SQ344" s="1047"/>
      <c r="SR344" s="1047"/>
      <c r="SS344" s="1047"/>
      <c r="ST344" s="1047"/>
      <c r="SU344" s="1047"/>
      <c r="SV344" s="1047"/>
      <c r="SW344" s="1047"/>
      <c r="SX344" s="1047"/>
      <c r="SY344" s="1047"/>
      <c r="SZ344" s="1047"/>
      <c r="TA344" s="1047"/>
      <c r="TB344" s="1047"/>
      <c r="TC344" s="1047"/>
      <c r="TD344" s="1047"/>
      <c r="TE344" s="1047"/>
      <c r="TF344" s="1047"/>
      <c r="TG344" s="1047"/>
      <c r="TH344" s="1047"/>
      <c r="TI344" s="1047"/>
      <c r="TJ344" s="1047"/>
      <c r="TK344" s="1047"/>
      <c r="TL344" s="1047"/>
      <c r="TM344" s="1047"/>
      <c r="TN344" s="1047"/>
      <c r="TO344" s="1047"/>
      <c r="TP344" s="1047"/>
      <c r="TQ344" s="1047"/>
      <c r="TR344" s="1047"/>
      <c r="TS344" s="1047"/>
      <c r="TT344" s="1047"/>
      <c r="TU344" s="1047"/>
      <c r="TV344" s="1047"/>
      <c r="TW344" s="1047"/>
      <c r="TX344" s="1047"/>
      <c r="TY344" s="1047"/>
      <c r="TZ344" s="1047"/>
      <c r="UA344" s="1047"/>
      <c r="UB344" s="1047"/>
      <c r="UC344" s="1047"/>
      <c r="UD344" s="1047"/>
      <c r="UE344" s="1047"/>
      <c r="UF344" s="1047"/>
      <c r="UG344" s="1047"/>
      <c r="UH344" s="1047"/>
      <c r="UI344" s="1047"/>
      <c r="UJ344" s="1047"/>
      <c r="UK344" s="1047"/>
      <c r="UL344" s="1047"/>
      <c r="UM344" s="1047"/>
      <c r="UN344" s="1047"/>
      <c r="UO344" s="1047"/>
      <c r="UP344" s="1047"/>
      <c r="UQ344" s="1047"/>
      <c r="UR344" s="1047"/>
      <c r="US344" s="1047"/>
      <c r="UT344" s="1047"/>
      <c r="UU344" s="1047"/>
      <c r="UV344" s="1047"/>
      <c r="UW344" s="1047"/>
      <c r="UX344" s="1047"/>
      <c r="UY344" s="1047"/>
      <c r="UZ344" s="1047"/>
      <c r="VA344" s="1047"/>
      <c r="VB344" s="1047"/>
      <c r="VC344" s="1047"/>
      <c r="VD344" s="1047"/>
      <c r="VE344" s="1047"/>
      <c r="VF344" s="1047"/>
      <c r="VG344" s="1047"/>
      <c r="VH344" s="1047"/>
      <c r="VI344" s="1047"/>
      <c r="VJ344" s="1047"/>
      <c r="VK344" s="1047"/>
      <c r="VL344" s="1047"/>
      <c r="VM344" s="1047"/>
      <c r="VN344" s="1047"/>
      <c r="VO344" s="1047"/>
      <c r="VP344" s="1047"/>
      <c r="VQ344" s="1047"/>
      <c r="VR344" s="1047"/>
      <c r="VS344" s="1047"/>
      <c r="VT344" s="1047"/>
      <c r="VU344" s="1047"/>
      <c r="VV344" s="1047"/>
      <c r="VW344" s="1047"/>
      <c r="VX344" s="1047"/>
      <c r="VY344" s="1047"/>
      <c r="VZ344" s="1047"/>
      <c r="WA344" s="1047"/>
      <c r="WB344" s="1047"/>
      <c r="WC344" s="1047"/>
      <c r="WD344" s="1047"/>
      <c r="WE344" s="1047"/>
      <c r="WF344" s="1047"/>
      <c r="WG344" s="1047"/>
      <c r="WH344" s="1047"/>
      <c r="WI344" s="1047"/>
      <c r="WJ344" s="1047"/>
      <c r="WK344" s="1047"/>
      <c r="WL344" s="1047"/>
      <c r="WM344" s="1047"/>
      <c r="WN344" s="1047"/>
      <c r="WO344" s="1047"/>
      <c r="WP344" s="1047"/>
      <c r="WQ344" s="1047"/>
      <c r="WR344" s="1047"/>
      <c r="WS344" s="1047"/>
      <c r="WT344" s="1047"/>
      <c r="WU344" s="1047"/>
      <c r="WV344" s="1047"/>
      <c r="WW344" s="1047"/>
      <c r="WX344" s="1047"/>
      <c r="WY344" s="1047"/>
      <c r="WZ344" s="1047"/>
      <c r="XA344" s="1047">
        <v>43.708610979119506</v>
      </c>
      <c r="XB344" s="1047">
        <v>45.176222265780098</v>
      </c>
      <c r="XC344" s="1047">
        <v>44.296919063020177</v>
      </c>
      <c r="XD344" s="1047">
        <v>51.26638666189541</v>
      </c>
      <c r="XE344" s="1047">
        <v>50.465429015992484</v>
      </c>
      <c r="XF344" s="1047">
        <v>52.856894423924572</v>
      </c>
      <c r="XG344" s="1047">
        <v>53.693652574918175</v>
      </c>
      <c r="XH344" s="1047">
        <v>52.003112798869246</v>
      </c>
      <c r="XI344" s="1047">
        <v>1.9319369654916594</v>
      </c>
      <c r="XJ344" s="1047">
        <v>-9.1669224749951553E-3</v>
      </c>
      <c r="XK344" s="1047">
        <v>151.69211512385135</v>
      </c>
      <c r="XL344" s="1047">
        <v>-1.712407867942497</v>
      </c>
      <c r="XM344" s="1047">
        <v>397.21239475383931</v>
      </c>
      <c r="XN344" s="1047">
        <v>110.62655570282982</v>
      </c>
      <c r="XO344" s="1047">
        <v>192.38759805503287</v>
      </c>
      <c r="XP344" s="1047">
        <v>125.78852032449517</v>
      </c>
      <c r="XQ344" s="1047">
        <v>533.66594965225681</v>
      </c>
      <c r="XR344" s="1047">
        <v>213.65407575341712</v>
      </c>
      <c r="XS344" s="1047">
        <v>166.55979556838801</v>
      </c>
      <c r="XT344" s="1047">
        <v>51.018207774148316</v>
      </c>
      <c r="XU344" s="1047">
        <v>329.83693467852441</v>
      </c>
      <c r="XV344" s="1047">
        <v>651.61544455700755</v>
      </c>
      <c r="XW344" s="1047">
        <v>265.82298839237535</v>
      </c>
      <c r="XX344" s="1047">
        <v>158.65699431442096</v>
      </c>
      <c r="XY344" s="1047">
        <v>41.115540691227999</v>
      </c>
      <c r="XZ344" s="1047">
        <v>51.096216418372173</v>
      </c>
      <c r="YA344" s="1047">
        <v>46.516659605773192</v>
      </c>
      <c r="YB344" s="1047">
        <v>58.03289999433288</v>
      </c>
      <c r="YC344" s="1047">
        <v>58.7220868025436</v>
      </c>
      <c r="YD344" s="1047">
        <v>55.678695966294107</v>
      </c>
      <c r="YE344" s="1047">
        <v>84.327506237250418</v>
      </c>
      <c r="YF344" s="1047">
        <v>87.278276076086527</v>
      </c>
      <c r="YG344" s="1047">
        <v>16442.572962193281</v>
      </c>
      <c r="YH344" s="1047">
        <v>15414.585691331766</v>
      </c>
      <c r="YI344" s="1047">
        <v>26937.018658030265</v>
      </c>
      <c r="YJ344" s="1047">
        <v>13676.274589427616</v>
      </c>
      <c r="YK344" s="1047">
        <v>11673.608328144755</v>
      </c>
      <c r="YL344" s="1047">
        <v>7266.8961299589382</v>
      </c>
      <c r="YM344" s="1047">
        <v>12951.11550011932</v>
      </c>
      <c r="YN344" s="1047">
        <v>1128.1743253285736</v>
      </c>
      <c r="YO344" s="1047">
        <v>-26.649472136189985</v>
      </c>
      <c r="YP344" s="1047">
        <v>-30.54560441140962</v>
      </c>
      <c r="YQ344" s="1047">
        <v>-22.076155913530144</v>
      </c>
      <c r="YR344" s="1047">
        <v>-23.760019395838746</v>
      </c>
      <c r="YS344" s="1047">
        <v>-29.265779281528157</v>
      </c>
      <c r="YT344" s="1047">
        <v>-33.358784962261382</v>
      </c>
      <c r="YU344" s="1047">
        <v>-42.323068526967425</v>
      </c>
      <c r="YV344" s="1047">
        <v>-45.139874339665418</v>
      </c>
      <c r="YW344" s="1047">
        <v>36.252136290853947</v>
      </c>
      <c r="YX344" s="1047">
        <v>37.900926721722605</v>
      </c>
      <c r="YY344" s="1047">
        <v>35.734378111902025</v>
      </c>
      <c r="YZ344" s="1047">
        <v>38.65120996588518</v>
      </c>
      <c r="ZA344" s="1047">
        <v>39.055940658251828</v>
      </c>
      <c r="ZB344" s="1047">
        <v>39.603504204789623</v>
      </c>
      <c r="ZC344" s="1047">
        <v>40.016429276823729</v>
      </c>
      <c r="ZD344" s="1047">
        <v>39.770938671572928</v>
      </c>
      <c r="ZE344" s="1047">
        <v>132.63275297135064</v>
      </c>
      <c r="ZF344" s="1047">
        <v>136.44725613453386</v>
      </c>
      <c r="ZG344" s="1047">
        <v>125.97842565836724</v>
      </c>
      <c r="ZH344" s="1047">
        <v>139.58430597463189</v>
      </c>
      <c r="ZI344" s="1047">
        <v>142.58463245742269</v>
      </c>
      <c r="ZJ344" s="1047">
        <v>133.04903533096595</v>
      </c>
      <c r="ZK344" s="1047">
        <v>154.20785961204405</v>
      </c>
      <c r="ZL344" s="1047">
        <v>146.33408904168343</v>
      </c>
      <c r="ZM344" s="1047">
        <v>81.874772645211436</v>
      </c>
      <c r="ZN344" s="1047">
        <v>108.45269310161974</v>
      </c>
      <c r="ZO344" s="1047">
        <v>110.9959470482203</v>
      </c>
      <c r="ZP344" s="1047">
        <v>86.952438945295157</v>
      </c>
      <c r="ZQ344" s="1047">
        <v>91.21806204951622</v>
      </c>
      <c r="ZR344" s="1047">
        <v>106.58110100435371</v>
      </c>
      <c r="ZS344" s="1047">
        <v>108.48517234455677</v>
      </c>
      <c r="ZT344" s="1047">
        <v>89.031049018651231</v>
      </c>
      <c r="ZU344" s="1047">
        <v>9251.5775964929653</v>
      </c>
      <c r="ZV344" s="1047">
        <v>2918.303123603825</v>
      </c>
      <c r="ZW344" s="1047">
        <v>61.887088032616468</v>
      </c>
      <c r="ZX344" s="1047">
        <v>235.95758116436477</v>
      </c>
      <c r="ZY344" s="1047">
        <v>122.46246346948222</v>
      </c>
      <c r="ZZ344" s="1047">
        <v>921.80358075248989</v>
      </c>
      <c r="AAA344" s="1047">
        <v>218.50909617368998</v>
      </c>
      <c r="AAB344" s="1047">
        <v>1897.1765947864205</v>
      </c>
      <c r="AAC344" s="1047">
        <v>1468.0230146828756</v>
      </c>
      <c r="AAD344" s="1047">
        <v>1277.9472619735434</v>
      </c>
      <c r="AAE344" s="1047">
        <v>107.86536486231338</v>
      </c>
      <c r="AAF344" s="1047">
        <v>2610.7939893166026</v>
      </c>
      <c r="AAG344" s="1047">
        <v>115.15072832451393</v>
      </c>
      <c r="AAH344" s="1047">
        <v>1222.0051228129964</v>
      </c>
      <c r="AAI344" s="1047">
        <v>2349.8400639612892</v>
      </c>
      <c r="AAJ344" s="1047">
        <v>549.71781376849287</v>
      </c>
      <c r="AAK344" s="1063"/>
    </row>
    <row r="345" spans="2:713" hidden="1">
      <c r="B345" s="1023" t="s">
        <v>1866</v>
      </c>
      <c r="C345" s="723"/>
      <c r="D345" s="999"/>
      <c r="E345" s="1068" t="s">
        <v>1849</v>
      </c>
      <c r="F345" s="534"/>
      <c r="G345" s="534" t="s">
        <v>68</v>
      </c>
      <c r="H345" s="534"/>
      <c r="I345" s="1047">
        <v>1.0763750514617727</v>
      </c>
      <c r="J345" s="1047">
        <v>1.0763750514617727</v>
      </c>
      <c r="K345" s="1047">
        <v>1.0763750514617727</v>
      </c>
      <c r="L345" s="1047">
        <v>1.0763750514617727</v>
      </c>
      <c r="M345" s="1047">
        <v>1.0763750514617727</v>
      </c>
      <c r="N345" s="1047">
        <v>1.0763750514617727</v>
      </c>
      <c r="O345" s="1047">
        <v>1.0763750514617727</v>
      </c>
      <c r="P345" s="1047">
        <v>1.0763750514617727</v>
      </c>
      <c r="Q345" s="1047">
        <v>1.0255999970666381</v>
      </c>
      <c r="R345" s="1047">
        <v>1.0255999970666381</v>
      </c>
      <c r="S345" s="1047">
        <v>1.0255999970666381</v>
      </c>
      <c r="T345" s="1047">
        <v>1.0255999970666381</v>
      </c>
      <c r="U345" s="1047">
        <v>1.0255999970666381</v>
      </c>
      <c r="V345" s="1047">
        <v>1.0255999970666381</v>
      </c>
      <c r="W345" s="1047">
        <v>1.0255999970666381</v>
      </c>
      <c r="X345" s="1047">
        <v>1.0255999970666381</v>
      </c>
      <c r="Y345" s="1047">
        <v>1.0444802278751637</v>
      </c>
      <c r="Z345" s="1047">
        <v>1.0444802278751637</v>
      </c>
      <c r="AA345" s="1047">
        <v>1.0444802278751637</v>
      </c>
      <c r="AB345" s="1047">
        <v>1.0444802278751637</v>
      </c>
      <c r="AC345" s="1047">
        <v>1.0444802278751637</v>
      </c>
      <c r="AD345" s="1047">
        <v>1.0444802278751637</v>
      </c>
      <c r="AE345" s="1047">
        <v>1.0444802278751637</v>
      </c>
      <c r="AF345" s="1047">
        <v>1.0444802278751637</v>
      </c>
      <c r="AG345" s="1047">
        <v>1.043245762453155</v>
      </c>
      <c r="AH345" s="1047">
        <v>1.043245762453155</v>
      </c>
      <c r="AI345" s="1047">
        <v>1.043245762453155</v>
      </c>
      <c r="AJ345" s="1047">
        <v>1.043245762453155</v>
      </c>
      <c r="AK345" s="1047">
        <v>1.043245762453155</v>
      </c>
      <c r="AL345" s="1047">
        <v>1.043245762453155</v>
      </c>
      <c r="AM345" s="1047">
        <v>1.043245762453155</v>
      </c>
      <c r="AN345" s="1047">
        <v>1.043245762453155</v>
      </c>
      <c r="AO345" s="1047">
        <v>1.0820475186830927</v>
      </c>
      <c r="AP345" s="1047">
        <v>1.0820475186830927</v>
      </c>
      <c r="AQ345" s="1047">
        <v>1.0820475186830927</v>
      </c>
      <c r="AR345" s="1047">
        <v>1.0820475186830927</v>
      </c>
      <c r="AS345" s="1047">
        <v>1.0820475186830927</v>
      </c>
      <c r="AT345" s="1047">
        <v>1.0820475186830927</v>
      </c>
      <c r="AU345" s="1047">
        <v>1.0820475186830927</v>
      </c>
      <c r="AV345" s="1047">
        <v>1.0820475186830927</v>
      </c>
      <c r="AW345" s="1047">
        <v>0.98966660758559089</v>
      </c>
      <c r="AX345" s="1047">
        <v>0.98966660758559089</v>
      </c>
      <c r="AY345" s="1047">
        <v>0.98966660758559089</v>
      </c>
      <c r="AZ345" s="1047">
        <v>0.98966660758559089</v>
      </c>
      <c r="BA345" s="1047">
        <v>0.98966660758559089</v>
      </c>
      <c r="BB345" s="1047">
        <v>0.98966660758559089</v>
      </c>
      <c r="BC345" s="1047">
        <v>0.98966660758559089</v>
      </c>
      <c r="BD345" s="1047">
        <v>0.98966660758559089</v>
      </c>
      <c r="BE345" s="1047">
        <v>1.2784958910899837</v>
      </c>
      <c r="BF345" s="1047">
        <v>1.2784958910899837</v>
      </c>
      <c r="BG345" s="1047">
        <v>1.2784958910899837</v>
      </c>
      <c r="BH345" s="1047">
        <v>1.2784958910899837</v>
      </c>
      <c r="BI345" s="1047">
        <v>1.2784958910899837</v>
      </c>
      <c r="BJ345" s="1047">
        <v>1.2784958910899837</v>
      </c>
      <c r="BK345" s="1047">
        <v>1.2784958910899837</v>
      </c>
      <c r="BL345" s="1047">
        <v>1.2784958910899837</v>
      </c>
      <c r="BM345" s="1047">
        <v>1.208628619488997</v>
      </c>
      <c r="BN345" s="1047">
        <v>1.208628619488997</v>
      </c>
      <c r="BO345" s="1047">
        <v>1.208628619488997</v>
      </c>
      <c r="BP345" s="1047">
        <v>1.208628619488997</v>
      </c>
      <c r="BQ345" s="1047">
        <v>1.208628619488997</v>
      </c>
      <c r="BR345" s="1047">
        <v>1.208628619488997</v>
      </c>
      <c r="BS345" s="1047">
        <v>1.208628619488997</v>
      </c>
      <c r="BT345" s="1047">
        <v>1.208628619488997</v>
      </c>
      <c r="BU345" s="1047">
        <v>1.0556063938736149</v>
      </c>
      <c r="BV345" s="1047">
        <v>1.0556063938736149</v>
      </c>
      <c r="BW345" s="1047">
        <v>1.0556063938736149</v>
      </c>
      <c r="BX345" s="1047">
        <v>1.0556063938736149</v>
      </c>
      <c r="BY345" s="1047">
        <v>1.0556063938736149</v>
      </c>
      <c r="BZ345" s="1047">
        <v>1.0556063938736149</v>
      </c>
      <c r="CA345" s="1047">
        <v>1.0556063938736149</v>
      </c>
      <c r="CB345" s="1047">
        <v>1.0556063938736149</v>
      </c>
      <c r="CC345" s="1047">
        <v>1.019529007506508</v>
      </c>
      <c r="CD345" s="1047">
        <v>1.019529007506508</v>
      </c>
      <c r="CE345" s="1047">
        <v>1.019529007506508</v>
      </c>
      <c r="CF345" s="1047">
        <v>1.019529007506508</v>
      </c>
      <c r="CG345" s="1047">
        <v>1.019529007506508</v>
      </c>
      <c r="CH345" s="1047">
        <v>1.019529007506508</v>
      </c>
      <c r="CI345" s="1047">
        <v>1.019529007506508</v>
      </c>
      <c r="CJ345" s="1047">
        <v>1.019529007506508</v>
      </c>
      <c r="CK345" s="1047">
        <v>1.1166902342459575</v>
      </c>
      <c r="CL345" s="1047">
        <v>1.1166902342459575</v>
      </c>
      <c r="CM345" s="1047">
        <v>1.1166902342459575</v>
      </c>
      <c r="CN345" s="1047">
        <v>1.1166902342459575</v>
      </c>
      <c r="CO345" s="1047">
        <v>1.1166902342459575</v>
      </c>
      <c r="CP345" s="1047">
        <v>1.1166902342459575</v>
      </c>
      <c r="CQ345" s="1047">
        <v>1.1166902342459575</v>
      </c>
      <c r="CR345" s="1047">
        <v>1.1166902342459575</v>
      </c>
      <c r="CS345" s="1047">
        <v>0.91033160610660124</v>
      </c>
      <c r="CT345" s="1047">
        <v>0.92829071528281537</v>
      </c>
      <c r="CU345" s="1047">
        <v>0.91983945911162568</v>
      </c>
      <c r="CV345" s="1047">
        <v>0.94390305513127859</v>
      </c>
      <c r="CW345" s="1047">
        <v>0.97117307116300366</v>
      </c>
      <c r="CX345" s="1047">
        <v>0.97256676237141593</v>
      </c>
      <c r="CY345" s="1047">
        <v>0.99168933969289941</v>
      </c>
      <c r="CZ345" s="1047">
        <v>1.0106968732110777</v>
      </c>
      <c r="DA345" s="1047">
        <v>-1.5538729720295954</v>
      </c>
      <c r="DB345" s="1047">
        <v>-0.91589146210389261</v>
      </c>
      <c r="DC345" s="1047">
        <v>-1.2627625792938211</v>
      </c>
      <c r="DD345" s="1047">
        <v>-0.23364625588557822</v>
      </c>
      <c r="DE345" s="1047">
        <v>0.3817826811476514</v>
      </c>
      <c r="DF345" s="1047">
        <v>0.1510866202625776</v>
      </c>
      <c r="DG345" s="1047">
        <v>0.61844643383568387</v>
      </c>
      <c r="DH345" s="1047">
        <v>0.86483078312708284</v>
      </c>
      <c r="DI345" s="1047">
        <v>0.90376733910254758</v>
      </c>
      <c r="DJ345" s="1047">
        <v>0.92681227047875125</v>
      </c>
      <c r="DK345" s="1047">
        <v>0.92353319352906393</v>
      </c>
      <c r="DL345" s="1047">
        <v>0.95364040666101024</v>
      </c>
      <c r="DM345" s="1047">
        <v>0.98607216844660461</v>
      </c>
      <c r="DN345" s="1047">
        <v>0.9952088480940362</v>
      </c>
      <c r="DO345" s="1047">
        <v>1.0153765143339668</v>
      </c>
      <c r="DP345" s="1047">
        <v>1.0342253925435798</v>
      </c>
      <c r="DQ345" s="1047">
        <v>1.0219360609737729</v>
      </c>
      <c r="DR345" s="1047">
        <v>1.0236543821010644</v>
      </c>
      <c r="DS345" s="1047">
        <v>1.0096075641419491</v>
      </c>
      <c r="DT345" s="1047">
        <v>1.0153045205188709</v>
      </c>
      <c r="DU345" s="1047">
        <v>1.0204925610755773</v>
      </c>
      <c r="DV345" s="1047">
        <v>1.0253496785751373</v>
      </c>
      <c r="DW345" s="1047">
        <v>1.0284167038016505</v>
      </c>
      <c r="DX345" s="1047">
        <v>1.0329842777525313</v>
      </c>
      <c r="DY345" s="1047">
        <v>1.0816993056270674</v>
      </c>
      <c r="DZ345" s="1047">
        <v>1.0829386338136513</v>
      </c>
      <c r="EA345" s="1047">
        <v>1.0776160295957333</v>
      </c>
      <c r="EB345" s="1047">
        <v>1.078620018791649</v>
      </c>
      <c r="EC345" s="1047">
        <v>1.081632862361191</v>
      </c>
      <c r="ED345" s="1047">
        <v>1.0935237219130116</v>
      </c>
      <c r="EE345" s="1047">
        <v>1.0915424459916936</v>
      </c>
      <c r="EF345" s="1047">
        <v>1.091001499197326</v>
      </c>
      <c r="EG345" s="1047">
        <v>0.99844356139477142</v>
      </c>
      <c r="EH345" s="1047">
        <v>1.00350289729252</v>
      </c>
      <c r="EI345" s="1047">
        <v>0.99046203566325441</v>
      </c>
      <c r="EJ345" s="1047">
        <v>1.000997417334097</v>
      </c>
      <c r="EK345" s="1047">
        <v>1.0081546383133535</v>
      </c>
      <c r="EL345" s="1047">
        <v>1.0315265400325753</v>
      </c>
      <c r="EM345" s="1047">
        <v>1.0297732273734488</v>
      </c>
      <c r="EN345" s="1047">
        <v>1.0273987921145766</v>
      </c>
      <c r="EO345" s="1047">
        <v>0.40482585083918643</v>
      </c>
      <c r="EP345" s="1047">
        <v>0.51059205300867561</v>
      </c>
      <c r="EQ345" s="1047">
        <v>0.4188983144500586</v>
      </c>
      <c r="ER345" s="1047">
        <v>0.60814144918470603</v>
      </c>
      <c r="ES345" s="1047">
        <v>0.76121980301537073</v>
      </c>
      <c r="ET345" s="1047">
        <v>0.71045522965349028</v>
      </c>
      <c r="EU345" s="1047">
        <v>0.85029349241601559</v>
      </c>
      <c r="EV345" s="1047">
        <v>0.95950890302435299</v>
      </c>
      <c r="EW345" s="1047">
        <v>1.1429054348975514</v>
      </c>
      <c r="EX345" s="1047">
        <v>1.14208659073744</v>
      </c>
      <c r="EY345" s="1047">
        <v>1.1311226783472583</v>
      </c>
      <c r="EZ345" s="1047">
        <v>1.1348699677876573</v>
      </c>
      <c r="FA345" s="1047">
        <v>1.1364259576975244</v>
      </c>
      <c r="FB345" s="1047">
        <v>1.1360869631047474</v>
      </c>
      <c r="FC345" s="1047">
        <v>1.1380012781323263</v>
      </c>
      <c r="FD345" s="1047">
        <v>1.1380117498328017</v>
      </c>
      <c r="FE345" s="1047">
        <v>1.063119621143485</v>
      </c>
      <c r="FF345" s="1047">
        <v>1.0729640333833794</v>
      </c>
      <c r="FG345" s="1047">
        <v>1.071229097961542</v>
      </c>
      <c r="FH345" s="1047">
        <v>1.0850732490806043</v>
      </c>
      <c r="FI345" s="1047">
        <v>1.0954810163021074</v>
      </c>
      <c r="FJ345" s="1047">
        <v>1.0878745984990981</v>
      </c>
      <c r="FK345" s="1047">
        <v>1.1064092623667459</v>
      </c>
      <c r="FL345" s="1047">
        <v>1.1256236316946231</v>
      </c>
      <c r="FM345" s="1047">
        <v>0.75247947415012373</v>
      </c>
      <c r="FN345" s="1047">
        <v>0.80984207416749421</v>
      </c>
      <c r="FO345" s="1047">
        <v>0.8559317375713118</v>
      </c>
      <c r="FP345" s="1047">
        <v>0.89146889669926954</v>
      </c>
      <c r="FQ345" s="1047">
        <v>0.9543063729432365</v>
      </c>
      <c r="FR345" s="1047">
        <v>1.0080535272002047</v>
      </c>
      <c r="FS345" s="1047">
        <v>1.0204944594645282</v>
      </c>
      <c r="FT345" s="1047">
        <v>1.0500610006688713</v>
      </c>
      <c r="FU345" s="1047">
        <v>1.1303404542936568</v>
      </c>
      <c r="FV345" s="1047">
        <v>1.1284963152891581</v>
      </c>
      <c r="FW345" s="1047">
        <v>1.1094014177058489</v>
      </c>
      <c r="FX345" s="1047">
        <v>1.1131142246298482</v>
      </c>
      <c r="FY345" s="1047">
        <v>1.1143847538136278</v>
      </c>
      <c r="FZ345" s="1047">
        <v>1.1183529011945026</v>
      </c>
      <c r="GA345" s="1047">
        <v>1.1186009271303328</v>
      </c>
      <c r="GB345" s="1047">
        <v>1.1180098779952634</v>
      </c>
      <c r="GC345" s="1047">
        <v>0.90619978705742776</v>
      </c>
      <c r="GD345" s="1047">
        <v>0.92392672661087771</v>
      </c>
      <c r="GE345" s="1047">
        <v>0.91574680071423986</v>
      </c>
      <c r="GF345" s="1047">
        <v>0.93966542354833682</v>
      </c>
      <c r="GG345" s="1047">
        <v>0.96701202129305419</v>
      </c>
      <c r="GH345" s="1047">
        <v>0.96825005431421995</v>
      </c>
      <c r="GI345" s="1047">
        <v>0.98739121545379838</v>
      </c>
      <c r="GJ345" s="1047">
        <v>1.006054789708033</v>
      </c>
      <c r="GK345" s="1047">
        <v>-1.5596220275646961</v>
      </c>
      <c r="GL345" s="1047">
        <v>-0.92169940779023629</v>
      </c>
      <c r="GM345" s="1047">
        <v>-1.2690221557760566</v>
      </c>
      <c r="GN345" s="1047">
        <v>-0.23900818769390167</v>
      </c>
      <c r="GO345" s="1047">
        <v>0.37706875732303918</v>
      </c>
      <c r="GP345" s="1047">
        <v>0.14610027768392306</v>
      </c>
      <c r="GQ345" s="1047">
        <v>0.61410142522842448</v>
      </c>
      <c r="GR345" s="1047">
        <v>0.86204041560647637</v>
      </c>
      <c r="GS345" s="1047">
        <v>0.90222485753372039</v>
      </c>
      <c r="GT345" s="1047">
        <v>0.92543480575413373</v>
      </c>
      <c r="GU345" s="1047">
        <v>0.92203469139268979</v>
      </c>
      <c r="GV345" s="1047">
        <v>0.95227538426793223</v>
      </c>
      <c r="GW345" s="1047">
        <v>0.98487204156605146</v>
      </c>
      <c r="GX345" s="1047">
        <v>0.99398202000568336</v>
      </c>
      <c r="GY345" s="1047">
        <v>1.0143781852588272</v>
      </c>
      <c r="GZ345" s="1047">
        <v>1.0334902612661065</v>
      </c>
      <c r="HA345" s="1047">
        <v>1.0212703566348904</v>
      </c>
      <c r="HB345" s="1047">
        <v>1.0228322168899571</v>
      </c>
      <c r="HC345" s="1047">
        <v>1.0090801914971554</v>
      </c>
      <c r="HD345" s="1047">
        <v>1.0143022256671002</v>
      </c>
      <c r="HE345" s="1047">
        <v>1.0195565921183043</v>
      </c>
      <c r="HF345" s="1047">
        <v>1.0243954639099717</v>
      </c>
      <c r="HG345" s="1047">
        <v>1.027560247031075</v>
      </c>
      <c r="HH345" s="1047">
        <v>1.0318287065905933</v>
      </c>
      <c r="HI345" s="1047">
        <v>1.0811663606115933</v>
      </c>
      <c r="HJ345" s="1047">
        <v>1.0825524230894783</v>
      </c>
      <c r="HK345" s="1047">
        <v>1.0771550975222006</v>
      </c>
      <c r="HL345" s="1047">
        <v>1.0782094999321661</v>
      </c>
      <c r="HM345" s="1047">
        <v>1.0813165725450153</v>
      </c>
      <c r="HN345" s="1047">
        <v>1.0932323586636792</v>
      </c>
      <c r="HO345" s="1047">
        <v>1.0910117443751337</v>
      </c>
      <c r="HP345" s="1047">
        <v>1.0902686646877409</v>
      </c>
      <c r="HQ345" s="1047">
        <v>0.99377304672204858</v>
      </c>
      <c r="HR345" s="1047">
        <v>0.99896416795512588</v>
      </c>
      <c r="HS345" s="1047">
        <v>0.98564434784851263</v>
      </c>
      <c r="HT345" s="1047">
        <v>0.99670848607692497</v>
      </c>
      <c r="HU345" s="1047">
        <v>1.0039906709258006</v>
      </c>
      <c r="HV345" s="1047">
        <v>1.0274449597677269</v>
      </c>
      <c r="HW345" s="1047">
        <v>1.0259599014261591</v>
      </c>
      <c r="HX345" s="1047">
        <v>1.0242298038804523</v>
      </c>
      <c r="HY345" s="1047">
        <v>0.33925968376969956</v>
      </c>
      <c r="HZ345" s="1047">
        <v>0.44625648145990354</v>
      </c>
      <c r="IA345" s="1047">
        <v>0.35699975496488651</v>
      </c>
      <c r="IB345" s="1047">
        <v>0.54688447541720997</v>
      </c>
      <c r="IC345" s="1047">
        <v>0.70513092392659094</v>
      </c>
      <c r="ID345" s="1047">
        <v>0.65222235292167141</v>
      </c>
      <c r="IE345" s="1047">
        <v>0.79472557603033578</v>
      </c>
      <c r="IF345" s="1047">
        <v>0.90602283935038685</v>
      </c>
      <c r="IG345" s="1047">
        <v>1.1446087825380467</v>
      </c>
      <c r="IH345" s="1047">
        <v>1.1438249372993008</v>
      </c>
      <c r="II345" s="1047">
        <v>1.1328667041962266</v>
      </c>
      <c r="IJ345" s="1047">
        <v>1.1365566227281776</v>
      </c>
      <c r="IK345" s="1047">
        <v>1.1375298262248354</v>
      </c>
      <c r="IL345" s="1047">
        <v>1.1375958954777527</v>
      </c>
      <c r="IM345" s="1047">
        <v>1.139474639001014</v>
      </c>
      <c r="IN345" s="1047">
        <v>1.1395005865671899</v>
      </c>
      <c r="IO345" s="1047">
        <v>1.0633461848698564</v>
      </c>
      <c r="IP345" s="1047">
        <v>1.0732096046065254</v>
      </c>
      <c r="IQ345" s="1047">
        <v>1.0714636188571856</v>
      </c>
      <c r="IR345" s="1047">
        <v>1.0853205615166399</v>
      </c>
      <c r="IS345" s="1047">
        <v>1.0958138743178736</v>
      </c>
      <c r="IT345" s="1047">
        <v>1.0881233727197983</v>
      </c>
      <c r="IU345" s="1047">
        <v>1.1067176353226602</v>
      </c>
      <c r="IV345" s="1047">
        <v>1.1259538493608618</v>
      </c>
      <c r="IW345" s="1047">
        <v>0.75038192671635551</v>
      </c>
      <c r="IX345" s="1047">
        <v>0.80787329184196099</v>
      </c>
      <c r="IY345" s="1047">
        <v>0.85412430187511901</v>
      </c>
      <c r="IZ345" s="1047">
        <v>0.88969011524521258</v>
      </c>
      <c r="JA345" s="1047">
        <v>0.95277133824372839</v>
      </c>
      <c r="JB345" s="1047">
        <v>1.0064848506626416</v>
      </c>
      <c r="JC345" s="1047">
        <v>1.0189466392799851</v>
      </c>
      <c r="JD345" s="1047">
        <v>1.0484619085265892</v>
      </c>
      <c r="JE345" s="1047">
        <v>1.1338797238732508</v>
      </c>
      <c r="JF345" s="1047">
        <v>1.132001831466529</v>
      </c>
      <c r="JG345" s="1047">
        <v>1.1127789034381139</v>
      </c>
      <c r="JH345" s="1047">
        <v>1.1164040959416257</v>
      </c>
      <c r="JI345" s="1047">
        <v>1.1172812030004646</v>
      </c>
      <c r="JJ345" s="1047">
        <v>1.12153650918257</v>
      </c>
      <c r="JK345" s="1047">
        <v>1.1215248720493427</v>
      </c>
      <c r="JL345" s="1047">
        <v>1.1210133826368573</v>
      </c>
      <c r="JM345" s="1047">
        <v>-1.3875171934673281E-3</v>
      </c>
      <c r="JN345" s="1047">
        <v>-5.5543893140893056E-3</v>
      </c>
      <c r="JO345" s="1047">
        <v>-1.2046473821663156E-3</v>
      </c>
      <c r="JP345" s="1047">
        <v>-1.1720426955621522E-3</v>
      </c>
      <c r="JQ345" s="1047">
        <v>-8.6140334183994888E-4</v>
      </c>
      <c r="JR345" s="1047">
        <v>-9.5740173324218816E-5</v>
      </c>
      <c r="JS345" s="1047">
        <v>-1.1148520455666283E-4</v>
      </c>
      <c r="JT345" s="1047">
        <v>-9.0261748671938174E-5</v>
      </c>
      <c r="JU345" s="1047">
        <v>-0.59431768702828192</v>
      </c>
      <c r="JV345" s="1047">
        <v>1.9963922644712013</v>
      </c>
      <c r="JW345" s="1047">
        <v>1.9931151332071997</v>
      </c>
      <c r="JX345" s="1047">
        <v>1.9968457987296058</v>
      </c>
      <c r="JY345" s="1047">
        <v>1.9999996767984987</v>
      </c>
      <c r="JZ345" s="1047">
        <v>1.9999997121596096</v>
      </c>
      <c r="KA345" s="1047">
        <v>1.9999998322078587</v>
      </c>
      <c r="KB345" s="1047">
        <v>1.9976225187886665</v>
      </c>
      <c r="KC345" s="1047">
        <v>-0.26905372686047435</v>
      </c>
      <c r="KD345" s="1047">
        <v>1.1058781804311004</v>
      </c>
      <c r="KE345" s="1047">
        <v>1.0097238198263518</v>
      </c>
      <c r="KF345" s="1047">
        <v>0.23137552702317699</v>
      </c>
      <c r="KG345" s="1047">
        <v>1.6290140968588544E-2</v>
      </c>
      <c r="KH345" s="1047">
        <v>-7.6762996396050429E-2</v>
      </c>
      <c r="KI345" s="1047">
        <v>2.1749158834845891E-2</v>
      </c>
      <c r="KJ345" s="1047">
        <v>2.9365355104500997E-2</v>
      </c>
      <c r="KK345" s="1047">
        <v>0.16538304098894446</v>
      </c>
      <c r="KL345" s="1047">
        <v>-9.4553244880483667E-2</v>
      </c>
      <c r="KM345" s="1047">
        <v>0.11028127393537038</v>
      </c>
      <c r="KN345" s="1047">
        <v>-8.5110497556062259E-2</v>
      </c>
      <c r="KO345" s="1047">
        <v>-9.169906947576513E-2</v>
      </c>
      <c r="KP345" s="1047">
        <v>-4.116142043458617E-2</v>
      </c>
      <c r="KQ345" s="1047">
        <v>7.9686180878283126E-3</v>
      </c>
      <c r="KR345" s="1047">
        <v>-0.1180450131831941</v>
      </c>
      <c r="KS345" s="1047">
        <v>-3.2820365765803762E-4</v>
      </c>
      <c r="KT345" s="1047">
        <v>-1.8525334051101963E-4</v>
      </c>
      <c r="KU345" s="1047">
        <v>-1.7605059517098348E-4</v>
      </c>
      <c r="KV345" s="1047">
        <v>-2.91160137684969E-4</v>
      </c>
      <c r="KW345" s="1047">
        <v>1.9999996406625342</v>
      </c>
      <c r="KX345" s="1047">
        <v>1.9999995605061249</v>
      </c>
      <c r="KY345" s="1047">
        <v>1.9999996524667676</v>
      </c>
      <c r="KZ345" s="1047">
        <v>1.9999995276252056</v>
      </c>
      <c r="LA345" s="1047">
        <v>1.856499883148016</v>
      </c>
      <c r="LB345" s="1047">
        <v>1.7912641821509625</v>
      </c>
      <c r="LC345" s="1047">
        <v>1.6289812657939489</v>
      </c>
      <c r="LD345" s="1047">
        <v>1.4324935895922588</v>
      </c>
      <c r="LE345" s="1047">
        <v>1.6129070185224088</v>
      </c>
      <c r="LF345" s="1047">
        <v>1.5722150777752131</v>
      </c>
      <c r="LG345" s="1047">
        <v>1.8881948250306968</v>
      </c>
      <c r="LH345" s="1047">
        <v>1.8597739241820903</v>
      </c>
      <c r="LI345" s="1047">
        <v>0.77433413740531987</v>
      </c>
      <c r="LJ345" s="1047">
        <v>1.0451846295700424</v>
      </c>
      <c r="LK345" s="1047">
        <v>-0.1960881659309808</v>
      </c>
      <c r="LL345" s="1047">
        <v>1.3979980707498671</v>
      </c>
      <c r="LM345" s="1047">
        <v>1.2845993074722859</v>
      </c>
      <c r="LN345" s="1047">
        <v>1.4723771720775558</v>
      </c>
      <c r="LO345" s="1047">
        <v>-3.4362925514001171E-2</v>
      </c>
      <c r="LP345" s="1047">
        <v>-6.7895497721007309E-2</v>
      </c>
      <c r="LQ345" s="1047">
        <v>-0.4449747082889971</v>
      </c>
      <c r="LR345" s="1047">
        <v>-0.44547342620880176</v>
      </c>
      <c r="LS345" s="1047">
        <v>-0.41864469962937939</v>
      </c>
      <c r="LT345" s="1047">
        <v>-0.44569866862811253</v>
      </c>
      <c r="LU345" s="1047">
        <v>-0.46286290216347609</v>
      </c>
      <c r="LV345" s="1047">
        <v>5.4103819658414597E-4</v>
      </c>
      <c r="LW345" s="1047">
        <v>4.2330551639864418E-4</v>
      </c>
      <c r="LX345" s="1047">
        <v>5.9034893951162386E-4</v>
      </c>
      <c r="LY345" s="1047">
        <v>-1.1409190037586067E-3</v>
      </c>
      <c r="LZ345" s="1047">
        <v>0.88752896776880363</v>
      </c>
      <c r="MA345" s="1047">
        <v>0.90972396586073589</v>
      </c>
      <c r="MB345" s="1047">
        <v>-1.2510313297630811E-3</v>
      </c>
      <c r="MC345" s="1047">
        <v>0.99735016167975221</v>
      </c>
      <c r="MD345" s="1047">
        <v>1.0850378647595662</v>
      </c>
      <c r="ME345" s="1047">
        <v>1.0900747743645167</v>
      </c>
      <c r="MF345" s="1047">
        <v>1.159750020842987</v>
      </c>
      <c r="MG345" s="1047">
        <v>1.9821433033779574</v>
      </c>
      <c r="MH345" s="1047">
        <v>1.9851463680395209</v>
      </c>
      <c r="MI345" s="1047">
        <v>1.9736776979716912</v>
      </c>
      <c r="MJ345" s="1047">
        <v>1.999998514438956</v>
      </c>
      <c r="MK345" s="1047">
        <v>-0.57322146872539403</v>
      </c>
      <c r="ML345" s="1047">
        <v>-0.53920297913700699</v>
      </c>
      <c r="MM345" s="1047">
        <v>1.9940444878216781</v>
      </c>
      <c r="MN345" s="1047">
        <v>1.9898521564914593</v>
      </c>
      <c r="MO345" s="1047">
        <v>-0.13381783265037658</v>
      </c>
      <c r="MP345" s="1047">
        <v>-1.7514829103371907E-2</v>
      </c>
      <c r="MQ345" s="1047">
        <v>-2.0274864558119915E-2</v>
      </c>
      <c r="MR345" s="1047">
        <v>-0.18691169500748098</v>
      </c>
      <c r="MS345" s="1047">
        <v>-0.1887122079534819</v>
      </c>
      <c r="MT345" s="1047">
        <v>-1.9874505777109698E-3</v>
      </c>
      <c r="MU345" s="1047">
        <v>-0.16096849806841604</v>
      </c>
      <c r="MV345" s="1047">
        <v>-0.23758734880664145</v>
      </c>
      <c r="MW345" s="1047">
        <v>1.2038384063426155</v>
      </c>
      <c r="MX345" s="1047">
        <v>1.2038384063426155</v>
      </c>
      <c r="MY345" s="1047">
        <v>1.2038384063426155</v>
      </c>
      <c r="MZ345" s="1047">
        <v>1.2038384063426155</v>
      </c>
      <c r="NA345" s="1047">
        <v>1.2038384063426155</v>
      </c>
      <c r="NB345" s="1047">
        <v>1.2038384063426155</v>
      </c>
      <c r="NC345" s="1047">
        <v>1.2038384063426155</v>
      </c>
      <c r="ND345" s="1047">
        <v>1.2038384063426155</v>
      </c>
      <c r="NE345" s="1047">
        <v>1.0332571377963873</v>
      </c>
      <c r="NF345" s="1047">
        <v>1.0332571377963873</v>
      </c>
      <c r="NG345" s="1047">
        <v>1.0332571377963873</v>
      </c>
      <c r="NH345" s="1047">
        <v>1.0332571377963873</v>
      </c>
      <c r="NI345" s="1047">
        <v>1.0332571377963873</v>
      </c>
      <c r="NJ345" s="1047">
        <v>1.0332571377963873</v>
      </c>
      <c r="NK345" s="1047">
        <v>1.0332571377963873</v>
      </c>
      <c r="NL345" s="1047">
        <v>1.0332571377963873</v>
      </c>
      <c r="NM345" s="1047">
        <v>1.0680424186704973</v>
      </c>
      <c r="NN345" s="1047">
        <v>1.0680424186704973</v>
      </c>
      <c r="NO345" s="1047">
        <v>1.0680424186704973</v>
      </c>
      <c r="NP345" s="1047">
        <v>1.0680424186704973</v>
      </c>
      <c r="NQ345" s="1047">
        <v>1.0680424186704973</v>
      </c>
      <c r="NR345" s="1047">
        <v>1.0680424186704973</v>
      </c>
      <c r="NS345" s="1047">
        <v>1.0680424186704973</v>
      </c>
      <c r="NT345" s="1047">
        <v>1.0680424186704973</v>
      </c>
      <c r="NU345" s="1047">
        <v>1.1700045463686171</v>
      </c>
      <c r="NV345" s="1047">
        <v>1.1700045463686171</v>
      </c>
      <c r="NW345" s="1047">
        <v>1.1700045463686171</v>
      </c>
      <c r="NX345" s="1047">
        <v>1.1700045463686171</v>
      </c>
      <c r="NY345" s="1047">
        <v>1.1700045463686171</v>
      </c>
      <c r="NZ345" s="1047">
        <v>1.1700045463686171</v>
      </c>
      <c r="OA345" s="1047">
        <v>1.1700045463686171</v>
      </c>
      <c r="OB345" s="1047">
        <v>1.1700045463686171</v>
      </c>
      <c r="OC345" s="1047">
        <v>1.1311535903928378</v>
      </c>
      <c r="OD345" s="1047">
        <v>1.1311535903928378</v>
      </c>
      <c r="OE345" s="1047">
        <v>1.1311535903928378</v>
      </c>
      <c r="OF345" s="1047">
        <v>1.1311535903928378</v>
      </c>
      <c r="OG345" s="1047">
        <v>1.1311535903928378</v>
      </c>
      <c r="OH345" s="1047">
        <v>1.1311535903928378</v>
      </c>
      <c r="OI345" s="1047">
        <v>1.1311535903928378</v>
      </c>
      <c r="OJ345" s="1047">
        <v>1.1311535903928378</v>
      </c>
      <c r="OK345" s="1047">
        <v>0.99843517774009516</v>
      </c>
      <c r="OL345" s="1047">
        <v>0.99843517774009516</v>
      </c>
      <c r="OM345" s="1047">
        <v>0.99843517774009516</v>
      </c>
      <c r="ON345" s="1047">
        <v>0.99843517774009516</v>
      </c>
      <c r="OO345" s="1047">
        <v>0.99843517774009516</v>
      </c>
      <c r="OP345" s="1047">
        <v>0.99843517774009516</v>
      </c>
      <c r="OQ345" s="1047">
        <v>0.99843517774009516</v>
      </c>
      <c r="OR345" s="1047">
        <v>0.99843517774009516</v>
      </c>
      <c r="OS345" s="1047">
        <v>1.4666986734985625</v>
      </c>
      <c r="OT345" s="1047">
        <v>1.4666986734985625</v>
      </c>
      <c r="OU345" s="1047">
        <v>1.4666986734985625</v>
      </c>
      <c r="OV345" s="1047">
        <v>1.4666986734985625</v>
      </c>
      <c r="OW345" s="1047">
        <v>1.4666986734985625</v>
      </c>
      <c r="OX345" s="1047">
        <v>1.4666986734985625</v>
      </c>
      <c r="OY345" s="1047">
        <v>1.4666986734985625</v>
      </c>
      <c r="OZ345" s="1047">
        <v>1.4666986734985625</v>
      </c>
      <c r="PA345" s="1047">
        <v>1.3182760585928044</v>
      </c>
      <c r="PB345" s="1047">
        <v>1.3182760585928044</v>
      </c>
      <c r="PC345" s="1047">
        <v>1.3182760585928044</v>
      </c>
      <c r="PD345" s="1047">
        <v>1.3182760585928044</v>
      </c>
      <c r="PE345" s="1047">
        <v>1.3182760585928044</v>
      </c>
      <c r="PF345" s="1047">
        <v>1.3182760585928044</v>
      </c>
      <c r="PG345" s="1047">
        <v>1.3182760585928044</v>
      </c>
      <c r="PH345" s="1047">
        <v>1.3182760585928044</v>
      </c>
      <c r="PI345" s="1047">
        <v>1.0490958545362357</v>
      </c>
      <c r="PJ345" s="1047">
        <v>1.0490958545362357</v>
      </c>
      <c r="PK345" s="1047">
        <v>1.0490958545362357</v>
      </c>
      <c r="PL345" s="1047">
        <v>1.0490958545362357</v>
      </c>
      <c r="PM345" s="1047">
        <v>1.0490958545362357</v>
      </c>
      <c r="PN345" s="1047">
        <v>1.0490958545362357</v>
      </c>
      <c r="PO345" s="1047">
        <v>1.0490958545362357</v>
      </c>
      <c r="PP345" s="1047">
        <v>1.0490958545362357</v>
      </c>
      <c r="PQ345" s="1047">
        <v>1.0325170218088466</v>
      </c>
      <c r="PR345" s="1047">
        <v>1.0325170218088466</v>
      </c>
      <c r="PS345" s="1047">
        <v>1.0325170218088466</v>
      </c>
      <c r="PT345" s="1047">
        <v>1.0325170218088466</v>
      </c>
      <c r="PU345" s="1047">
        <v>1.0325170218088466</v>
      </c>
      <c r="PV345" s="1047">
        <v>1.0325170218088466</v>
      </c>
      <c r="PW345" s="1047">
        <v>1.0325170218088466</v>
      </c>
      <c r="PX345" s="1047">
        <v>1.0325170218088466</v>
      </c>
      <c r="PY345" s="1047">
        <v>1.1857372133058199</v>
      </c>
      <c r="PZ345" s="1047">
        <v>1.1857372133058199</v>
      </c>
      <c r="QA345" s="1047">
        <v>1.1857372133058199</v>
      </c>
      <c r="QB345" s="1047">
        <v>1.1857372133058199</v>
      </c>
      <c r="QC345" s="1047">
        <v>1.1857372133058199</v>
      </c>
      <c r="QD345" s="1047">
        <v>1.1857372133058199</v>
      </c>
      <c r="QE345" s="1047">
        <v>1.1857372133058199</v>
      </c>
      <c r="QF345" s="1047">
        <v>1.1857372133058199</v>
      </c>
      <c r="QG345" s="1047">
        <v>1.0074933793747836</v>
      </c>
      <c r="QH345" s="1047">
        <v>1.0243584895857749</v>
      </c>
      <c r="QI345" s="1047">
        <v>1.0174974304878763</v>
      </c>
      <c r="QJ345" s="1047">
        <v>1.0391451165440349</v>
      </c>
      <c r="QK345" s="1047">
        <v>1.0655580258793458</v>
      </c>
      <c r="QL345" s="1047">
        <v>1.067450619086588</v>
      </c>
      <c r="QM345" s="1047">
        <v>1.085288420992933</v>
      </c>
      <c r="QN345" s="1047">
        <v>1.1027558499959529</v>
      </c>
      <c r="QO345" s="1047">
        <v>-1.4341165378913425</v>
      </c>
      <c r="QP345" s="1047">
        <v>-0.822228810996112</v>
      </c>
      <c r="QQ345" s="1047">
        <v>-1.1509754686563305</v>
      </c>
      <c r="QR345" s="1047">
        <v>-0.18102077971753339</v>
      </c>
      <c r="QS345" s="1047">
        <v>0.40068085121880859</v>
      </c>
      <c r="QT345" s="1047">
        <v>0.18541415014943924</v>
      </c>
      <c r="QU345" s="1047">
        <v>0.62781917711494495</v>
      </c>
      <c r="QV345" s="1047">
        <v>0.86840451681079556</v>
      </c>
      <c r="QW345" s="1047">
        <v>0.91494028380500314</v>
      </c>
      <c r="QX345" s="1047">
        <v>0.93731461513117531</v>
      </c>
      <c r="QY345" s="1047">
        <v>0.93507405680336153</v>
      </c>
      <c r="QZ345" s="1047">
        <v>0.96408883863216888</v>
      </c>
      <c r="RA345" s="1047">
        <v>0.99593746502060831</v>
      </c>
      <c r="RB345" s="1047">
        <v>1.0053519216280504</v>
      </c>
      <c r="RC345" s="1047">
        <v>1.0248514408635518</v>
      </c>
      <c r="RD345" s="1047">
        <v>1.0437427637088401</v>
      </c>
      <c r="RE345" s="1047">
        <v>1.1293782947062341</v>
      </c>
      <c r="RF345" s="1047">
        <v>1.1301173928437398</v>
      </c>
      <c r="RG345" s="1047">
        <v>1.1186533852278739</v>
      </c>
      <c r="RH345" s="1047">
        <v>1.1204546081021105</v>
      </c>
      <c r="RI345" s="1047">
        <v>1.1243967534265091</v>
      </c>
      <c r="RJ345" s="1047">
        <v>1.1301062901310075</v>
      </c>
      <c r="RK345" s="1047">
        <v>1.1315137573138874</v>
      </c>
      <c r="RL345" s="1047">
        <v>1.1349151036203209</v>
      </c>
      <c r="RM345" s="1047">
        <v>1.1274218273168108</v>
      </c>
      <c r="RN345" s="1047">
        <v>1.1278201166366169</v>
      </c>
      <c r="RO345" s="1047">
        <v>1.1229134897811275</v>
      </c>
      <c r="RP345" s="1047">
        <v>1.1228473743432479</v>
      </c>
      <c r="RQ345" s="1047">
        <v>1.1237943620963176</v>
      </c>
      <c r="RR345" s="1047">
        <v>1.1359581576444122</v>
      </c>
      <c r="RS345" s="1047">
        <v>1.1330112998730113</v>
      </c>
      <c r="RT345" s="1047">
        <v>1.1312988324594693</v>
      </c>
      <c r="RU345" s="1047">
        <v>1.0000794411468183</v>
      </c>
      <c r="RV345" s="1047">
        <v>1.0047296641485051</v>
      </c>
      <c r="RW345" s="1047">
        <v>0.99219614150858704</v>
      </c>
      <c r="RX345" s="1047">
        <v>1.0029535792320994</v>
      </c>
      <c r="RY345" s="1047">
        <v>1.0097285169181638</v>
      </c>
      <c r="RZ345" s="1047">
        <v>1.0328716290038784</v>
      </c>
      <c r="SA345" s="1047">
        <v>1.0320236983384476</v>
      </c>
      <c r="SB345" s="1047">
        <v>1.0286324570717105</v>
      </c>
      <c r="SC345" s="1047">
        <v>0.51750885444803985</v>
      </c>
      <c r="SD345" s="1047">
        <v>0.62154306388347713</v>
      </c>
      <c r="SE345" s="1047">
        <v>0.53131219306576205</v>
      </c>
      <c r="SF345" s="1047">
        <v>0.71599176266266962</v>
      </c>
      <c r="SG345" s="1047">
        <v>0.86621695393341869</v>
      </c>
      <c r="SH345" s="1047">
        <v>0.81791155034524288</v>
      </c>
      <c r="SI345" s="1047">
        <v>0.95360903491048954</v>
      </c>
      <c r="SJ345" s="1047">
        <v>1.0598782961558748</v>
      </c>
      <c r="SK345" s="1047">
        <v>1.2346078684894015</v>
      </c>
      <c r="SL345" s="1047">
        <v>1.2339296595317881</v>
      </c>
      <c r="SM345" s="1047">
        <v>1.2231494538148138</v>
      </c>
      <c r="SN345" s="1047">
        <v>1.2266257098775424</v>
      </c>
      <c r="SO345" s="1047">
        <v>1.2276782743272865</v>
      </c>
      <c r="SP345" s="1047">
        <v>1.2271286218148443</v>
      </c>
      <c r="SQ345" s="1047">
        <v>1.2295289772063078</v>
      </c>
      <c r="SR345" s="1047">
        <v>1.2291989903749572</v>
      </c>
      <c r="SS345" s="1047">
        <v>1.0652305905593991</v>
      </c>
      <c r="ST345" s="1047">
        <v>1.0742027623930426</v>
      </c>
      <c r="SU345" s="1047">
        <v>1.0721871217112127</v>
      </c>
      <c r="SV345" s="1047">
        <v>1.0840058514501794</v>
      </c>
      <c r="SW345" s="1047">
        <v>1.0928749660189758</v>
      </c>
      <c r="SX345" s="1047">
        <v>1.0871714455260539</v>
      </c>
      <c r="SY345" s="1047">
        <v>1.1029709713911162</v>
      </c>
      <c r="SZ345" s="1047">
        <v>1.1202058137428823</v>
      </c>
      <c r="TA345" s="1047">
        <v>0.77432033694831259</v>
      </c>
      <c r="TB345" s="1047">
        <v>0.82943238182799706</v>
      </c>
      <c r="TC345" s="1047">
        <v>0.87360914198463313</v>
      </c>
      <c r="TD345" s="1047">
        <v>0.90789630663921495</v>
      </c>
      <c r="TE345" s="1047">
        <v>0.96888728016786652</v>
      </c>
      <c r="TF345" s="1047">
        <v>1.0204781557828833</v>
      </c>
      <c r="TG345" s="1047">
        <v>1.0328775958970358</v>
      </c>
      <c r="TH345" s="1047">
        <v>1.0618702232868709</v>
      </c>
      <c r="TI345" s="1047">
        <v>1.2011313090598676</v>
      </c>
      <c r="TJ345" s="1047">
        <v>1.1977390654868123</v>
      </c>
      <c r="TK345" s="1047">
        <v>1.1789807078744625</v>
      </c>
      <c r="TL345" s="1047">
        <v>1.1808376249634256</v>
      </c>
      <c r="TM345" s="1047">
        <v>1.1801102646436736</v>
      </c>
      <c r="TN345" s="1047">
        <v>1.1842283403303528</v>
      </c>
      <c r="TO345" s="1047">
        <v>1.1834404595110608</v>
      </c>
      <c r="TP345" s="1047">
        <v>1.1809518026764905</v>
      </c>
      <c r="TQ345" s="1047">
        <v>1.0026486968386175</v>
      </c>
      <c r="TR345" s="1047">
        <v>1.0196836737538764</v>
      </c>
      <c r="TS345" s="1047">
        <v>1.0128634433893482</v>
      </c>
      <c r="TT345" s="1047">
        <v>1.034526871393177</v>
      </c>
      <c r="TU345" s="1047">
        <v>1.0607808325445502</v>
      </c>
      <c r="TV345" s="1047">
        <v>1.062725652914329</v>
      </c>
      <c r="TW345" s="1047">
        <v>1.0805244230434157</v>
      </c>
      <c r="TX345" s="1047">
        <v>1.0979277005780446</v>
      </c>
      <c r="TY345" s="1047">
        <v>-1.4397853550916941</v>
      </c>
      <c r="TZ345" s="1047">
        <v>-0.82704061984932997</v>
      </c>
      <c r="UA345" s="1047">
        <v>-1.1574326487116178</v>
      </c>
      <c r="UB345" s="1047">
        <v>-0.18460929684263613</v>
      </c>
      <c r="UC345" s="1047">
        <v>0.39706713175816827</v>
      </c>
      <c r="UD345" s="1047">
        <v>0.18165479587643629</v>
      </c>
      <c r="UE345" s="1047">
        <v>0.62429960372858107</v>
      </c>
      <c r="UF345" s="1047">
        <v>0.86595600434525444</v>
      </c>
      <c r="UG345" s="1047">
        <v>0.91298106085649344</v>
      </c>
      <c r="UH345" s="1047">
        <v>0.93569719667626672</v>
      </c>
      <c r="UI345" s="1047">
        <v>0.9332524148035386</v>
      </c>
      <c r="UJ345" s="1047">
        <v>0.96256560600879082</v>
      </c>
      <c r="UK345" s="1047">
        <v>0.99458889345763557</v>
      </c>
      <c r="UL345" s="1047">
        <v>1.0040846523277374</v>
      </c>
      <c r="UM345" s="1047">
        <v>1.0234328506591792</v>
      </c>
      <c r="UN345" s="1047">
        <v>1.0425511963132983</v>
      </c>
      <c r="UO345" s="1047">
        <v>1.128791736526072</v>
      </c>
      <c r="UP345" s="1047">
        <v>1.1295239732394591</v>
      </c>
      <c r="UQ345" s="1047">
        <v>1.1180750343688595</v>
      </c>
      <c r="UR345" s="1047">
        <v>1.1197684799822551</v>
      </c>
      <c r="US345" s="1047">
        <v>1.1236250364531399</v>
      </c>
      <c r="UT345" s="1047">
        <v>1.1293479514146094</v>
      </c>
      <c r="UU345" s="1047">
        <v>1.130758983618068</v>
      </c>
      <c r="UV345" s="1047">
        <v>1.1338948986970936</v>
      </c>
      <c r="UW345" s="1047">
        <v>1.1276451166338448</v>
      </c>
      <c r="UX345" s="1047">
        <v>1.1280253035609658</v>
      </c>
      <c r="UY345" s="1047">
        <v>1.1230412961135947</v>
      </c>
      <c r="UZ345" s="1047">
        <v>1.1231002661964609</v>
      </c>
      <c r="VA345" s="1047">
        <v>1.124195964899384</v>
      </c>
      <c r="VB345" s="1047">
        <v>1.1362188919035336</v>
      </c>
      <c r="VC345" s="1047">
        <v>1.1334526952838253</v>
      </c>
      <c r="VD345" s="1047">
        <v>1.1319026686898397</v>
      </c>
      <c r="VE345" s="1047">
        <v>0.99474481317384755</v>
      </c>
      <c r="VF345" s="1047">
        <v>0.99962442522900918</v>
      </c>
      <c r="VG345" s="1047">
        <v>0.98688805330120755</v>
      </c>
      <c r="VH345" s="1047">
        <v>0.99812432860377531</v>
      </c>
      <c r="VI345" s="1047">
        <v>1.0052808245383247</v>
      </c>
      <c r="VJ345" s="1047">
        <v>1.0282491078350886</v>
      </c>
      <c r="VK345" s="1047">
        <v>1.0277037873825559</v>
      </c>
      <c r="VL345" s="1047">
        <v>1.0246015338689822</v>
      </c>
      <c r="VM345" s="1047">
        <v>0.45883106170183396</v>
      </c>
      <c r="VN345" s="1047">
        <v>0.56206790613819257</v>
      </c>
      <c r="VO345" s="1047">
        <v>0.4742682150739933</v>
      </c>
      <c r="VP345" s="1047">
        <v>0.65825195535617109</v>
      </c>
      <c r="VQ345" s="1047">
        <v>0.81227354724371836</v>
      </c>
      <c r="VR345" s="1047">
        <v>0.76206143261793835</v>
      </c>
      <c r="VS345" s="1047">
        <v>0.90091071782225463</v>
      </c>
      <c r="VT345" s="1047">
        <v>1.008522246327294</v>
      </c>
      <c r="VU345" s="1047">
        <v>1.237193262321026</v>
      </c>
      <c r="VV345" s="1047">
        <v>1.2363746160424172</v>
      </c>
      <c r="VW345" s="1047">
        <v>1.2255545768040812</v>
      </c>
      <c r="VX345" s="1047">
        <v>1.2291175416583093</v>
      </c>
      <c r="VY345" s="1047">
        <v>1.2299192713948861</v>
      </c>
      <c r="VZ345" s="1047">
        <v>1.229572031414421</v>
      </c>
      <c r="WA345" s="1047">
        <v>1.2317245321598409</v>
      </c>
      <c r="WB345" s="1047">
        <v>1.2312124214986717</v>
      </c>
      <c r="WC345" s="1047">
        <v>1.0654070035159831</v>
      </c>
      <c r="WD345" s="1047">
        <v>1.0744143510905317</v>
      </c>
      <c r="WE345" s="1047">
        <v>1.072367414172394</v>
      </c>
      <c r="WF345" s="1047">
        <v>1.0842516564847335</v>
      </c>
      <c r="WG345" s="1047">
        <v>1.0931764706002687</v>
      </c>
      <c r="WH345" s="1047">
        <v>1.0873798285757732</v>
      </c>
      <c r="WI345" s="1047">
        <v>1.1033090283019633</v>
      </c>
      <c r="WJ345" s="1047">
        <v>1.1205468263976874</v>
      </c>
      <c r="WK345" s="1047">
        <v>0.77200599311211227</v>
      </c>
      <c r="WL345" s="1047">
        <v>0.82726002606125137</v>
      </c>
      <c r="WM345" s="1047">
        <v>0.87161245524273723</v>
      </c>
      <c r="WN345" s="1047">
        <v>0.90597162284975374</v>
      </c>
      <c r="WO345" s="1047">
        <v>0.96701325222021406</v>
      </c>
      <c r="WP345" s="1047">
        <v>1.0187991773738767</v>
      </c>
      <c r="WQ345" s="1047">
        <v>1.0311033691099292</v>
      </c>
      <c r="WR345" s="1047">
        <v>1.0603280475211563</v>
      </c>
      <c r="WS345" s="1047">
        <v>1.2063889655243052</v>
      </c>
      <c r="WT345" s="1047">
        <v>1.2030834014513525</v>
      </c>
      <c r="WU345" s="1047">
        <v>1.1841145146613372</v>
      </c>
      <c r="WV345" s="1047">
        <v>1.1860185931759344</v>
      </c>
      <c r="WW345" s="1047">
        <v>1.1852469149030038</v>
      </c>
      <c r="WX345" s="1047">
        <v>1.1896324769921418</v>
      </c>
      <c r="WY345" s="1047">
        <v>1.188696736087298</v>
      </c>
      <c r="WZ345" s="1047">
        <v>1.1864887843773058</v>
      </c>
      <c r="XA345" s="1047">
        <v>-3.2909959830074295E-3</v>
      </c>
      <c r="XB345" s="1047">
        <v>-2.7695929032797682E-3</v>
      </c>
      <c r="XC345" s="1047">
        <v>-3.436960447621408E-2</v>
      </c>
      <c r="XD345" s="1047">
        <v>-6.4189097532662519E-3</v>
      </c>
      <c r="XE345" s="1047">
        <v>-5.5075106688886081E-4</v>
      </c>
      <c r="XF345" s="1047">
        <v>-1.1658263377253418E-3</v>
      </c>
      <c r="XG345" s="1047">
        <v>-1.0426107022926435E-3</v>
      </c>
      <c r="XH345" s="1047">
        <v>-5.7086920433245709E-3</v>
      </c>
      <c r="XI345" s="1047">
        <v>-0.59928852974079194</v>
      </c>
      <c r="XJ345" s="1047">
        <v>-0.59653407339869213</v>
      </c>
      <c r="XK345" s="1047">
        <v>1.9999997180982778</v>
      </c>
      <c r="XL345" s="1047">
        <v>-0.57300333962927852</v>
      </c>
      <c r="XM345" s="1047">
        <v>1.9999997973686618</v>
      </c>
      <c r="XN345" s="1047">
        <v>1.9977000122253439</v>
      </c>
      <c r="XO345" s="1047">
        <v>1.9999998461073945</v>
      </c>
      <c r="XP345" s="1047">
        <v>1.9981288701466129</v>
      </c>
      <c r="XQ345" s="1047">
        <v>5.5318702748805297E-4</v>
      </c>
      <c r="XR345" s="1047">
        <v>1.2598485636721526E-3</v>
      </c>
      <c r="XS345" s="1047">
        <v>1.4224132237081529E-3</v>
      </c>
      <c r="XT345" s="1047">
        <v>-0.11812198136885686</v>
      </c>
      <c r="XU345" s="1047">
        <v>-0.21080712010825278</v>
      </c>
      <c r="XV345" s="1047">
        <v>2.8189045980616125E-3</v>
      </c>
      <c r="XW345" s="1047">
        <v>7.6667263630608425E-4</v>
      </c>
      <c r="XX345" s="1047">
        <v>1.8793025553949291E-2</v>
      </c>
      <c r="XY345" s="1047">
        <v>-2.3128346299745996E-2</v>
      </c>
      <c r="XZ345" s="1047">
        <v>0.23944818340783205</v>
      </c>
      <c r="YA345" s="1047">
        <v>-4.3803482558301271E-2</v>
      </c>
      <c r="YB345" s="1047">
        <v>-6.9639344230997741E-2</v>
      </c>
      <c r="YC345" s="1047">
        <v>-6.1490765753871322E-2</v>
      </c>
      <c r="YD345" s="1047">
        <v>0.10463953711420233</v>
      </c>
      <c r="YE345" s="1047">
        <v>-5.113873958435905E-3</v>
      </c>
      <c r="YF345" s="1047">
        <v>-5.1879636104448582E-3</v>
      </c>
      <c r="YG345" s="1047">
        <v>-2.1131407067800345E-4</v>
      </c>
      <c r="YH345" s="1047">
        <v>-2.4854657941968784E-4</v>
      </c>
      <c r="YI345" s="1047">
        <v>-1.4474577052286291E-4</v>
      </c>
      <c r="YJ345" s="1047">
        <v>-2.8008837004869303E-4</v>
      </c>
      <c r="YK345" s="1047">
        <v>-5.2303936666240486E-4</v>
      </c>
      <c r="YL345" s="1047">
        <v>-6.1223535075087977E-4</v>
      </c>
      <c r="YM345" s="1047">
        <v>-2.3596894292718371E-4</v>
      </c>
      <c r="YN345" s="1047">
        <v>-2.865748072482615E-3</v>
      </c>
      <c r="YO345" s="1047">
        <v>1.6624918447042742</v>
      </c>
      <c r="YP345" s="1047">
        <v>1.6789846182386796</v>
      </c>
      <c r="YQ345" s="1047">
        <v>1.6336518659322787</v>
      </c>
      <c r="YR345" s="1047">
        <v>1.5997903066273815</v>
      </c>
      <c r="YS345" s="1047">
        <v>1.6842809190809591</v>
      </c>
      <c r="YT345" s="1047">
        <v>1.7373605713422906</v>
      </c>
      <c r="YU345" s="1047">
        <v>1.6685168212858288</v>
      </c>
      <c r="YV345" s="1047">
        <v>1.7914795197171858</v>
      </c>
      <c r="YW345" s="1047">
        <v>-0.10676135707354466</v>
      </c>
      <c r="YX345" s="1047">
        <v>-5.8859773693286856E-2</v>
      </c>
      <c r="YY345" s="1047">
        <v>-0.19289035449844982</v>
      </c>
      <c r="YZ345" s="1047">
        <v>-4.038842068032758E-2</v>
      </c>
      <c r="ZA345" s="1047">
        <v>-4.772617317938483E-2</v>
      </c>
      <c r="ZB345" s="1047">
        <v>-1.7668645140490692E-2</v>
      </c>
      <c r="ZC345" s="1047">
        <v>-2.2972878448229161E-2</v>
      </c>
      <c r="ZD345" s="1047">
        <v>-2.0357689793961683E-2</v>
      </c>
      <c r="ZE345" s="1047">
        <v>-0.49849818480800789</v>
      </c>
      <c r="ZF345" s="1047">
        <v>-0.49530625796088701</v>
      </c>
      <c r="ZG345" s="1047">
        <v>8.3785699559694158E-4</v>
      </c>
      <c r="ZH345" s="1047">
        <v>-0.49558930938175327</v>
      </c>
      <c r="ZI345" s="1047">
        <v>-0.52138242459057738</v>
      </c>
      <c r="ZJ345" s="1047">
        <v>6.1689810397253962E-4</v>
      </c>
      <c r="ZK345" s="1047">
        <v>-0.52365702137671799</v>
      </c>
      <c r="ZL345" s="1047">
        <v>-0.51368217032155616</v>
      </c>
      <c r="ZM345" s="1047">
        <v>-1.5234552312253765E-3</v>
      </c>
      <c r="ZN345" s="1047">
        <v>0.5445377521754049</v>
      </c>
      <c r="ZO345" s="1047">
        <v>0.55435891216539823</v>
      </c>
      <c r="ZP345" s="1047">
        <v>-1.2196427083801373E-3</v>
      </c>
      <c r="ZQ345" s="1047">
        <v>-1.2930623352223431E-3</v>
      </c>
      <c r="ZR345" s="1047">
        <v>0.70418418325697851</v>
      </c>
      <c r="ZS345" s="1047">
        <v>0.85850068628617904</v>
      </c>
      <c r="ZT345" s="1047">
        <v>-1.1587277564575876E-3</v>
      </c>
      <c r="ZU345" s="1047">
        <v>1.992586623755082</v>
      </c>
      <c r="ZV345" s="1047">
        <v>1.9923138081374876</v>
      </c>
      <c r="ZW345" s="1047">
        <v>-0.48042002338903522</v>
      </c>
      <c r="ZX345" s="1047">
        <v>-2.1366532979182895E-3</v>
      </c>
      <c r="ZY345" s="1047">
        <v>1.9999991638177554</v>
      </c>
      <c r="ZZ345" s="1047">
        <v>1.9903967518161669</v>
      </c>
      <c r="AAA345" s="1047">
        <v>-2.5502638657618772E-3</v>
      </c>
      <c r="AAB345" s="1047">
        <v>1.9941055074130603</v>
      </c>
      <c r="AAC345" s="1047">
        <v>1.9528714535116099E-3</v>
      </c>
      <c r="AAD345" s="1047">
        <v>1.8218458935567773E-3</v>
      </c>
      <c r="AAE345" s="1047">
        <v>-0.1461290374322943</v>
      </c>
      <c r="AAF345" s="1047">
        <v>-5.880287684817537E-4</v>
      </c>
      <c r="AAG345" s="1047">
        <v>-0.35420526671325592</v>
      </c>
      <c r="AAH345" s="1047">
        <v>1.3118580089897581E-3</v>
      </c>
      <c r="AAI345" s="1047">
        <v>1.349928949470909E-3</v>
      </c>
      <c r="AAJ345" s="1047">
        <v>-1.4622010533623117E-3</v>
      </c>
      <c r="AAK345" s="1063"/>
    </row>
    <row r="346" spans="2:713" hidden="1">
      <c r="B346" s="1023" t="s">
        <v>1866</v>
      </c>
      <c r="C346" s="723"/>
      <c r="D346" s="999"/>
      <c r="E346" s="1068" t="s">
        <v>1851</v>
      </c>
      <c r="F346" s="534"/>
      <c r="G346" s="534" t="s">
        <v>68</v>
      </c>
      <c r="H346" s="534"/>
      <c r="I346" s="1047"/>
      <c r="J346" s="1047"/>
      <c r="K346" s="1047"/>
      <c r="L346" s="1047"/>
      <c r="M346" s="1047"/>
      <c r="N346" s="1047"/>
      <c r="O346" s="1047"/>
      <c r="P346" s="1047"/>
      <c r="Q346" s="1047"/>
      <c r="R346" s="1047"/>
      <c r="S346" s="1047"/>
      <c r="T346" s="1047"/>
      <c r="U346" s="1047"/>
      <c r="V346" s="1047"/>
      <c r="W346" s="1047"/>
      <c r="X346" s="1047"/>
      <c r="Y346" s="1047"/>
      <c r="Z346" s="1047"/>
      <c r="AA346" s="1047"/>
      <c r="AB346" s="1047"/>
      <c r="AC346" s="1047"/>
      <c r="AD346" s="1047"/>
      <c r="AE346" s="1047"/>
      <c r="AF346" s="1047"/>
      <c r="AG346" s="1047"/>
      <c r="AH346" s="1047"/>
      <c r="AI346" s="1047"/>
      <c r="AJ346" s="1047"/>
      <c r="AK346" s="1047"/>
      <c r="AL346" s="1047"/>
      <c r="AM346" s="1047"/>
      <c r="AN346" s="1047"/>
      <c r="AO346" s="1047"/>
      <c r="AP346" s="1047"/>
      <c r="AQ346" s="1047"/>
      <c r="AR346" s="1047"/>
      <c r="AS346" s="1047"/>
      <c r="AT346" s="1047"/>
      <c r="AU346" s="1047"/>
      <c r="AV346" s="1047"/>
      <c r="AW346" s="1047"/>
      <c r="AX346" s="1047"/>
      <c r="AY346" s="1047"/>
      <c r="AZ346" s="1047"/>
      <c r="BA346" s="1047"/>
      <c r="BB346" s="1047"/>
      <c r="BC346" s="1047"/>
      <c r="BD346" s="1047"/>
      <c r="BE346" s="1047"/>
      <c r="BF346" s="1047"/>
      <c r="BG346" s="1047"/>
      <c r="BH346" s="1047"/>
      <c r="BI346" s="1047"/>
      <c r="BJ346" s="1047"/>
      <c r="BK346" s="1047"/>
      <c r="BL346" s="1047"/>
      <c r="BM346" s="1047"/>
      <c r="BN346" s="1047"/>
      <c r="BO346" s="1047"/>
      <c r="BP346" s="1047"/>
      <c r="BQ346" s="1047"/>
      <c r="BR346" s="1047"/>
      <c r="BS346" s="1047"/>
      <c r="BT346" s="1047"/>
      <c r="BU346" s="1047"/>
      <c r="BV346" s="1047"/>
      <c r="BW346" s="1047"/>
      <c r="BX346" s="1047"/>
      <c r="BY346" s="1047"/>
      <c r="BZ346" s="1047"/>
      <c r="CA346" s="1047"/>
      <c r="CB346" s="1047"/>
      <c r="CC346" s="1047"/>
      <c r="CD346" s="1047"/>
      <c r="CE346" s="1047"/>
      <c r="CF346" s="1047"/>
      <c r="CG346" s="1047"/>
      <c r="CH346" s="1047"/>
      <c r="CI346" s="1047"/>
      <c r="CJ346" s="1047"/>
      <c r="CK346" s="1047"/>
      <c r="CL346" s="1047"/>
      <c r="CM346" s="1047"/>
      <c r="CN346" s="1047"/>
      <c r="CO346" s="1047"/>
      <c r="CP346" s="1047"/>
      <c r="CQ346" s="1047"/>
      <c r="CR346" s="1047"/>
      <c r="CS346" s="1047"/>
      <c r="CT346" s="1047"/>
      <c r="CU346" s="1047"/>
      <c r="CV346" s="1047"/>
      <c r="CW346" s="1047"/>
      <c r="CX346" s="1047"/>
      <c r="CY346" s="1047"/>
      <c r="CZ346" s="1047"/>
      <c r="DA346" s="1047"/>
      <c r="DB346" s="1047"/>
      <c r="DC346" s="1047"/>
      <c r="DD346" s="1047"/>
      <c r="DE346" s="1047"/>
      <c r="DF346" s="1047"/>
      <c r="DG346" s="1047"/>
      <c r="DH346" s="1047"/>
      <c r="DI346" s="1047"/>
      <c r="DJ346" s="1047"/>
      <c r="DK346" s="1047"/>
      <c r="DL346" s="1047"/>
      <c r="DM346" s="1047"/>
      <c r="DN346" s="1047"/>
      <c r="DO346" s="1047"/>
      <c r="DP346" s="1047"/>
      <c r="DQ346" s="1047"/>
      <c r="DR346" s="1047"/>
      <c r="DS346" s="1047"/>
      <c r="DT346" s="1047"/>
      <c r="DU346" s="1047"/>
      <c r="DV346" s="1047"/>
      <c r="DW346" s="1047"/>
      <c r="DX346" s="1047"/>
      <c r="DY346" s="1047"/>
      <c r="DZ346" s="1047"/>
      <c r="EA346" s="1047"/>
      <c r="EB346" s="1047"/>
      <c r="EC346" s="1047"/>
      <c r="ED346" s="1047"/>
      <c r="EE346" s="1047"/>
      <c r="EF346" s="1047"/>
      <c r="EG346" s="1047"/>
      <c r="EH346" s="1047"/>
      <c r="EI346" s="1047"/>
      <c r="EJ346" s="1047"/>
      <c r="EK346" s="1047"/>
      <c r="EL346" s="1047"/>
      <c r="EM346" s="1047"/>
      <c r="EN346" s="1047"/>
      <c r="EO346" s="1047"/>
      <c r="EP346" s="1047"/>
      <c r="EQ346" s="1047"/>
      <c r="ER346" s="1047"/>
      <c r="ES346" s="1047"/>
      <c r="ET346" s="1047"/>
      <c r="EU346" s="1047"/>
      <c r="EV346" s="1047"/>
      <c r="EW346" s="1047"/>
      <c r="EX346" s="1047"/>
      <c r="EY346" s="1047"/>
      <c r="EZ346" s="1047"/>
      <c r="FA346" s="1047"/>
      <c r="FB346" s="1047"/>
      <c r="FC346" s="1047"/>
      <c r="FD346" s="1047"/>
      <c r="FE346" s="1047"/>
      <c r="FF346" s="1047"/>
      <c r="FG346" s="1047"/>
      <c r="FH346" s="1047"/>
      <c r="FI346" s="1047"/>
      <c r="FJ346" s="1047"/>
      <c r="FK346" s="1047"/>
      <c r="FL346" s="1047"/>
      <c r="FM346" s="1047"/>
      <c r="FN346" s="1047"/>
      <c r="FO346" s="1047"/>
      <c r="FP346" s="1047"/>
      <c r="FQ346" s="1047"/>
      <c r="FR346" s="1047"/>
      <c r="FS346" s="1047"/>
      <c r="FT346" s="1047"/>
      <c r="FU346" s="1047"/>
      <c r="FV346" s="1047"/>
      <c r="FW346" s="1047"/>
      <c r="FX346" s="1047"/>
      <c r="FY346" s="1047"/>
      <c r="FZ346" s="1047"/>
      <c r="GA346" s="1047"/>
      <c r="GB346" s="1047"/>
      <c r="GC346" s="1047"/>
      <c r="GD346" s="1047"/>
      <c r="GE346" s="1047"/>
      <c r="GF346" s="1047"/>
      <c r="GG346" s="1047"/>
      <c r="GH346" s="1047"/>
      <c r="GI346" s="1047"/>
      <c r="GJ346" s="1047"/>
      <c r="GK346" s="1047"/>
      <c r="GL346" s="1047"/>
      <c r="GM346" s="1047"/>
      <c r="GN346" s="1047"/>
      <c r="GO346" s="1047"/>
      <c r="GP346" s="1047"/>
      <c r="GQ346" s="1047"/>
      <c r="GR346" s="1047"/>
      <c r="GS346" s="1047"/>
      <c r="GT346" s="1047"/>
      <c r="GU346" s="1047"/>
      <c r="GV346" s="1047"/>
      <c r="GW346" s="1047"/>
      <c r="GX346" s="1047"/>
      <c r="GY346" s="1047"/>
      <c r="GZ346" s="1047"/>
      <c r="HA346" s="1047"/>
      <c r="HB346" s="1047"/>
      <c r="HC346" s="1047"/>
      <c r="HD346" s="1047"/>
      <c r="HE346" s="1047"/>
      <c r="HF346" s="1047"/>
      <c r="HG346" s="1047"/>
      <c r="HH346" s="1047"/>
      <c r="HI346" s="1047"/>
      <c r="HJ346" s="1047"/>
      <c r="HK346" s="1047"/>
      <c r="HL346" s="1047"/>
      <c r="HM346" s="1047"/>
      <c r="HN346" s="1047"/>
      <c r="HO346" s="1047"/>
      <c r="HP346" s="1047"/>
      <c r="HQ346" s="1047"/>
      <c r="HR346" s="1047"/>
      <c r="HS346" s="1047"/>
      <c r="HT346" s="1047"/>
      <c r="HU346" s="1047"/>
      <c r="HV346" s="1047"/>
      <c r="HW346" s="1047"/>
      <c r="HX346" s="1047"/>
      <c r="HY346" s="1047"/>
      <c r="HZ346" s="1047"/>
      <c r="IA346" s="1047"/>
      <c r="IB346" s="1047"/>
      <c r="IC346" s="1047"/>
      <c r="ID346" s="1047"/>
      <c r="IE346" s="1047"/>
      <c r="IF346" s="1047"/>
      <c r="IG346" s="1047"/>
      <c r="IH346" s="1047"/>
      <c r="II346" s="1047"/>
      <c r="IJ346" s="1047"/>
      <c r="IK346" s="1047"/>
      <c r="IL346" s="1047"/>
      <c r="IM346" s="1047"/>
      <c r="IN346" s="1047"/>
      <c r="IO346" s="1047"/>
      <c r="IP346" s="1047"/>
      <c r="IQ346" s="1047"/>
      <c r="IR346" s="1047"/>
      <c r="IS346" s="1047"/>
      <c r="IT346" s="1047"/>
      <c r="IU346" s="1047"/>
      <c r="IV346" s="1047"/>
      <c r="IW346" s="1047"/>
      <c r="IX346" s="1047"/>
      <c r="IY346" s="1047"/>
      <c r="IZ346" s="1047"/>
      <c r="JA346" s="1047"/>
      <c r="JB346" s="1047"/>
      <c r="JC346" s="1047"/>
      <c r="JD346" s="1047"/>
      <c r="JE346" s="1047"/>
      <c r="JF346" s="1047"/>
      <c r="JG346" s="1047"/>
      <c r="JH346" s="1047"/>
      <c r="JI346" s="1047"/>
      <c r="JJ346" s="1047"/>
      <c r="JK346" s="1047"/>
      <c r="JL346" s="1047"/>
      <c r="JM346" s="1047">
        <v>1.3547689043452759E-3</v>
      </c>
      <c r="JN346" s="1047">
        <v>7.9567142638039736E-3</v>
      </c>
      <c r="JO346" s="1047">
        <v>1.4257531403870057E-3</v>
      </c>
      <c r="JP346" s="1047">
        <v>1.4008026859357477E-3</v>
      </c>
      <c r="JQ346" s="1047">
        <v>1.1643341524459464E-3</v>
      </c>
      <c r="JR346" s="1047">
        <v>2.2341773017448323E-5</v>
      </c>
      <c r="JS346" s="1047">
        <v>2.8433197978058857E-5</v>
      </c>
      <c r="JT346" s="1047">
        <v>2.0255955467912297E-5</v>
      </c>
      <c r="JU346" s="1047">
        <v>0.1694951755161542</v>
      </c>
      <c r="JV346" s="1047">
        <v>-2.7792776541776897E-5</v>
      </c>
      <c r="JW346" s="1047">
        <v>-2.3565018461734812E-5</v>
      </c>
      <c r="JX346" s="1047">
        <v>-2.9378622209510141E-5</v>
      </c>
      <c r="JY346" s="1047">
        <v>1.9999549503142615</v>
      </c>
      <c r="JZ346" s="1047">
        <v>1.9999882113267398</v>
      </c>
      <c r="KA346" s="1047">
        <v>1.9999902574051622</v>
      </c>
      <c r="KB346" s="1047">
        <v>-2.9050038015622823E-5</v>
      </c>
      <c r="KC346" s="1047">
        <v>7.0468601838858018E-3</v>
      </c>
      <c r="KD346" s="1047">
        <v>1.9999991231019161</v>
      </c>
      <c r="KE346" s="1047">
        <v>1.9999986585436991</v>
      </c>
      <c r="KF346" s="1047">
        <v>-1.5344986624211248</v>
      </c>
      <c r="KG346" s="1047">
        <v>1.9999990175200013</v>
      </c>
      <c r="KH346" s="1047">
        <v>8.1519371030003007E-3</v>
      </c>
      <c r="KI346" s="1047">
        <v>1.9999990588863434</v>
      </c>
      <c r="KJ346" s="1047">
        <v>1.9999996481222369</v>
      </c>
      <c r="KK346" s="1047">
        <v>1.2505190699826902</v>
      </c>
      <c r="KL346" s="1047">
        <v>1.7758134509803207</v>
      </c>
      <c r="KM346" s="1047">
        <v>1.5796347158464168</v>
      </c>
      <c r="KN346" s="1047">
        <v>1.1519318382061163</v>
      </c>
      <c r="KO346" s="1047">
        <v>1.2688926194664263</v>
      </c>
      <c r="KP346" s="1047">
        <v>0.62175204505315085</v>
      </c>
      <c r="KQ346" s="1047">
        <v>-0.13324722191052624</v>
      </c>
      <c r="KR346" s="1047">
        <v>1.9603531616972332</v>
      </c>
      <c r="KS346" s="1047">
        <v>-7.8194467120612293E-4</v>
      </c>
      <c r="KT346" s="1047">
        <v>-4.5495448846442031E-4</v>
      </c>
      <c r="KU346" s="1047">
        <v>-4.1288568857919663E-4</v>
      </c>
      <c r="KV346" s="1047">
        <v>-7.3013886493740281E-4</v>
      </c>
      <c r="KW346" s="1047">
        <v>-7.6521939398344388E-4</v>
      </c>
      <c r="KX346" s="1047">
        <v>-9.6085425085292624E-4</v>
      </c>
      <c r="KY346" s="1047">
        <v>-1.2059755062292206E-3</v>
      </c>
      <c r="KZ346" s="1047">
        <v>1.6153618180488953</v>
      </c>
      <c r="LA346" s="1047">
        <v>0.82680387128591748</v>
      </c>
      <c r="LB346" s="1047">
        <v>0.62171228317716287</v>
      </c>
      <c r="LC346" s="1047">
        <v>0.71702462366227115</v>
      </c>
      <c r="LD346" s="1047">
        <v>0.37085363183363873</v>
      </c>
      <c r="LE346" s="1047">
        <v>0.62744713677015285</v>
      </c>
      <c r="LF346" s="1047">
        <v>0.50591487913731936</v>
      </c>
      <c r="LG346" s="1047">
        <v>0.27681710750165872</v>
      </c>
      <c r="LH346" s="1047">
        <v>0.35801415863806796</v>
      </c>
      <c r="LI346" s="1047">
        <v>-1.9998656191556383</v>
      </c>
      <c r="LJ346" s="1047">
        <v>-1.9998570479747895</v>
      </c>
      <c r="LK346" s="1047">
        <v>3.7505202642772031E-2</v>
      </c>
      <c r="LL346" s="1047">
        <v>-1.9997944077023</v>
      </c>
      <c r="LM346" s="1047">
        <v>-1.9998366631340194</v>
      </c>
      <c r="LN346" s="1047">
        <v>-1.937492795410805</v>
      </c>
      <c r="LO346" s="1047">
        <v>0.25735047521642035</v>
      </c>
      <c r="LP346" s="1047">
        <v>0.30538341444963452</v>
      </c>
      <c r="LQ346" s="1047">
        <v>-3.962150176987041E-4</v>
      </c>
      <c r="LR346" s="1047">
        <v>-3.8788476954395678E-4</v>
      </c>
      <c r="LS346" s="1047">
        <v>-4.1394794491363021E-4</v>
      </c>
      <c r="LT346" s="1047">
        <v>-4.6110617397782452E-4</v>
      </c>
      <c r="LU346" s="1047">
        <v>-4.5933802663432089E-4</v>
      </c>
      <c r="LV346" s="1047">
        <v>-2.1717083781103018E-3</v>
      </c>
      <c r="LW346" s="1047">
        <v>-1.813206812523616E-3</v>
      </c>
      <c r="LX346" s="1047">
        <v>-3.2263941862648317E-3</v>
      </c>
      <c r="LY346" s="1047">
        <v>-4.7738224521572462E-4</v>
      </c>
      <c r="LZ346" s="1047">
        <v>-2.5824729830638209E-2</v>
      </c>
      <c r="MA346" s="1047">
        <v>-2.3791359448504842E-2</v>
      </c>
      <c r="MB346" s="1047">
        <v>-1.1465061236492289E-3</v>
      </c>
      <c r="MC346" s="1047">
        <v>-2.3625956831227916E-2</v>
      </c>
      <c r="MD346" s="1047">
        <v>-8.3945845455714416E-2</v>
      </c>
      <c r="ME346" s="1047">
        <v>-0.19057696937787696</v>
      </c>
      <c r="MF346" s="1047">
        <v>-9.3084344374389824E-2</v>
      </c>
      <c r="MG346" s="1047">
        <v>0.33471989058451901</v>
      </c>
      <c r="MH346" s="1047">
        <v>0.14229125624978037</v>
      </c>
      <c r="MI346" s="1047">
        <v>-8.8882120950988788E-5</v>
      </c>
      <c r="MJ346" s="1047">
        <v>0.48279912634309746</v>
      </c>
      <c r="MK346" s="1047">
        <v>0.36099692108177345</v>
      </c>
      <c r="ML346" s="1047">
        <v>0.11122935870353864</v>
      </c>
      <c r="MM346" s="1047">
        <v>0.2030216998113209</v>
      </c>
      <c r="MN346" s="1047">
        <v>0.20914031414178863</v>
      </c>
      <c r="MO346" s="1047">
        <v>-0.15186936626243958</v>
      </c>
      <c r="MP346" s="1047">
        <v>-6.0826722638375859E-2</v>
      </c>
      <c r="MQ346" s="1047">
        <v>-6.0384369040482541E-2</v>
      </c>
      <c r="MR346" s="1047">
        <v>-0.13816773911380603</v>
      </c>
      <c r="MS346" s="1047">
        <v>-0.13017738687396319</v>
      </c>
      <c r="MT346" s="1047">
        <v>-9.7840022092723928E-3</v>
      </c>
      <c r="MU346" s="1047">
        <v>-1.2572081387393652E-2</v>
      </c>
      <c r="MV346" s="1047">
        <v>-0.23994987011852317</v>
      </c>
      <c r="MW346" s="1047"/>
      <c r="MX346" s="1047"/>
      <c r="MY346" s="1047"/>
      <c r="MZ346" s="1047"/>
      <c r="NA346" s="1047"/>
      <c r="NB346" s="1047"/>
      <c r="NC346" s="1047"/>
      <c r="ND346" s="1047"/>
      <c r="NE346" s="1047"/>
      <c r="NF346" s="1047"/>
      <c r="NG346" s="1047"/>
      <c r="NH346" s="1047"/>
      <c r="NI346" s="1047"/>
      <c r="NJ346" s="1047"/>
      <c r="NK346" s="1047"/>
      <c r="NL346" s="1047"/>
      <c r="NM346" s="1047"/>
      <c r="NN346" s="1047"/>
      <c r="NO346" s="1047"/>
      <c r="NP346" s="1047"/>
      <c r="NQ346" s="1047"/>
      <c r="NR346" s="1047"/>
      <c r="NS346" s="1047"/>
      <c r="NT346" s="1047"/>
      <c r="NU346" s="1047"/>
      <c r="NV346" s="1047"/>
      <c r="NW346" s="1047"/>
      <c r="NX346" s="1047"/>
      <c r="NY346" s="1047"/>
      <c r="NZ346" s="1047"/>
      <c r="OA346" s="1047"/>
      <c r="OB346" s="1047"/>
      <c r="OC346" s="1047"/>
      <c r="OD346" s="1047"/>
      <c r="OE346" s="1047"/>
      <c r="OF346" s="1047"/>
      <c r="OG346" s="1047"/>
      <c r="OH346" s="1047"/>
      <c r="OI346" s="1047"/>
      <c r="OJ346" s="1047"/>
      <c r="OK346" s="1047"/>
      <c r="OL346" s="1047"/>
      <c r="OM346" s="1047"/>
      <c r="ON346" s="1047"/>
      <c r="OO346" s="1047"/>
      <c r="OP346" s="1047"/>
      <c r="OQ346" s="1047"/>
      <c r="OR346" s="1047"/>
      <c r="OS346" s="1047"/>
      <c r="OT346" s="1047"/>
      <c r="OU346" s="1047"/>
      <c r="OV346" s="1047"/>
      <c r="OW346" s="1047"/>
      <c r="OX346" s="1047"/>
      <c r="OY346" s="1047"/>
      <c r="OZ346" s="1047"/>
      <c r="PA346" s="1047"/>
      <c r="PB346" s="1047"/>
      <c r="PC346" s="1047"/>
      <c r="PD346" s="1047"/>
      <c r="PE346" s="1047"/>
      <c r="PF346" s="1047"/>
      <c r="PG346" s="1047"/>
      <c r="PH346" s="1047"/>
      <c r="PI346" s="1047"/>
      <c r="PJ346" s="1047"/>
      <c r="PK346" s="1047"/>
      <c r="PL346" s="1047"/>
      <c r="PM346" s="1047"/>
      <c r="PN346" s="1047"/>
      <c r="PO346" s="1047"/>
      <c r="PP346" s="1047"/>
      <c r="PQ346" s="1047"/>
      <c r="PR346" s="1047"/>
      <c r="PS346" s="1047"/>
      <c r="PT346" s="1047"/>
      <c r="PU346" s="1047"/>
      <c r="PV346" s="1047"/>
      <c r="PW346" s="1047"/>
      <c r="PX346" s="1047"/>
      <c r="PY346" s="1047"/>
      <c r="PZ346" s="1047"/>
      <c r="QA346" s="1047"/>
      <c r="QB346" s="1047"/>
      <c r="QC346" s="1047"/>
      <c r="QD346" s="1047"/>
      <c r="QE346" s="1047"/>
      <c r="QF346" s="1047"/>
      <c r="QG346" s="1047"/>
      <c r="QH346" s="1047"/>
      <c r="QI346" s="1047"/>
      <c r="QJ346" s="1047"/>
      <c r="QK346" s="1047"/>
      <c r="QL346" s="1047"/>
      <c r="QM346" s="1047"/>
      <c r="QN346" s="1047"/>
      <c r="QO346" s="1047"/>
      <c r="QP346" s="1047"/>
      <c r="QQ346" s="1047"/>
      <c r="QR346" s="1047"/>
      <c r="QS346" s="1047"/>
      <c r="QT346" s="1047"/>
      <c r="QU346" s="1047"/>
      <c r="QV346" s="1047"/>
      <c r="QW346" s="1047"/>
      <c r="QX346" s="1047"/>
      <c r="QY346" s="1047"/>
      <c r="QZ346" s="1047"/>
      <c r="RA346" s="1047"/>
      <c r="RB346" s="1047"/>
      <c r="RC346" s="1047"/>
      <c r="RD346" s="1047"/>
      <c r="RE346" s="1047"/>
      <c r="RF346" s="1047"/>
      <c r="RG346" s="1047"/>
      <c r="RH346" s="1047"/>
      <c r="RI346" s="1047"/>
      <c r="RJ346" s="1047"/>
      <c r="RK346" s="1047"/>
      <c r="RL346" s="1047"/>
      <c r="RM346" s="1047"/>
      <c r="RN346" s="1047"/>
      <c r="RO346" s="1047"/>
      <c r="RP346" s="1047"/>
      <c r="RQ346" s="1047"/>
      <c r="RR346" s="1047"/>
      <c r="RS346" s="1047"/>
      <c r="RT346" s="1047"/>
      <c r="RU346" s="1047"/>
      <c r="RV346" s="1047"/>
      <c r="RW346" s="1047"/>
      <c r="RX346" s="1047"/>
      <c r="RY346" s="1047"/>
      <c r="RZ346" s="1047"/>
      <c r="SA346" s="1047"/>
      <c r="SB346" s="1047"/>
      <c r="SC346" s="1047"/>
      <c r="SD346" s="1047"/>
      <c r="SE346" s="1047"/>
      <c r="SF346" s="1047"/>
      <c r="SG346" s="1047"/>
      <c r="SH346" s="1047"/>
      <c r="SI346" s="1047"/>
      <c r="SJ346" s="1047"/>
      <c r="SK346" s="1047"/>
      <c r="SL346" s="1047"/>
      <c r="SM346" s="1047"/>
      <c r="SN346" s="1047"/>
      <c r="SO346" s="1047"/>
      <c r="SP346" s="1047"/>
      <c r="SQ346" s="1047"/>
      <c r="SR346" s="1047"/>
      <c r="SS346" s="1047"/>
      <c r="ST346" s="1047"/>
      <c r="SU346" s="1047"/>
      <c r="SV346" s="1047"/>
      <c r="SW346" s="1047"/>
      <c r="SX346" s="1047"/>
      <c r="SY346" s="1047"/>
      <c r="SZ346" s="1047"/>
      <c r="TA346" s="1047"/>
      <c r="TB346" s="1047"/>
      <c r="TC346" s="1047"/>
      <c r="TD346" s="1047"/>
      <c r="TE346" s="1047"/>
      <c r="TF346" s="1047"/>
      <c r="TG346" s="1047"/>
      <c r="TH346" s="1047"/>
      <c r="TI346" s="1047"/>
      <c r="TJ346" s="1047"/>
      <c r="TK346" s="1047"/>
      <c r="TL346" s="1047"/>
      <c r="TM346" s="1047"/>
      <c r="TN346" s="1047"/>
      <c r="TO346" s="1047"/>
      <c r="TP346" s="1047"/>
      <c r="TQ346" s="1047"/>
      <c r="TR346" s="1047"/>
      <c r="TS346" s="1047"/>
      <c r="TT346" s="1047"/>
      <c r="TU346" s="1047"/>
      <c r="TV346" s="1047"/>
      <c r="TW346" s="1047"/>
      <c r="TX346" s="1047"/>
      <c r="TY346" s="1047"/>
      <c r="TZ346" s="1047"/>
      <c r="UA346" s="1047"/>
      <c r="UB346" s="1047"/>
      <c r="UC346" s="1047"/>
      <c r="UD346" s="1047"/>
      <c r="UE346" s="1047"/>
      <c r="UF346" s="1047"/>
      <c r="UG346" s="1047"/>
      <c r="UH346" s="1047"/>
      <c r="UI346" s="1047"/>
      <c r="UJ346" s="1047"/>
      <c r="UK346" s="1047"/>
      <c r="UL346" s="1047"/>
      <c r="UM346" s="1047"/>
      <c r="UN346" s="1047"/>
      <c r="UO346" s="1047"/>
      <c r="UP346" s="1047"/>
      <c r="UQ346" s="1047"/>
      <c r="UR346" s="1047"/>
      <c r="US346" s="1047"/>
      <c r="UT346" s="1047"/>
      <c r="UU346" s="1047"/>
      <c r="UV346" s="1047"/>
      <c r="UW346" s="1047"/>
      <c r="UX346" s="1047"/>
      <c r="UY346" s="1047"/>
      <c r="UZ346" s="1047"/>
      <c r="VA346" s="1047"/>
      <c r="VB346" s="1047"/>
      <c r="VC346" s="1047"/>
      <c r="VD346" s="1047"/>
      <c r="VE346" s="1047"/>
      <c r="VF346" s="1047"/>
      <c r="VG346" s="1047"/>
      <c r="VH346" s="1047"/>
      <c r="VI346" s="1047"/>
      <c r="VJ346" s="1047"/>
      <c r="VK346" s="1047"/>
      <c r="VL346" s="1047"/>
      <c r="VM346" s="1047"/>
      <c r="VN346" s="1047"/>
      <c r="VO346" s="1047"/>
      <c r="VP346" s="1047"/>
      <c r="VQ346" s="1047"/>
      <c r="VR346" s="1047"/>
      <c r="VS346" s="1047"/>
      <c r="VT346" s="1047"/>
      <c r="VU346" s="1047"/>
      <c r="VV346" s="1047"/>
      <c r="VW346" s="1047"/>
      <c r="VX346" s="1047"/>
      <c r="VY346" s="1047"/>
      <c r="VZ346" s="1047"/>
      <c r="WA346" s="1047"/>
      <c r="WB346" s="1047"/>
      <c r="WC346" s="1047"/>
      <c r="WD346" s="1047"/>
      <c r="WE346" s="1047"/>
      <c r="WF346" s="1047"/>
      <c r="WG346" s="1047"/>
      <c r="WH346" s="1047"/>
      <c r="WI346" s="1047"/>
      <c r="WJ346" s="1047"/>
      <c r="WK346" s="1047"/>
      <c r="WL346" s="1047"/>
      <c r="WM346" s="1047"/>
      <c r="WN346" s="1047"/>
      <c r="WO346" s="1047"/>
      <c r="WP346" s="1047"/>
      <c r="WQ346" s="1047"/>
      <c r="WR346" s="1047"/>
      <c r="WS346" s="1047"/>
      <c r="WT346" s="1047"/>
      <c r="WU346" s="1047"/>
      <c r="WV346" s="1047"/>
      <c r="WW346" s="1047"/>
      <c r="WX346" s="1047"/>
      <c r="WY346" s="1047"/>
      <c r="WZ346" s="1047"/>
      <c r="XA346" s="1047">
        <v>1.9999947913142966</v>
      </c>
      <c r="XB346" s="1047">
        <v>1.9999932116341756</v>
      </c>
      <c r="XC346" s="1047">
        <v>1.9999957179818504</v>
      </c>
      <c r="XD346" s="1047">
        <v>6.1086834443094488E-3</v>
      </c>
      <c r="XE346" s="1047">
        <v>-1.9999990636023446</v>
      </c>
      <c r="XF346" s="1047">
        <v>2.3330354808648231E-4</v>
      </c>
      <c r="XG346" s="1047">
        <v>6.7832606722627883E-4</v>
      </c>
      <c r="XH346" s="1047">
        <v>3.7590403058415166E-3</v>
      </c>
      <c r="XI346" s="1047">
        <v>0.20778521303819877</v>
      </c>
      <c r="XJ346" s="1047">
        <v>0.13335571773125215</v>
      </c>
      <c r="XK346" s="1047">
        <v>-1.9999985591136455</v>
      </c>
      <c r="XL346" s="1047">
        <v>0.25424501317245884</v>
      </c>
      <c r="XM346" s="1047">
        <v>1.999995455064437</v>
      </c>
      <c r="XN346" s="1047">
        <v>-2.0642615285968002E-5</v>
      </c>
      <c r="XO346" s="1047">
        <v>1.9999954698682829</v>
      </c>
      <c r="XP346" s="1047">
        <v>-2.577868141560527E-5</v>
      </c>
      <c r="XQ346" s="1047">
        <v>1.1786780941071174E-2</v>
      </c>
      <c r="XR346" s="1047">
        <v>3.1147321408725684E-2</v>
      </c>
      <c r="XS346" s="1047">
        <v>3.2771288044174826E-2</v>
      </c>
      <c r="XT346" s="1047">
        <v>0.12937783237203063</v>
      </c>
      <c r="XU346" s="1047">
        <v>1.89112942463552E-3</v>
      </c>
      <c r="XV346" s="1047">
        <v>1.2404418964418549E-2</v>
      </c>
      <c r="XW346" s="1047">
        <v>1.9999986840281228</v>
      </c>
      <c r="XX346" s="1047">
        <v>1.9999987780674804</v>
      </c>
      <c r="XY346" s="1047">
        <v>-1.2068071928431152</v>
      </c>
      <c r="XZ346" s="1047">
        <v>0.6912408745105858</v>
      </c>
      <c r="YA346" s="1047">
        <v>0.58629515361990403</v>
      </c>
      <c r="YB346" s="1047">
        <v>1.9726184924516996</v>
      </c>
      <c r="YC346" s="1047">
        <v>1.9877528283263142</v>
      </c>
      <c r="YD346" s="1047">
        <v>0.75210424163175504</v>
      </c>
      <c r="YE346" s="1047">
        <v>0.16798153692479401</v>
      </c>
      <c r="YF346" s="1047">
        <v>6.5246292857132043E-2</v>
      </c>
      <c r="YG346" s="1047">
        <v>-6.6629410258314055E-4</v>
      </c>
      <c r="YH346" s="1047">
        <v>-8.7925720681439952E-4</v>
      </c>
      <c r="YI346" s="1047">
        <v>-4.4602363567640245E-4</v>
      </c>
      <c r="YJ346" s="1047">
        <v>-1.20546779631082E-3</v>
      </c>
      <c r="YK346" s="1047">
        <v>-1.8975848804651696E-3</v>
      </c>
      <c r="YL346" s="1047">
        <v>-2.3937102095287757E-3</v>
      </c>
      <c r="YM346" s="1047">
        <v>-7.2197046840127258E-4</v>
      </c>
      <c r="YN346" s="1047">
        <v>-1.1988516805545451E-2</v>
      </c>
      <c r="YO346" s="1047">
        <v>0.45923164041638553</v>
      </c>
      <c r="YP346" s="1047">
        <v>0.55140648954225202</v>
      </c>
      <c r="YQ346" s="1047">
        <v>0.51158005315687327</v>
      </c>
      <c r="YR346" s="1047">
        <v>0.41077659597285882</v>
      </c>
      <c r="YS346" s="1047">
        <v>0.43876610426102131</v>
      </c>
      <c r="YT346" s="1047">
        <v>0.57015537459760268</v>
      </c>
      <c r="YU346" s="1047">
        <v>0.47583033300277711</v>
      </c>
      <c r="YV346" s="1047">
        <v>0.33969278873227288</v>
      </c>
      <c r="YW346" s="1047">
        <v>0.11569143097694116</v>
      </c>
      <c r="YX346" s="1047">
        <v>6.3391697401024683E-2</v>
      </c>
      <c r="YY346" s="1047">
        <v>4.5304169358232671E-2</v>
      </c>
      <c r="YZ346" s="1047">
        <v>8.4097847098519654E-2</v>
      </c>
      <c r="ZA346" s="1047">
        <v>8.069170298172508E-2</v>
      </c>
      <c r="ZB346" s="1047">
        <v>3.51013683573781E-2</v>
      </c>
      <c r="ZC346" s="1047">
        <v>4.7420137068047652E-2</v>
      </c>
      <c r="ZD346" s="1047">
        <v>2.7862971555267613E-2</v>
      </c>
      <c r="ZE346" s="1047">
        <v>-3.431511061287902E-4</v>
      </c>
      <c r="ZF346" s="1047">
        <v>-3.3610362749825337E-4</v>
      </c>
      <c r="ZG346" s="1047">
        <v>-3.8335395358598773E-3</v>
      </c>
      <c r="ZH346" s="1047">
        <v>-3.5301473335962332E-4</v>
      </c>
      <c r="ZI346" s="1047">
        <v>-3.2756402378387322E-4</v>
      </c>
      <c r="ZJ346" s="1047">
        <v>-2.5502739699941662E-3</v>
      </c>
      <c r="ZK346" s="1047">
        <v>-3.7148412901029474E-4</v>
      </c>
      <c r="ZL346" s="1047">
        <v>-3.7640894430434604E-4</v>
      </c>
      <c r="ZM346" s="1047">
        <v>-3.1251114147820943E-4</v>
      </c>
      <c r="ZN346" s="1047">
        <v>-2.1968638973907784E-4</v>
      </c>
      <c r="ZO346" s="1047">
        <v>-2.2601123597723263E-4</v>
      </c>
      <c r="ZP346" s="1047">
        <v>-3.9925277065448966E-4</v>
      </c>
      <c r="ZQ346" s="1047">
        <v>-3.0800649058657781E-4</v>
      </c>
      <c r="ZR346" s="1047">
        <v>-2.5480689105645278E-2</v>
      </c>
      <c r="ZS346" s="1047">
        <v>-2.7275807706450175E-2</v>
      </c>
      <c r="ZT346" s="1047">
        <v>-4.8248863410845752E-4</v>
      </c>
      <c r="ZU346" s="1047">
        <v>1.0539620156137035</v>
      </c>
      <c r="ZV346" s="1047">
        <v>-3.3080621022445157E-4</v>
      </c>
      <c r="ZW346" s="1047">
        <v>-1.9999987060980458</v>
      </c>
      <c r="ZX346" s="1047">
        <v>1.9999990740125435</v>
      </c>
      <c r="ZY346" s="1047">
        <v>0.47776583478291434</v>
      </c>
      <c r="ZZ346" s="1047">
        <v>0.72468540156055383</v>
      </c>
      <c r="AAA346" s="1047">
        <v>1.9999996792970358</v>
      </c>
      <c r="AAB346" s="1047">
        <v>0.56912729196664891</v>
      </c>
      <c r="AAC346" s="1047">
        <v>-8.9377469367193946E-3</v>
      </c>
      <c r="AAD346" s="1047">
        <v>-9.3331445090240033E-3</v>
      </c>
      <c r="AAE346" s="1047">
        <v>-6.9075894302921076E-2</v>
      </c>
      <c r="AAF346" s="1047">
        <v>-5.3561501667670278E-3</v>
      </c>
      <c r="AAG346" s="1047">
        <v>-0.13889218471185166</v>
      </c>
      <c r="AAH346" s="1047">
        <v>-7.3421900834936731E-3</v>
      </c>
      <c r="AAI346" s="1047">
        <v>-1.970030963610506E-2</v>
      </c>
      <c r="AAJ346" s="1047">
        <v>-2.5914218568572837E-2</v>
      </c>
      <c r="AAK346" s="1063"/>
    </row>
    <row r="347" spans="2:713" hidden="1">
      <c r="B347" s="1023" t="s">
        <v>1866</v>
      </c>
      <c r="C347" s="723"/>
      <c r="D347" s="999"/>
      <c r="E347" s="1068" t="s">
        <v>1853</v>
      </c>
      <c r="F347" s="534"/>
      <c r="G347" s="534" t="s">
        <v>68</v>
      </c>
      <c r="H347" s="534"/>
      <c r="I347" s="1047"/>
      <c r="J347" s="1047"/>
      <c r="K347" s="1047"/>
      <c r="L347" s="1047"/>
      <c r="M347" s="1047"/>
      <c r="N347" s="1047"/>
      <c r="O347" s="1047"/>
      <c r="P347" s="1047"/>
      <c r="Q347" s="1047"/>
      <c r="R347" s="1047"/>
      <c r="S347" s="1047"/>
      <c r="T347" s="1047"/>
      <c r="U347" s="1047"/>
      <c r="V347" s="1047"/>
      <c r="W347" s="1047"/>
      <c r="X347" s="1047"/>
      <c r="Y347" s="1047"/>
      <c r="Z347" s="1047"/>
      <c r="AA347" s="1047"/>
      <c r="AB347" s="1047"/>
      <c r="AC347" s="1047"/>
      <c r="AD347" s="1047"/>
      <c r="AE347" s="1047"/>
      <c r="AF347" s="1047"/>
      <c r="AG347" s="1047"/>
      <c r="AH347" s="1047"/>
      <c r="AI347" s="1047"/>
      <c r="AJ347" s="1047"/>
      <c r="AK347" s="1047"/>
      <c r="AL347" s="1047"/>
      <c r="AM347" s="1047"/>
      <c r="AN347" s="1047"/>
      <c r="AO347" s="1047"/>
      <c r="AP347" s="1047"/>
      <c r="AQ347" s="1047"/>
      <c r="AR347" s="1047"/>
      <c r="AS347" s="1047"/>
      <c r="AT347" s="1047"/>
      <c r="AU347" s="1047"/>
      <c r="AV347" s="1047"/>
      <c r="AW347" s="1047"/>
      <c r="AX347" s="1047"/>
      <c r="AY347" s="1047"/>
      <c r="AZ347" s="1047"/>
      <c r="BA347" s="1047"/>
      <c r="BB347" s="1047"/>
      <c r="BC347" s="1047"/>
      <c r="BD347" s="1047"/>
      <c r="BE347" s="1047"/>
      <c r="BF347" s="1047"/>
      <c r="BG347" s="1047"/>
      <c r="BH347" s="1047"/>
      <c r="BI347" s="1047"/>
      <c r="BJ347" s="1047"/>
      <c r="BK347" s="1047"/>
      <c r="BL347" s="1047"/>
      <c r="BM347" s="1047"/>
      <c r="BN347" s="1047"/>
      <c r="BO347" s="1047"/>
      <c r="BP347" s="1047"/>
      <c r="BQ347" s="1047"/>
      <c r="BR347" s="1047"/>
      <c r="BS347" s="1047"/>
      <c r="BT347" s="1047"/>
      <c r="BU347" s="1047"/>
      <c r="BV347" s="1047"/>
      <c r="BW347" s="1047"/>
      <c r="BX347" s="1047"/>
      <c r="BY347" s="1047"/>
      <c r="BZ347" s="1047"/>
      <c r="CA347" s="1047"/>
      <c r="CB347" s="1047"/>
      <c r="CC347" s="1047"/>
      <c r="CD347" s="1047"/>
      <c r="CE347" s="1047"/>
      <c r="CF347" s="1047"/>
      <c r="CG347" s="1047"/>
      <c r="CH347" s="1047"/>
      <c r="CI347" s="1047"/>
      <c r="CJ347" s="1047"/>
      <c r="CK347" s="1047"/>
      <c r="CL347" s="1047"/>
      <c r="CM347" s="1047"/>
      <c r="CN347" s="1047"/>
      <c r="CO347" s="1047"/>
      <c r="CP347" s="1047"/>
      <c r="CQ347" s="1047"/>
      <c r="CR347" s="1047"/>
      <c r="CS347" s="1047"/>
      <c r="CT347" s="1047"/>
      <c r="CU347" s="1047"/>
      <c r="CV347" s="1047"/>
      <c r="CW347" s="1047"/>
      <c r="CX347" s="1047"/>
      <c r="CY347" s="1047"/>
      <c r="CZ347" s="1047"/>
      <c r="DA347" s="1047"/>
      <c r="DB347" s="1047"/>
      <c r="DC347" s="1047"/>
      <c r="DD347" s="1047"/>
      <c r="DE347" s="1047"/>
      <c r="DF347" s="1047"/>
      <c r="DG347" s="1047"/>
      <c r="DH347" s="1047"/>
      <c r="DI347" s="1047"/>
      <c r="DJ347" s="1047"/>
      <c r="DK347" s="1047"/>
      <c r="DL347" s="1047"/>
      <c r="DM347" s="1047"/>
      <c r="DN347" s="1047"/>
      <c r="DO347" s="1047"/>
      <c r="DP347" s="1047"/>
      <c r="DQ347" s="1047"/>
      <c r="DR347" s="1047"/>
      <c r="DS347" s="1047"/>
      <c r="DT347" s="1047"/>
      <c r="DU347" s="1047"/>
      <c r="DV347" s="1047"/>
      <c r="DW347" s="1047"/>
      <c r="DX347" s="1047"/>
      <c r="DY347" s="1047"/>
      <c r="DZ347" s="1047"/>
      <c r="EA347" s="1047"/>
      <c r="EB347" s="1047"/>
      <c r="EC347" s="1047"/>
      <c r="ED347" s="1047"/>
      <c r="EE347" s="1047"/>
      <c r="EF347" s="1047"/>
      <c r="EG347" s="1047"/>
      <c r="EH347" s="1047"/>
      <c r="EI347" s="1047"/>
      <c r="EJ347" s="1047"/>
      <c r="EK347" s="1047"/>
      <c r="EL347" s="1047"/>
      <c r="EM347" s="1047"/>
      <c r="EN347" s="1047"/>
      <c r="EO347" s="1047"/>
      <c r="EP347" s="1047"/>
      <c r="EQ347" s="1047"/>
      <c r="ER347" s="1047"/>
      <c r="ES347" s="1047"/>
      <c r="ET347" s="1047"/>
      <c r="EU347" s="1047"/>
      <c r="EV347" s="1047"/>
      <c r="EW347" s="1047"/>
      <c r="EX347" s="1047"/>
      <c r="EY347" s="1047"/>
      <c r="EZ347" s="1047"/>
      <c r="FA347" s="1047"/>
      <c r="FB347" s="1047"/>
      <c r="FC347" s="1047"/>
      <c r="FD347" s="1047"/>
      <c r="FE347" s="1047"/>
      <c r="FF347" s="1047"/>
      <c r="FG347" s="1047"/>
      <c r="FH347" s="1047"/>
      <c r="FI347" s="1047"/>
      <c r="FJ347" s="1047"/>
      <c r="FK347" s="1047"/>
      <c r="FL347" s="1047"/>
      <c r="FM347" s="1047"/>
      <c r="FN347" s="1047"/>
      <c r="FO347" s="1047"/>
      <c r="FP347" s="1047"/>
      <c r="FQ347" s="1047"/>
      <c r="FR347" s="1047"/>
      <c r="FS347" s="1047"/>
      <c r="FT347" s="1047"/>
      <c r="FU347" s="1047"/>
      <c r="FV347" s="1047"/>
      <c r="FW347" s="1047"/>
      <c r="FX347" s="1047"/>
      <c r="FY347" s="1047"/>
      <c r="FZ347" s="1047"/>
      <c r="GA347" s="1047"/>
      <c r="GB347" s="1047"/>
      <c r="GC347" s="1047"/>
      <c r="GD347" s="1047"/>
      <c r="GE347" s="1047"/>
      <c r="GF347" s="1047"/>
      <c r="GG347" s="1047"/>
      <c r="GH347" s="1047"/>
      <c r="GI347" s="1047"/>
      <c r="GJ347" s="1047"/>
      <c r="GK347" s="1047"/>
      <c r="GL347" s="1047"/>
      <c r="GM347" s="1047"/>
      <c r="GN347" s="1047"/>
      <c r="GO347" s="1047"/>
      <c r="GP347" s="1047"/>
      <c r="GQ347" s="1047"/>
      <c r="GR347" s="1047"/>
      <c r="GS347" s="1047"/>
      <c r="GT347" s="1047"/>
      <c r="GU347" s="1047"/>
      <c r="GV347" s="1047"/>
      <c r="GW347" s="1047"/>
      <c r="GX347" s="1047"/>
      <c r="GY347" s="1047"/>
      <c r="GZ347" s="1047"/>
      <c r="HA347" s="1047"/>
      <c r="HB347" s="1047"/>
      <c r="HC347" s="1047"/>
      <c r="HD347" s="1047"/>
      <c r="HE347" s="1047"/>
      <c r="HF347" s="1047"/>
      <c r="HG347" s="1047"/>
      <c r="HH347" s="1047"/>
      <c r="HI347" s="1047"/>
      <c r="HJ347" s="1047"/>
      <c r="HK347" s="1047"/>
      <c r="HL347" s="1047"/>
      <c r="HM347" s="1047"/>
      <c r="HN347" s="1047"/>
      <c r="HO347" s="1047"/>
      <c r="HP347" s="1047"/>
      <c r="HQ347" s="1047"/>
      <c r="HR347" s="1047"/>
      <c r="HS347" s="1047"/>
      <c r="HT347" s="1047"/>
      <c r="HU347" s="1047"/>
      <c r="HV347" s="1047"/>
      <c r="HW347" s="1047"/>
      <c r="HX347" s="1047"/>
      <c r="HY347" s="1047"/>
      <c r="HZ347" s="1047"/>
      <c r="IA347" s="1047"/>
      <c r="IB347" s="1047"/>
      <c r="IC347" s="1047"/>
      <c r="ID347" s="1047"/>
      <c r="IE347" s="1047"/>
      <c r="IF347" s="1047"/>
      <c r="IG347" s="1047"/>
      <c r="IH347" s="1047"/>
      <c r="II347" s="1047"/>
      <c r="IJ347" s="1047"/>
      <c r="IK347" s="1047"/>
      <c r="IL347" s="1047"/>
      <c r="IM347" s="1047"/>
      <c r="IN347" s="1047"/>
      <c r="IO347" s="1047"/>
      <c r="IP347" s="1047"/>
      <c r="IQ347" s="1047"/>
      <c r="IR347" s="1047"/>
      <c r="IS347" s="1047"/>
      <c r="IT347" s="1047"/>
      <c r="IU347" s="1047"/>
      <c r="IV347" s="1047"/>
      <c r="IW347" s="1047"/>
      <c r="IX347" s="1047"/>
      <c r="IY347" s="1047"/>
      <c r="IZ347" s="1047"/>
      <c r="JA347" s="1047"/>
      <c r="JB347" s="1047"/>
      <c r="JC347" s="1047"/>
      <c r="JD347" s="1047"/>
      <c r="JE347" s="1047"/>
      <c r="JF347" s="1047"/>
      <c r="JG347" s="1047"/>
      <c r="JH347" s="1047"/>
      <c r="JI347" s="1047"/>
      <c r="JJ347" s="1047"/>
      <c r="JK347" s="1047"/>
      <c r="JL347" s="1047"/>
      <c r="JM347" s="1047">
        <v>6.0892683850262105E-4</v>
      </c>
      <c r="JN347" s="1047">
        <v>2.953482317837465E-3</v>
      </c>
      <c r="JO347" s="1047">
        <v>1.0157545798274434E-3</v>
      </c>
      <c r="JP347" s="1047">
        <v>3.9434816299892711E-4</v>
      </c>
      <c r="JQ347" s="1047">
        <v>4.3039184730342362E-4</v>
      </c>
      <c r="JR347" s="1047">
        <v>-0.30406603034454732</v>
      </c>
      <c r="JS347" s="1047">
        <v>-0.39937940088608087</v>
      </c>
      <c r="JT347" s="1047">
        <v>-0.32885988310482533</v>
      </c>
      <c r="JU347" s="1047">
        <v>-8.0403953564848335E-2</v>
      </c>
      <c r="JV347" s="1047">
        <v>-0.50013488190014599</v>
      </c>
      <c r="JW347" s="1047">
        <v>-2.2825814749805091E-5</v>
      </c>
      <c r="JX347" s="1047">
        <v>-0.43496685431362075</v>
      </c>
      <c r="JY347" s="1047">
        <v>-0.4826485901500468</v>
      </c>
      <c r="JZ347" s="1047">
        <v>-0.41844455269356895</v>
      </c>
      <c r="KA347" s="1047">
        <v>-0.49561819356300163</v>
      </c>
      <c r="KB347" s="1047">
        <v>-0.52061064564611448</v>
      </c>
      <c r="KC347" s="1047">
        <v>-0.30749282006108525</v>
      </c>
      <c r="KD347" s="1047">
        <v>-0.30375160606092932</v>
      </c>
      <c r="KE347" s="1047">
        <v>-0.26795608764388301</v>
      </c>
      <c r="KF347" s="1047">
        <v>-0.26886511797980772</v>
      </c>
      <c r="KG347" s="1047">
        <v>-0.3196173487490731</v>
      </c>
      <c r="KH347" s="1047">
        <v>-0.22777833182781715</v>
      </c>
      <c r="KI347" s="1047">
        <v>-0.28718790981770337</v>
      </c>
      <c r="KJ347" s="1047">
        <v>-0.27708781031810636</v>
      </c>
      <c r="KK347" s="1047">
        <v>-5.5488219334638537E-2</v>
      </c>
      <c r="KL347" s="1047">
        <v>-0.11008355165580688</v>
      </c>
      <c r="KM347" s="1047">
        <v>1.9040119732424967</v>
      </c>
      <c r="KN347" s="1047">
        <v>-0.15764785126503783</v>
      </c>
      <c r="KO347" s="1047">
        <v>-0.14909560418643528</v>
      </c>
      <c r="KP347" s="1047">
        <v>-0.33968029937093214</v>
      </c>
      <c r="KQ347" s="1047">
        <v>1.4336157999186343E-2</v>
      </c>
      <c r="KR347" s="1047">
        <v>-0.37676314280226531</v>
      </c>
      <c r="KS347" s="1047">
        <v>-0.27110790881496877</v>
      </c>
      <c r="KT347" s="1047">
        <v>-0.32299698930677506</v>
      </c>
      <c r="KU347" s="1047">
        <v>-0.24467595989538088</v>
      </c>
      <c r="KV347" s="1047">
        <v>-0.33060576906716593</v>
      </c>
      <c r="KW347" s="1047">
        <v>-0.38438164520278617</v>
      </c>
      <c r="KX347" s="1047">
        <v>-0.37072023538849241</v>
      </c>
      <c r="KY347" s="1047">
        <v>-0.42140595844316409</v>
      </c>
      <c r="KZ347" s="1047">
        <v>-0.40178773280388774</v>
      </c>
      <c r="LA347" s="1047">
        <v>1.600455014884703</v>
      </c>
      <c r="LB347" s="1047">
        <v>1.740975239542877</v>
      </c>
      <c r="LC347" s="1047">
        <v>6.6691112553091222E-2</v>
      </c>
      <c r="LD347" s="1047">
        <v>1.9999400333480482</v>
      </c>
      <c r="LE347" s="1047">
        <v>1.883084752118614</v>
      </c>
      <c r="LF347" s="1047">
        <v>1.7965011058959117</v>
      </c>
      <c r="LG347" s="1047">
        <v>5.4189328575726788E-2</v>
      </c>
      <c r="LH347" s="1047">
        <v>0.19063988443182733</v>
      </c>
      <c r="LI347" s="1047">
        <v>-0.16445049315507509</v>
      </c>
      <c r="LJ347" s="1047">
        <v>-0.23543550459979676</v>
      </c>
      <c r="LK347" s="1047">
        <v>3.4107957902105884E-2</v>
      </c>
      <c r="LL347" s="1047">
        <v>-0.27199359668819201</v>
      </c>
      <c r="LM347" s="1047">
        <v>-0.26186626557319603</v>
      </c>
      <c r="LN347" s="1047">
        <v>-0.29668660156335497</v>
      </c>
      <c r="LO347" s="1047">
        <v>1.5260448656244491E-3</v>
      </c>
      <c r="LP347" s="1047">
        <v>2.9848636201213969E-3</v>
      </c>
      <c r="LQ347" s="1047">
        <v>-0.25174118761289555</v>
      </c>
      <c r="LR347" s="1047">
        <v>-0.27360189061734391</v>
      </c>
      <c r="LS347" s="1047">
        <v>-0.24695809875790473</v>
      </c>
      <c r="LT347" s="1047">
        <v>-0.31093438142959096</v>
      </c>
      <c r="LU347" s="1047">
        <v>-0.38234563177780756</v>
      </c>
      <c r="LV347" s="1047">
        <v>-0.32827413116572668</v>
      </c>
      <c r="LW347" s="1047">
        <v>-0.41977715361865409</v>
      </c>
      <c r="LX347" s="1047">
        <v>-0.39765838564859818</v>
      </c>
      <c r="LY347" s="1047">
        <v>-2.9537304584811496E-5</v>
      </c>
      <c r="LZ347" s="1047">
        <v>-1.3663671850836384E-3</v>
      </c>
      <c r="MA347" s="1047">
        <v>-8.6031547400229667E-4</v>
      </c>
      <c r="MB347" s="1047">
        <v>-1.6676489156767181E-4</v>
      </c>
      <c r="MC347" s="1047">
        <v>-1.0977606389746919E-3</v>
      </c>
      <c r="MD347" s="1047">
        <v>-2.2446054866830474E-3</v>
      </c>
      <c r="ME347" s="1047">
        <v>-6.6006058915497406E-2</v>
      </c>
      <c r="MF347" s="1047">
        <v>-8.5256997453997071E-4</v>
      </c>
      <c r="MG347" s="1047">
        <v>-1.1895429233644295E-4</v>
      </c>
      <c r="MH347" s="1047">
        <v>-3.3020345643476032E-5</v>
      </c>
      <c r="MI347" s="1047">
        <v>-7.8162819337971338E-6</v>
      </c>
      <c r="MJ347" s="1047">
        <v>-4.0257581673792883E-5</v>
      </c>
      <c r="MK347" s="1047">
        <v>-7.5237312865432698E-2</v>
      </c>
      <c r="ML347" s="1047">
        <v>-1.2432552269781188E-2</v>
      </c>
      <c r="MM347" s="1047">
        <v>-0.14143522192087493</v>
      </c>
      <c r="MN347" s="1047">
        <v>-2.5011508037001622E-4</v>
      </c>
      <c r="MO347" s="1047">
        <v>-0.25635613044752881</v>
      </c>
      <c r="MP347" s="1047">
        <v>-0.28029331653035866</v>
      </c>
      <c r="MQ347" s="1047">
        <v>-0.23692008957506708</v>
      </c>
      <c r="MR347" s="1047">
        <v>-0.30905135649161741</v>
      </c>
      <c r="MS347" s="1047">
        <v>-0.32650055661150273</v>
      </c>
      <c r="MT347" s="1047">
        <v>-0.30794469464262247</v>
      </c>
      <c r="MU347" s="1047">
        <v>-0.38584395597423821</v>
      </c>
      <c r="MV347" s="1047">
        <v>-0.37509918235030237</v>
      </c>
      <c r="MW347" s="1047"/>
      <c r="MX347" s="1047"/>
      <c r="MY347" s="1047"/>
      <c r="MZ347" s="1047"/>
      <c r="NA347" s="1047"/>
      <c r="NB347" s="1047"/>
      <c r="NC347" s="1047"/>
      <c r="ND347" s="1047"/>
      <c r="NE347" s="1047"/>
      <c r="NF347" s="1047"/>
      <c r="NG347" s="1047"/>
      <c r="NH347" s="1047"/>
      <c r="NI347" s="1047"/>
      <c r="NJ347" s="1047"/>
      <c r="NK347" s="1047"/>
      <c r="NL347" s="1047"/>
      <c r="NM347" s="1047"/>
      <c r="NN347" s="1047"/>
      <c r="NO347" s="1047"/>
      <c r="NP347" s="1047"/>
      <c r="NQ347" s="1047"/>
      <c r="NR347" s="1047"/>
      <c r="NS347" s="1047"/>
      <c r="NT347" s="1047"/>
      <c r="NU347" s="1047"/>
      <c r="NV347" s="1047"/>
      <c r="NW347" s="1047"/>
      <c r="NX347" s="1047"/>
      <c r="NY347" s="1047"/>
      <c r="NZ347" s="1047"/>
      <c r="OA347" s="1047"/>
      <c r="OB347" s="1047"/>
      <c r="OC347" s="1047"/>
      <c r="OD347" s="1047"/>
      <c r="OE347" s="1047"/>
      <c r="OF347" s="1047"/>
      <c r="OG347" s="1047"/>
      <c r="OH347" s="1047"/>
      <c r="OI347" s="1047"/>
      <c r="OJ347" s="1047"/>
      <c r="OK347" s="1047"/>
      <c r="OL347" s="1047"/>
      <c r="OM347" s="1047"/>
      <c r="ON347" s="1047"/>
      <c r="OO347" s="1047"/>
      <c r="OP347" s="1047"/>
      <c r="OQ347" s="1047"/>
      <c r="OR347" s="1047"/>
      <c r="OS347" s="1047"/>
      <c r="OT347" s="1047"/>
      <c r="OU347" s="1047"/>
      <c r="OV347" s="1047"/>
      <c r="OW347" s="1047"/>
      <c r="OX347" s="1047"/>
      <c r="OY347" s="1047"/>
      <c r="OZ347" s="1047"/>
      <c r="PA347" s="1047"/>
      <c r="PB347" s="1047"/>
      <c r="PC347" s="1047"/>
      <c r="PD347" s="1047"/>
      <c r="PE347" s="1047"/>
      <c r="PF347" s="1047"/>
      <c r="PG347" s="1047"/>
      <c r="PH347" s="1047"/>
      <c r="PI347" s="1047"/>
      <c r="PJ347" s="1047"/>
      <c r="PK347" s="1047"/>
      <c r="PL347" s="1047"/>
      <c r="PM347" s="1047"/>
      <c r="PN347" s="1047"/>
      <c r="PO347" s="1047"/>
      <c r="PP347" s="1047"/>
      <c r="PQ347" s="1047"/>
      <c r="PR347" s="1047"/>
      <c r="PS347" s="1047"/>
      <c r="PT347" s="1047"/>
      <c r="PU347" s="1047"/>
      <c r="PV347" s="1047"/>
      <c r="PW347" s="1047"/>
      <c r="PX347" s="1047"/>
      <c r="PY347" s="1047"/>
      <c r="PZ347" s="1047"/>
      <c r="QA347" s="1047"/>
      <c r="QB347" s="1047"/>
      <c r="QC347" s="1047"/>
      <c r="QD347" s="1047"/>
      <c r="QE347" s="1047"/>
      <c r="QF347" s="1047"/>
      <c r="QG347" s="1047"/>
      <c r="QH347" s="1047"/>
      <c r="QI347" s="1047"/>
      <c r="QJ347" s="1047"/>
      <c r="QK347" s="1047"/>
      <c r="QL347" s="1047"/>
      <c r="QM347" s="1047"/>
      <c r="QN347" s="1047"/>
      <c r="QO347" s="1047"/>
      <c r="QP347" s="1047"/>
      <c r="QQ347" s="1047"/>
      <c r="QR347" s="1047"/>
      <c r="QS347" s="1047"/>
      <c r="QT347" s="1047"/>
      <c r="QU347" s="1047"/>
      <c r="QV347" s="1047"/>
      <c r="QW347" s="1047"/>
      <c r="QX347" s="1047"/>
      <c r="QY347" s="1047"/>
      <c r="QZ347" s="1047"/>
      <c r="RA347" s="1047"/>
      <c r="RB347" s="1047"/>
      <c r="RC347" s="1047"/>
      <c r="RD347" s="1047"/>
      <c r="RE347" s="1047"/>
      <c r="RF347" s="1047"/>
      <c r="RG347" s="1047"/>
      <c r="RH347" s="1047"/>
      <c r="RI347" s="1047"/>
      <c r="RJ347" s="1047"/>
      <c r="RK347" s="1047"/>
      <c r="RL347" s="1047"/>
      <c r="RM347" s="1047"/>
      <c r="RN347" s="1047"/>
      <c r="RO347" s="1047"/>
      <c r="RP347" s="1047"/>
      <c r="RQ347" s="1047"/>
      <c r="RR347" s="1047"/>
      <c r="RS347" s="1047"/>
      <c r="RT347" s="1047"/>
      <c r="RU347" s="1047"/>
      <c r="RV347" s="1047"/>
      <c r="RW347" s="1047"/>
      <c r="RX347" s="1047"/>
      <c r="RY347" s="1047"/>
      <c r="RZ347" s="1047"/>
      <c r="SA347" s="1047"/>
      <c r="SB347" s="1047"/>
      <c r="SC347" s="1047"/>
      <c r="SD347" s="1047"/>
      <c r="SE347" s="1047"/>
      <c r="SF347" s="1047"/>
      <c r="SG347" s="1047"/>
      <c r="SH347" s="1047"/>
      <c r="SI347" s="1047"/>
      <c r="SJ347" s="1047"/>
      <c r="SK347" s="1047"/>
      <c r="SL347" s="1047"/>
      <c r="SM347" s="1047"/>
      <c r="SN347" s="1047"/>
      <c r="SO347" s="1047"/>
      <c r="SP347" s="1047"/>
      <c r="SQ347" s="1047"/>
      <c r="SR347" s="1047"/>
      <c r="SS347" s="1047"/>
      <c r="ST347" s="1047"/>
      <c r="SU347" s="1047"/>
      <c r="SV347" s="1047"/>
      <c r="SW347" s="1047"/>
      <c r="SX347" s="1047"/>
      <c r="SY347" s="1047"/>
      <c r="SZ347" s="1047"/>
      <c r="TA347" s="1047"/>
      <c r="TB347" s="1047"/>
      <c r="TC347" s="1047"/>
      <c r="TD347" s="1047"/>
      <c r="TE347" s="1047"/>
      <c r="TF347" s="1047"/>
      <c r="TG347" s="1047"/>
      <c r="TH347" s="1047"/>
      <c r="TI347" s="1047"/>
      <c r="TJ347" s="1047"/>
      <c r="TK347" s="1047"/>
      <c r="TL347" s="1047"/>
      <c r="TM347" s="1047"/>
      <c r="TN347" s="1047"/>
      <c r="TO347" s="1047"/>
      <c r="TP347" s="1047"/>
      <c r="TQ347" s="1047"/>
      <c r="TR347" s="1047"/>
      <c r="TS347" s="1047"/>
      <c r="TT347" s="1047"/>
      <c r="TU347" s="1047"/>
      <c r="TV347" s="1047"/>
      <c r="TW347" s="1047"/>
      <c r="TX347" s="1047"/>
      <c r="TY347" s="1047"/>
      <c r="TZ347" s="1047"/>
      <c r="UA347" s="1047"/>
      <c r="UB347" s="1047"/>
      <c r="UC347" s="1047"/>
      <c r="UD347" s="1047"/>
      <c r="UE347" s="1047"/>
      <c r="UF347" s="1047"/>
      <c r="UG347" s="1047"/>
      <c r="UH347" s="1047"/>
      <c r="UI347" s="1047"/>
      <c r="UJ347" s="1047"/>
      <c r="UK347" s="1047"/>
      <c r="UL347" s="1047"/>
      <c r="UM347" s="1047"/>
      <c r="UN347" s="1047"/>
      <c r="UO347" s="1047"/>
      <c r="UP347" s="1047"/>
      <c r="UQ347" s="1047"/>
      <c r="UR347" s="1047"/>
      <c r="US347" s="1047"/>
      <c r="UT347" s="1047"/>
      <c r="UU347" s="1047"/>
      <c r="UV347" s="1047"/>
      <c r="UW347" s="1047"/>
      <c r="UX347" s="1047"/>
      <c r="UY347" s="1047"/>
      <c r="UZ347" s="1047"/>
      <c r="VA347" s="1047"/>
      <c r="VB347" s="1047"/>
      <c r="VC347" s="1047"/>
      <c r="VD347" s="1047"/>
      <c r="VE347" s="1047"/>
      <c r="VF347" s="1047"/>
      <c r="VG347" s="1047"/>
      <c r="VH347" s="1047"/>
      <c r="VI347" s="1047"/>
      <c r="VJ347" s="1047"/>
      <c r="VK347" s="1047"/>
      <c r="VL347" s="1047"/>
      <c r="VM347" s="1047"/>
      <c r="VN347" s="1047"/>
      <c r="VO347" s="1047"/>
      <c r="VP347" s="1047"/>
      <c r="VQ347" s="1047"/>
      <c r="VR347" s="1047"/>
      <c r="VS347" s="1047"/>
      <c r="VT347" s="1047"/>
      <c r="VU347" s="1047"/>
      <c r="VV347" s="1047"/>
      <c r="VW347" s="1047"/>
      <c r="VX347" s="1047"/>
      <c r="VY347" s="1047"/>
      <c r="VZ347" s="1047"/>
      <c r="WA347" s="1047"/>
      <c r="WB347" s="1047"/>
      <c r="WC347" s="1047"/>
      <c r="WD347" s="1047"/>
      <c r="WE347" s="1047"/>
      <c r="WF347" s="1047"/>
      <c r="WG347" s="1047"/>
      <c r="WH347" s="1047"/>
      <c r="WI347" s="1047"/>
      <c r="WJ347" s="1047"/>
      <c r="WK347" s="1047"/>
      <c r="WL347" s="1047"/>
      <c r="WM347" s="1047"/>
      <c r="WN347" s="1047"/>
      <c r="WO347" s="1047"/>
      <c r="WP347" s="1047"/>
      <c r="WQ347" s="1047"/>
      <c r="WR347" s="1047"/>
      <c r="WS347" s="1047"/>
      <c r="WT347" s="1047"/>
      <c r="WU347" s="1047"/>
      <c r="WV347" s="1047"/>
      <c r="WW347" s="1047"/>
      <c r="WX347" s="1047"/>
      <c r="WY347" s="1047"/>
      <c r="WZ347" s="1047"/>
      <c r="XA347" s="1047">
        <v>-1.4860637151802987E-4</v>
      </c>
      <c r="XB347" s="1047">
        <v>-3.0210967686819577E-4</v>
      </c>
      <c r="XC347" s="1047">
        <v>-5.744110719326235E-3</v>
      </c>
      <c r="XD347" s="1047">
        <v>-5.1241962383371158E-3</v>
      </c>
      <c r="XE347" s="1047">
        <v>-5.3290773842741737E-5</v>
      </c>
      <c r="XF347" s="1047">
        <v>-2.6574381911131489E-4</v>
      </c>
      <c r="XG347" s="1047">
        <v>-5.7853118673912601E-2</v>
      </c>
      <c r="XH347" s="1047">
        <v>-1.6720530284551171E-3</v>
      </c>
      <c r="XI347" s="1047">
        <v>-2.6202373754756373E-2</v>
      </c>
      <c r="XJ347" s="1047">
        <v>-0.10660488359966074</v>
      </c>
      <c r="XK347" s="1047">
        <v>-1.1019354888630187E-5</v>
      </c>
      <c r="XL347" s="1047">
        <v>-0.11290332996689385</v>
      </c>
      <c r="XM347" s="1047">
        <v>-9.9471615389505927E-2</v>
      </c>
      <c r="XN347" s="1047">
        <v>-9.242158684441959E-2</v>
      </c>
      <c r="XO347" s="1047">
        <v>4.6792803075161349E-4</v>
      </c>
      <c r="XP347" s="1047">
        <v>-0.31997502560910168</v>
      </c>
      <c r="XQ347" s="1047">
        <v>8.113562280475899E-3</v>
      </c>
      <c r="XR347" s="1047">
        <v>-0.16501346559183069</v>
      </c>
      <c r="XS347" s="1047">
        <v>-4.836979853333509E-2</v>
      </c>
      <c r="XT347" s="1047">
        <v>-0.18103834206691241</v>
      </c>
      <c r="XU347" s="1047">
        <v>-0.23352845324590482</v>
      </c>
      <c r="XV347" s="1047">
        <v>-0.1677150128793147</v>
      </c>
      <c r="XW347" s="1047">
        <v>-0.31315016736883661</v>
      </c>
      <c r="XX347" s="1047">
        <v>-0.24952246213412299</v>
      </c>
      <c r="XY347" s="1047">
        <v>-3.4114127722421637E-2</v>
      </c>
      <c r="XZ347" s="1047">
        <v>-2.9054149901373054E-2</v>
      </c>
      <c r="YA347" s="1047">
        <v>-4.6100755817543429E-2</v>
      </c>
      <c r="YB347" s="1047">
        <v>-2.2399719952183973E-2</v>
      </c>
      <c r="YC347" s="1047">
        <v>-3.5697746018159213E-2</v>
      </c>
      <c r="YD347" s="1047">
        <v>-4.9775106481654056E-2</v>
      </c>
      <c r="YE347" s="1047">
        <v>-1.3186377659040308E-2</v>
      </c>
      <c r="YF347" s="1047">
        <v>-9.3169294136752033E-3</v>
      </c>
      <c r="YG347" s="1047">
        <v>-3.4515505509329157E-4</v>
      </c>
      <c r="YH347" s="1047">
        <v>-8.4202975803390843E-4</v>
      </c>
      <c r="YI347" s="1047">
        <v>-8.094606864952192E-5</v>
      </c>
      <c r="YJ347" s="1047">
        <v>-3.2172374879042014E-3</v>
      </c>
      <c r="YK347" s="1047">
        <v>-2.0507108597678896E-2</v>
      </c>
      <c r="YL347" s="1047">
        <v>-4.7925599751337554E-2</v>
      </c>
      <c r="YM347" s="1047">
        <v>-0.20468072357492809</v>
      </c>
      <c r="YN347" s="1047">
        <v>-0.11385374114984556</v>
      </c>
      <c r="YO347" s="1047">
        <v>1.8895433385438607</v>
      </c>
      <c r="YP347" s="1047">
        <v>1.7954178846889739</v>
      </c>
      <c r="YQ347" s="1047">
        <v>1.9999864844520807</v>
      </c>
      <c r="YR347" s="1047">
        <v>1.9999643333019439</v>
      </c>
      <c r="YS347" s="1047">
        <v>1.9999482240015272</v>
      </c>
      <c r="YT347" s="1047">
        <v>1.9666096270736444</v>
      </c>
      <c r="YU347" s="1047">
        <v>0.51693815807767807</v>
      </c>
      <c r="YV347" s="1047">
        <v>1.7342247181303569</v>
      </c>
      <c r="YW347" s="1047">
        <v>0.35546215983045459</v>
      </c>
      <c r="YX347" s="1047">
        <v>0.19996177479149704</v>
      </c>
      <c r="YY347" s="1047">
        <v>0.82116680141248466</v>
      </c>
      <c r="YZ347" s="1047">
        <v>0.11718507291144874</v>
      </c>
      <c r="ZA347" s="1047">
        <v>0.14381536077548668</v>
      </c>
      <c r="ZB347" s="1047">
        <v>0.10875858267420664</v>
      </c>
      <c r="ZC347" s="1047">
        <v>1.1296401419893401E-3</v>
      </c>
      <c r="ZD347" s="1047">
        <v>0.1065359630408871</v>
      </c>
      <c r="ZE347" s="1047">
        <v>-0.28979213741964072</v>
      </c>
      <c r="ZF347" s="1047">
        <v>-0.32738330526363291</v>
      </c>
      <c r="ZG347" s="1047">
        <v>-0.2616541110064759</v>
      </c>
      <c r="ZH347" s="1047">
        <v>-0.36795452785171223</v>
      </c>
      <c r="ZI347" s="1047">
        <v>-0.42257287579212394</v>
      </c>
      <c r="ZJ347" s="1047">
        <v>-0.40012665302801098</v>
      </c>
      <c r="ZK347" s="1047">
        <v>-0.49191627114618491</v>
      </c>
      <c r="ZL347" s="1047">
        <v>-0.46355721528139815</v>
      </c>
      <c r="ZM347" s="1047">
        <v>-1.1594503653308735E-5</v>
      </c>
      <c r="ZN347" s="1047">
        <v>-1.0807211719966686E-5</v>
      </c>
      <c r="ZO347" s="1047">
        <v>-1.0585154972546258E-5</v>
      </c>
      <c r="ZP347" s="1047">
        <v>-1.0903529325941547E-5</v>
      </c>
      <c r="ZQ347" s="1047">
        <v>-1.024199859390511E-5</v>
      </c>
      <c r="ZR347" s="1047">
        <v>-6.5508667795718587E-4</v>
      </c>
      <c r="ZS347" s="1047">
        <v>-7.8372432012176435E-4</v>
      </c>
      <c r="ZT347" s="1047">
        <v>-1.2584064574200096E-5</v>
      </c>
      <c r="ZU347" s="1047">
        <v>-2.8200267442275141E-5</v>
      </c>
      <c r="ZV347" s="1047">
        <v>1.9503274690033421</v>
      </c>
      <c r="ZW347" s="1047">
        <v>-1.4498589227410463E-2</v>
      </c>
      <c r="ZX347" s="1047">
        <v>-1.2925099359292948E-3</v>
      </c>
      <c r="ZY347" s="1047">
        <v>-6.2801508217810701E-5</v>
      </c>
      <c r="ZZ347" s="1047">
        <v>-2.4365726441615081E-5</v>
      </c>
      <c r="AAA347" s="1047">
        <v>-6.875246623737212E-2</v>
      </c>
      <c r="AAB347" s="1047">
        <v>-3.4978496379164758E-5</v>
      </c>
      <c r="AAC347" s="1047">
        <v>-1.7306177894195116E-3</v>
      </c>
      <c r="AAD347" s="1047">
        <v>-2.4532613412242945E-3</v>
      </c>
      <c r="AAE347" s="1047">
        <v>-1.179957272432859E-2</v>
      </c>
      <c r="AAF347" s="1047">
        <v>-2.5331340600822875E-3</v>
      </c>
      <c r="AAG347" s="1047">
        <v>-3.044385393810075E-2</v>
      </c>
      <c r="AAH347" s="1047">
        <v>-4.9737563711179872E-3</v>
      </c>
      <c r="AAI347" s="1047">
        <v>-0.19324432688438123</v>
      </c>
      <c r="AAJ347" s="1047">
        <v>-0.13472883253162732</v>
      </c>
      <c r="AAK347" s="1063"/>
    </row>
    <row r="348" spans="2:713" hidden="1">
      <c r="B348" s="1023" t="s">
        <v>1866</v>
      </c>
      <c r="C348" s="723"/>
      <c r="D348" s="999"/>
      <c r="E348" s="1068" t="s">
        <v>1855</v>
      </c>
      <c r="F348" s="534"/>
      <c r="G348" s="534" t="s">
        <v>68</v>
      </c>
      <c r="H348" s="534"/>
      <c r="I348" s="1047"/>
      <c r="J348" s="1047"/>
      <c r="K348" s="1047"/>
      <c r="L348" s="1047"/>
      <c r="M348" s="1047"/>
      <c r="N348" s="1047"/>
      <c r="O348" s="1047"/>
      <c r="P348" s="1047"/>
      <c r="Q348" s="1047"/>
      <c r="R348" s="1047"/>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c r="AS348" s="1047"/>
      <c r="AT348" s="1047"/>
      <c r="AU348" s="1047"/>
      <c r="AV348" s="1047"/>
      <c r="AW348" s="1047"/>
      <c r="AX348" s="1047"/>
      <c r="AY348" s="1047"/>
      <c r="AZ348" s="1047"/>
      <c r="BA348" s="1047"/>
      <c r="BB348" s="1047"/>
      <c r="BC348" s="1047"/>
      <c r="BD348" s="1047"/>
      <c r="BE348" s="1047"/>
      <c r="BF348" s="1047"/>
      <c r="BG348" s="1047"/>
      <c r="BH348" s="1047"/>
      <c r="BI348" s="1047"/>
      <c r="BJ348" s="1047"/>
      <c r="BK348" s="1047"/>
      <c r="BL348" s="1047"/>
      <c r="BM348" s="1047"/>
      <c r="BN348" s="1047"/>
      <c r="BO348" s="1047"/>
      <c r="BP348" s="1047"/>
      <c r="BQ348" s="1047"/>
      <c r="BR348" s="1047"/>
      <c r="BS348" s="1047"/>
      <c r="BT348" s="1047"/>
      <c r="BU348" s="1047"/>
      <c r="BV348" s="1047"/>
      <c r="BW348" s="1047"/>
      <c r="BX348" s="1047"/>
      <c r="BY348" s="1047"/>
      <c r="BZ348" s="1047"/>
      <c r="CA348" s="1047"/>
      <c r="CB348" s="1047"/>
      <c r="CC348" s="1047"/>
      <c r="CD348" s="1047"/>
      <c r="CE348" s="1047"/>
      <c r="CF348" s="1047"/>
      <c r="CG348" s="1047"/>
      <c r="CH348" s="1047"/>
      <c r="CI348" s="1047"/>
      <c r="CJ348" s="1047"/>
      <c r="CK348" s="1047"/>
      <c r="CL348" s="1047"/>
      <c r="CM348" s="1047"/>
      <c r="CN348" s="1047"/>
      <c r="CO348" s="1047"/>
      <c r="CP348" s="1047"/>
      <c r="CQ348" s="1047"/>
      <c r="CR348" s="1047"/>
      <c r="CS348" s="1047"/>
      <c r="CT348" s="1047"/>
      <c r="CU348" s="1047"/>
      <c r="CV348" s="1047"/>
      <c r="CW348" s="1047"/>
      <c r="CX348" s="1047"/>
      <c r="CY348" s="1047"/>
      <c r="CZ348" s="1047"/>
      <c r="DA348" s="1047"/>
      <c r="DB348" s="1047"/>
      <c r="DC348" s="1047"/>
      <c r="DD348" s="1047"/>
      <c r="DE348" s="1047"/>
      <c r="DF348" s="1047"/>
      <c r="DG348" s="1047"/>
      <c r="DH348" s="1047"/>
      <c r="DI348" s="1047"/>
      <c r="DJ348" s="1047"/>
      <c r="DK348" s="1047"/>
      <c r="DL348" s="1047"/>
      <c r="DM348" s="1047"/>
      <c r="DN348" s="1047"/>
      <c r="DO348" s="1047"/>
      <c r="DP348" s="1047"/>
      <c r="DQ348" s="1047"/>
      <c r="DR348" s="1047"/>
      <c r="DS348" s="1047"/>
      <c r="DT348" s="1047"/>
      <c r="DU348" s="1047"/>
      <c r="DV348" s="1047"/>
      <c r="DW348" s="1047"/>
      <c r="DX348" s="1047"/>
      <c r="DY348" s="1047"/>
      <c r="DZ348" s="1047"/>
      <c r="EA348" s="1047"/>
      <c r="EB348" s="1047"/>
      <c r="EC348" s="1047"/>
      <c r="ED348" s="1047"/>
      <c r="EE348" s="1047"/>
      <c r="EF348" s="1047"/>
      <c r="EG348" s="1047"/>
      <c r="EH348" s="1047"/>
      <c r="EI348" s="1047"/>
      <c r="EJ348" s="1047"/>
      <c r="EK348" s="1047"/>
      <c r="EL348" s="1047"/>
      <c r="EM348" s="1047"/>
      <c r="EN348" s="1047"/>
      <c r="EO348" s="1047"/>
      <c r="EP348" s="1047"/>
      <c r="EQ348" s="1047"/>
      <c r="ER348" s="1047"/>
      <c r="ES348" s="1047"/>
      <c r="ET348" s="1047"/>
      <c r="EU348" s="1047"/>
      <c r="EV348" s="1047"/>
      <c r="EW348" s="1047"/>
      <c r="EX348" s="1047"/>
      <c r="EY348" s="1047"/>
      <c r="EZ348" s="1047"/>
      <c r="FA348" s="1047"/>
      <c r="FB348" s="1047"/>
      <c r="FC348" s="1047"/>
      <c r="FD348" s="1047"/>
      <c r="FE348" s="1047"/>
      <c r="FF348" s="1047"/>
      <c r="FG348" s="1047"/>
      <c r="FH348" s="1047"/>
      <c r="FI348" s="1047"/>
      <c r="FJ348" s="1047"/>
      <c r="FK348" s="1047"/>
      <c r="FL348" s="1047"/>
      <c r="FM348" s="1047"/>
      <c r="FN348" s="1047"/>
      <c r="FO348" s="1047"/>
      <c r="FP348" s="1047"/>
      <c r="FQ348" s="1047"/>
      <c r="FR348" s="1047"/>
      <c r="FS348" s="1047"/>
      <c r="FT348" s="1047"/>
      <c r="FU348" s="1047"/>
      <c r="FV348" s="1047"/>
      <c r="FW348" s="1047"/>
      <c r="FX348" s="1047"/>
      <c r="FY348" s="1047"/>
      <c r="FZ348" s="1047"/>
      <c r="GA348" s="1047"/>
      <c r="GB348" s="1047"/>
      <c r="GC348" s="1047"/>
      <c r="GD348" s="1047"/>
      <c r="GE348" s="1047"/>
      <c r="GF348" s="1047"/>
      <c r="GG348" s="1047"/>
      <c r="GH348" s="1047"/>
      <c r="GI348" s="1047"/>
      <c r="GJ348" s="1047"/>
      <c r="GK348" s="1047"/>
      <c r="GL348" s="1047"/>
      <c r="GM348" s="1047"/>
      <c r="GN348" s="1047"/>
      <c r="GO348" s="1047"/>
      <c r="GP348" s="1047"/>
      <c r="GQ348" s="1047"/>
      <c r="GR348" s="1047"/>
      <c r="GS348" s="1047"/>
      <c r="GT348" s="1047"/>
      <c r="GU348" s="1047"/>
      <c r="GV348" s="1047"/>
      <c r="GW348" s="1047"/>
      <c r="GX348" s="1047"/>
      <c r="GY348" s="1047"/>
      <c r="GZ348" s="1047"/>
      <c r="HA348" s="1047"/>
      <c r="HB348" s="1047"/>
      <c r="HC348" s="1047"/>
      <c r="HD348" s="1047"/>
      <c r="HE348" s="1047"/>
      <c r="HF348" s="1047"/>
      <c r="HG348" s="1047"/>
      <c r="HH348" s="1047"/>
      <c r="HI348" s="1047"/>
      <c r="HJ348" s="1047"/>
      <c r="HK348" s="1047"/>
      <c r="HL348" s="1047"/>
      <c r="HM348" s="1047"/>
      <c r="HN348" s="1047"/>
      <c r="HO348" s="1047"/>
      <c r="HP348" s="1047"/>
      <c r="HQ348" s="1047"/>
      <c r="HR348" s="1047"/>
      <c r="HS348" s="1047"/>
      <c r="HT348" s="1047"/>
      <c r="HU348" s="1047"/>
      <c r="HV348" s="1047"/>
      <c r="HW348" s="1047"/>
      <c r="HX348" s="1047"/>
      <c r="HY348" s="1047"/>
      <c r="HZ348" s="1047"/>
      <c r="IA348" s="1047"/>
      <c r="IB348" s="1047"/>
      <c r="IC348" s="1047"/>
      <c r="ID348" s="1047"/>
      <c r="IE348" s="1047"/>
      <c r="IF348" s="1047"/>
      <c r="IG348" s="1047"/>
      <c r="IH348" s="1047"/>
      <c r="II348" s="1047"/>
      <c r="IJ348" s="1047"/>
      <c r="IK348" s="1047"/>
      <c r="IL348" s="1047"/>
      <c r="IM348" s="1047"/>
      <c r="IN348" s="1047"/>
      <c r="IO348" s="1047"/>
      <c r="IP348" s="1047"/>
      <c r="IQ348" s="1047"/>
      <c r="IR348" s="1047"/>
      <c r="IS348" s="1047"/>
      <c r="IT348" s="1047"/>
      <c r="IU348" s="1047"/>
      <c r="IV348" s="1047"/>
      <c r="IW348" s="1047"/>
      <c r="IX348" s="1047"/>
      <c r="IY348" s="1047"/>
      <c r="IZ348" s="1047"/>
      <c r="JA348" s="1047"/>
      <c r="JB348" s="1047"/>
      <c r="JC348" s="1047"/>
      <c r="JD348" s="1047"/>
      <c r="JE348" s="1047"/>
      <c r="JF348" s="1047"/>
      <c r="JG348" s="1047"/>
      <c r="JH348" s="1047"/>
      <c r="JI348" s="1047"/>
      <c r="JJ348" s="1047"/>
      <c r="JK348" s="1047"/>
      <c r="JL348" s="1047"/>
      <c r="JM348" s="1047">
        <v>1.4859250256372221</v>
      </c>
      <c r="JN348" s="1047">
        <v>1.3962406168750665</v>
      </c>
      <c r="JO348" s="1047">
        <v>1.5707892584583818</v>
      </c>
      <c r="JP348" s="1047">
        <v>1.3113971178912536</v>
      </c>
      <c r="JQ348" s="1047">
        <v>1.3366390220056326</v>
      </c>
      <c r="JR348" s="1047">
        <v>1.2252943628310522</v>
      </c>
      <c r="JS348" s="1047">
        <v>1.0999285894558508</v>
      </c>
      <c r="JT348" s="1047">
        <v>1.1877524713492522</v>
      </c>
      <c r="JU348" s="1047">
        <v>0.10701104142771732</v>
      </c>
      <c r="JV348" s="1047">
        <v>0.30272396798405127</v>
      </c>
      <c r="JW348" s="1047">
        <v>0.70108649793357658</v>
      </c>
      <c r="JX348" s="1047">
        <v>0.32653247367355681</v>
      </c>
      <c r="JY348" s="1047">
        <v>0.26966754618641825</v>
      </c>
      <c r="JZ348" s="1047">
        <v>0.35492014301109648</v>
      </c>
      <c r="KA348" s="1047">
        <v>0.21866524459346856</v>
      </c>
      <c r="KB348" s="1047">
        <v>0.31118957780441525</v>
      </c>
      <c r="KC348" s="1047">
        <v>1.3906500464496216E-2</v>
      </c>
      <c r="KD348" s="1047">
        <v>1.9331708007179938E-3</v>
      </c>
      <c r="KE348" s="1047">
        <v>9.7944917473746437E-4</v>
      </c>
      <c r="KF348" s="1047">
        <v>4.2042098008393848E-2</v>
      </c>
      <c r="KG348" s="1047">
        <v>0.20356774540594505</v>
      </c>
      <c r="KH348" s="1047">
        <v>3.2115333214729647E-2</v>
      </c>
      <c r="KI348" s="1047">
        <v>9.7290947656794621E-2</v>
      </c>
      <c r="KJ348" s="1047">
        <v>0.16815452120464347</v>
      </c>
      <c r="KK348" s="1047">
        <v>0.72632525623200506</v>
      </c>
      <c r="KL348" s="1047">
        <v>0.69480681006766387</v>
      </c>
      <c r="KM348" s="1047">
        <v>0.67204816675888657</v>
      </c>
      <c r="KN348" s="1047">
        <v>0.6960739228811772</v>
      </c>
      <c r="KO348" s="1047">
        <v>0.74810342542380692</v>
      </c>
      <c r="KP348" s="1047">
        <v>0.71790992320946134</v>
      </c>
      <c r="KQ348" s="1047">
        <v>0.32565265112015201</v>
      </c>
      <c r="KR348" s="1047">
        <v>0.57427443309741211</v>
      </c>
      <c r="KS348" s="1047">
        <v>1.1842690825544708E-3</v>
      </c>
      <c r="KT348" s="1047">
        <v>6.8453855718764005E-4</v>
      </c>
      <c r="KU348" s="1047">
        <v>6.2677903401533238E-4</v>
      </c>
      <c r="KV348" s="1047">
        <v>1.1209318457743578E-3</v>
      </c>
      <c r="KW348" s="1047">
        <v>8.0541813363150258E-4</v>
      </c>
      <c r="KX348" s="1047">
        <v>1.0873718118860872E-3</v>
      </c>
      <c r="KY348" s="1047">
        <v>1.3927975734899501E-3</v>
      </c>
      <c r="KZ348" s="1047">
        <v>9.7097105725944973E-4</v>
      </c>
      <c r="LA348" s="1047">
        <v>0.85919047147505767</v>
      </c>
      <c r="LB348" s="1047">
        <v>0.44117179965055281</v>
      </c>
      <c r="LC348" s="1047">
        <v>0.66453882060772096</v>
      </c>
      <c r="LD348" s="1047">
        <v>0.54424379175092674</v>
      </c>
      <c r="LE348" s="1047">
        <v>0.70012111740353022</v>
      </c>
      <c r="LF348" s="1047">
        <v>1.0942127551623377</v>
      </c>
      <c r="LG348" s="1047">
        <v>-0.22386154209077849</v>
      </c>
      <c r="LH348" s="1047">
        <v>-0.73988804517099893</v>
      </c>
      <c r="LI348" s="1047">
        <v>1.02507396066433</v>
      </c>
      <c r="LJ348" s="1047">
        <v>0.98797537552299786</v>
      </c>
      <c r="LK348" s="1047">
        <v>0.95469387837167541</v>
      </c>
      <c r="LL348" s="1047">
        <v>0.95592914360547376</v>
      </c>
      <c r="LM348" s="1047">
        <v>0.96861182256411626</v>
      </c>
      <c r="LN348" s="1047">
        <v>0.93670541909456972</v>
      </c>
      <c r="LO348" s="1047">
        <v>0.82328189690990794</v>
      </c>
      <c r="LP348" s="1047">
        <v>0.86047527478289754</v>
      </c>
      <c r="LQ348" s="1047">
        <v>1.0775615436815016</v>
      </c>
      <c r="LR348" s="1047">
        <v>1.089265432252146</v>
      </c>
      <c r="LS348" s="1047">
        <v>1.0997451302485963</v>
      </c>
      <c r="LT348" s="1047">
        <v>1.1121907254225516</v>
      </c>
      <c r="LU348" s="1047">
        <v>1.1179185245357444</v>
      </c>
      <c r="LV348" s="1047">
        <v>1.0844406640287949</v>
      </c>
      <c r="LW348" s="1047">
        <v>1.1204672161991904</v>
      </c>
      <c r="LX348" s="1047">
        <v>1.0866455906312964</v>
      </c>
      <c r="LY348" s="1047">
        <v>0.99113895950425202</v>
      </c>
      <c r="LZ348" s="1047">
        <v>1.3746229359619995</v>
      </c>
      <c r="MA348" s="1047">
        <v>1.4299121180616634</v>
      </c>
      <c r="MB348" s="1047">
        <v>0.8669280480331869</v>
      </c>
      <c r="MC348" s="1047">
        <v>1.4144347615226118</v>
      </c>
      <c r="MD348" s="1047">
        <v>1.3603709912336364</v>
      </c>
      <c r="ME348" s="1047">
        <v>1.1888067122915367</v>
      </c>
      <c r="MF348" s="1047">
        <v>1.3564343132382271</v>
      </c>
      <c r="MG348" s="1047">
        <v>5.2352259840030479E-3</v>
      </c>
      <c r="MH348" s="1047">
        <v>3.982619339223779E-3</v>
      </c>
      <c r="MI348" s="1047">
        <v>0.5206021024521208</v>
      </c>
      <c r="MJ348" s="1047">
        <v>8.5967354265728713E-2</v>
      </c>
      <c r="MK348" s="1047">
        <v>1.5612977250040176</v>
      </c>
      <c r="ML348" s="1047">
        <v>1.9999855120349581</v>
      </c>
      <c r="MM348" s="1047">
        <v>6.7269690146370183E-3</v>
      </c>
      <c r="MN348" s="1047">
        <v>2.9112388799890667E-2</v>
      </c>
      <c r="MO348" s="1047">
        <v>0.2202218597550297</v>
      </c>
      <c r="MP348" s="1047">
        <v>9.164639697129974E-2</v>
      </c>
      <c r="MQ348" s="1047">
        <v>0.14573713650659106</v>
      </c>
      <c r="MR348" s="1047">
        <v>0.21439540915666361</v>
      </c>
      <c r="MS348" s="1047">
        <v>0.2325646100127946</v>
      </c>
      <c r="MT348" s="1047">
        <v>4.9446809270169166E-2</v>
      </c>
      <c r="MU348" s="1047">
        <v>3.076274235036585E-2</v>
      </c>
      <c r="MV348" s="1047">
        <v>0.2330065573616206</v>
      </c>
      <c r="MW348" s="1047"/>
      <c r="MX348" s="1047"/>
      <c r="MY348" s="1047"/>
      <c r="MZ348" s="1047"/>
      <c r="NA348" s="1047"/>
      <c r="NB348" s="1047"/>
      <c r="NC348" s="1047"/>
      <c r="ND348" s="1047"/>
      <c r="NE348" s="1047"/>
      <c r="NF348" s="1047"/>
      <c r="NG348" s="1047"/>
      <c r="NH348" s="1047"/>
      <c r="NI348" s="1047"/>
      <c r="NJ348" s="1047"/>
      <c r="NK348" s="1047"/>
      <c r="NL348" s="1047"/>
      <c r="NM348" s="1047"/>
      <c r="NN348" s="1047"/>
      <c r="NO348" s="1047"/>
      <c r="NP348" s="1047"/>
      <c r="NQ348" s="1047"/>
      <c r="NR348" s="1047"/>
      <c r="NS348" s="1047"/>
      <c r="NT348" s="1047"/>
      <c r="NU348" s="1047"/>
      <c r="NV348" s="1047"/>
      <c r="NW348" s="1047"/>
      <c r="NX348" s="1047"/>
      <c r="NY348" s="1047"/>
      <c r="NZ348" s="1047"/>
      <c r="OA348" s="1047"/>
      <c r="OB348" s="1047"/>
      <c r="OC348" s="1047"/>
      <c r="OD348" s="1047"/>
      <c r="OE348" s="1047"/>
      <c r="OF348" s="1047"/>
      <c r="OG348" s="1047"/>
      <c r="OH348" s="1047"/>
      <c r="OI348" s="1047"/>
      <c r="OJ348" s="1047"/>
      <c r="OK348" s="1047"/>
      <c r="OL348" s="1047"/>
      <c r="OM348" s="1047"/>
      <c r="ON348" s="1047"/>
      <c r="OO348" s="1047"/>
      <c r="OP348" s="1047"/>
      <c r="OQ348" s="1047"/>
      <c r="OR348" s="1047"/>
      <c r="OS348" s="1047"/>
      <c r="OT348" s="1047"/>
      <c r="OU348" s="1047"/>
      <c r="OV348" s="1047"/>
      <c r="OW348" s="1047"/>
      <c r="OX348" s="1047"/>
      <c r="OY348" s="1047"/>
      <c r="OZ348" s="1047"/>
      <c r="PA348" s="1047"/>
      <c r="PB348" s="1047"/>
      <c r="PC348" s="1047"/>
      <c r="PD348" s="1047"/>
      <c r="PE348" s="1047"/>
      <c r="PF348" s="1047"/>
      <c r="PG348" s="1047"/>
      <c r="PH348" s="1047"/>
      <c r="PI348" s="1047"/>
      <c r="PJ348" s="1047"/>
      <c r="PK348" s="1047"/>
      <c r="PL348" s="1047"/>
      <c r="PM348" s="1047"/>
      <c r="PN348" s="1047"/>
      <c r="PO348" s="1047"/>
      <c r="PP348" s="1047"/>
      <c r="PQ348" s="1047"/>
      <c r="PR348" s="1047"/>
      <c r="PS348" s="1047"/>
      <c r="PT348" s="1047"/>
      <c r="PU348" s="1047"/>
      <c r="PV348" s="1047"/>
      <c r="PW348" s="1047"/>
      <c r="PX348" s="1047"/>
      <c r="PY348" s="1047"/>
      <c r="PZ348" s="1047"/>
      <c r="QA348" s="1047"/>
      <c r="QB348" s="1047"/>
      <c r="QC348" s="1047"/>
      <c r="QD348" s="1047"/>
      <c r="QE348" s="1047"/>
      <c r="QF348" s="1047"/>
      <c r="QG348" s="1047"/>
      <c r="QH348" s="1047"/>
      <c r="QI348" s="1047"/>
      <c r="QJ348" s="1047"/>
      <c r="QK348" s="1047"/>
      <c r="QL348" s="1047"/>
      <c r="QM348" s="1047"/>
      <c r="QN348" s="1047"/>
      <c r="QO348" s="1047"/>
      <c r="QP348" s="1047"/>
      <c r="QQ348" s="1047"/>
      <c r="QR348" s="1047"/>
      <c r="QS348" s="1047"/>
      <c r="QT348" s="1047"/>
      <c r="QU348" s="1047"/>
      <c r="QV348" s="1047"/>
      <c r="QW348" s="1047"/>
      <c r="QX348" s="1047"/>
      <c r="QY348" s="1047"/>
      <c r="QZ348" s="1047"/>
      <c r="RA348" s="1047"/>
      <c r="RB348" s="1047"/>
      <c r="RC348" s="1047"/>
      <c r="RD348" s="1047"/>
      <c r="RE348" s="1047"/>
      <c r="RF348" s="1047"/>
      <c r="RG348" s="1047"/>
      <c r="RH348" s="1047"/>
      <c r="RI348" s="1047"/>
      <c r="RJ348" s="1047"/>
      <c r="RK348" s="1047"/>
      <c r="RL348" s="1047"/>
      <c r="RM348" s="1047"/>
      <c r="RN348" s="1047"/>
      <c r="RO348" s="1047"/>
      <c r="RP348" s="1047"/>
      <c r="RQ348" s="1047"/>
      <c r="RR348" s="1047"/>
      <c r="RS348" s="1047"/>
      <c r="RT348" s="1047"/>
      <c r="RU348" s="1047"/>
      <c r="RV348" s="1047"/>
      <c r="RW348" s="1047"/>
      <c r="RX348" s="1047"/>
      <c r="RY348" s="1047"/>
      <c r="RZ348" s="1047"/>
      <c r="SA348" s="1047"/>
      <c r="SB348" s="1047"/>
      <c r="SC348" s="1047"/>
      <c r="SD348" s="1047"/>
      <c r="SE348" s="1047"/>
      <c r="SF348" s="1047"/>
      <c r="SG348" s="1047"/>
      <c r="SH348" s="1047"/>
      <c r="SI348" s="1047"/>
      <c r="SJ348" s="1047"/>
      <c r="SK348" s="1047"/>
      <c r="SL348" s="1047"/>
      <c r="SM348" s="1047"/>
      <c r="SN348" s="1047"/>
      <c r="SO348" s="1047"/>
      <c r="SP348" s="1047"/>
      <c r="SQ348" s="1047"/>
      <c r="SR348" s="1047"/>
      <c r="SS348" s="1047"/>
      <c r="ST348" s="1047"/>
      <c r="SU348" s="1047"/>
      <c r="SV348" s="1047"/>
      <c r="SW348" s="1047"/>
      <c r="SX348" s="1047"/>
      <c r="SY348" s="1047"/>
      <c r="SZ348" s="1047"/>
      <c r="TA348" s="1047"/>
      <c r="TB348" s="1047"/>
      <c r="TC348" s="1047"/>
      <c r="TD348" s="1047"/>
      <c r="TE348" s="1047"/>
      <c r="TF348" s="1047"/>
      <c r="TG348" s="1047"/>
      <c r="TH348" s="1047"/>
      <c r="TI348" s="1047"/>
      <c r="TJ348" s="1047"/>
      <c r="TK348" s="1047"/>
      <c r="TL348" s="1047"/>
      <c r="TM348" s="1047"/>
      <c r="TN348" s="1047"/>
      <c r="TO348" s="1047"/>
      <c r="TP348" s="1047"/>
      <c r="TQ348" s="1047"/>
      <c r="TR348" s="1047"/>
      <c r="TS348" s="1047"/>
      <c r="TT348" s="1047"/>
      <c r="TU348" s="1047"/>
      <c r="TV348" s="1047"/>
      <c r="TW348" s="1047"/>
      <c r="TX348" s="1047"/>
      <c r="TY348" s="1047"/>
      <c r="TZ348" s="1047"/>
      <c r="UA348" s="1047"/>
      <c r="UB348" s="1047"/>
      <c r="UC348" s="1047"/>
      <c r="UD348" s="1047"/>
      <c r="UE348" s="1047"/>
      <c r="UF348" s="1047"/>
      <c r="UG348" s="1047"/>
      <c r="UH348" s="1047"/>
      <c r="UI348" s="1047"/>
      <c r="UJ348" s="1047"/>
      <c r="UK348" s="1047"/>
      <c r="UL348" s="1047"/>
      <c r="UM348" s="1047"/>
      <c r="UN348" s="1047"/>
      <c r="UO348" s="1047"/>
      <c r="UP348" s="1047"/>
      <c r="UQ348" s="1047"/>
      <c r="UR348" s="1047"/>
      <c r="US348" s="1047"/>
      <c r="UT348" s="1047"/>
      <c r="UU348" s="1047"/>
      <c r="UV348" s="1047"/>
      <c r="UW348" s="1047"/>
      <c r="UX348" s="1047"/>
      <c r="UY348" s="1047"/>
      <c r="UZ348" s="1047"/>
      <c r="VA348" s="1047"/>
      <c r="VB348" s="1047"/>
      <c r="VC348" s="1047"/>
      <c r="VD348" s="1047"/>
      <c r="VE348" s="1047"/>
      <c r="VF348" s="1047"/>
      <c r="VG348" s="1047"/>
      <c r="VH348" s="1047"/>
      <c r="VI348" s="1047"/>
      <c r="VJ348" s="1047"/>
      <c r="VK348" s="1047"/>
      <c r="VL348" s="1047"/>
      <c r="VM348" s="1047"/>
      <c r="VN348" s="1047"/>
      <c r="VO348" s="1047"/>
      <c r="VP348" s="1047"/>
      <c r="VQ348" s="1047"/>
      <c r="VR348" s="1047"/>
      <c r="VS348" s="1047"/>
      <c r="VT348" s="1047"/>
      <c r="VU348" s="1047"/>
      <c r="VV348" s="1047"/>
      <c r="VW348" s="1047"/>
      <c r="VX348" s="1047"/>
      <c r="VY348" s="1047"/>
      <c r="VZ348" s="1047"/>
      <c r="WA348" s="1047"/>
      <c r="WB348" s="1047"/>
      <c r="WC348" s="1047"/>
      <c r="WD348" s="1047"/>
      <c r="WE348" s="1047"/>
      <c r="WF348" s="1047"/>
      <c r="WG348" s="1047"/>
      <c r="WH348" s="1047"/>
      <c r="WI348" s="1047"/>
      <c r="WJ348" s="1047"/>
      <c r="WK348" s="1047"/>
      <c r="WL348" s="1047"/>
      <c r="WM348" s="1047"/>
      <c r="WN348" s="1047"/>
      <c r="WO348" s="1047"/>
      <c r="WP348" s="1047"/>
      <c r="WQ348" s="1047"/>
      <c r="WR348" s="1047"/>
      <c r="WS348" s="1047"/>
      <c r="WT348" s="1047"/>
      <c r="WU348" s="1047"/>
      <c r="WV348" s="1047"/>
      <c r="WW348" s="1047"/>
      <c r="WX348" s="1047"/>
      <c r="WY348" s="1047"/>
      <c r="WZ348" s="1047"/>
      <c r="XA348" s="1047">
        <v>1.253858715871299</v>
      </c>
      <c r="XB348" s="1047">
        <v>1.2761838511001466</v>
      </c>
      <c r="XC348" s="1047">
        <v>1.2991593991805888</v>
      </c>
      <c r="XD348" s="1047">
        <v>1.2626959249358054</v>
      </c>
      <c r="XE348" s="1047">
        <v>1.2113724319739947</v>
      </c>
      <c r="XF348" s="1047">
        <v>1.2700707018805495</v>
      </c>
      <c r="XG348" s="1047">
        <v>1.2349136566350933</v>
      </c>
      <c r="XH348" s="1047">
        <v>1.2308870035806492</v>
      </c>
      <c r="XI348" s="1047">
        <v>1.3467965279079344</v>
      </c>
      <c r="XJ348" s="1047">
        <v>-1.9999963040925262</v>
      </c>
      <c r="XK348" s="1047">
        <v>1.3437044974976458</v>
      </c>
      <c r="XL348" s="1047">
        <v>-0.35284359717243852</v>
      </c>
      <c r="XM348" s="1047">
        <v>5.0283917409192469E-2</v>
      </c>
      <c r="XN348" s="1047">
        <v>0.30622417808194224</v>
      </c>
      <c r="XO348" s="1047">
        <v>0.14136763385112333</v>
      </c>
      <c r="XP348" s="1047">
        <v>0.28323499209389036</v>
      </c>
      <c r="XQ348" s="1047">
        <v>9.6873338265300417E-3</v>
      </c>
      <c r="XR348" s="1047">
        <v>2.586494215875413E-2</v>
      </c>
      <c r="XS348" s="1047">
        <v>3.4020494128841262E-2</v>
      </c>
      <c r="XT348" s="1047">
        <v>0.1685809372500342</v>
      </c>
      <c r="XU348" s="1047">
        <v>2.3478527316067387E-2</v>
      </c>
      <c r="XV348" s="1047">
        <v>1.0647013906488697E-2</v>
      </c>
      <c r="XW348" s="1047">
        <v>4.270784563989076E-2</v>
      </c>
      <c r="XX348" s="1047">
        <v>7.495473612475971E-2</v>
      </c>
      <c r="XY348" s="1047">
        <v>0.83994088405532441</v>
      </c>
      <c r="XZ348" s="1047">
        <v>0.71771181228877334</v>
      </c>
      <c r="YA348" s="1047">
        <v>0.81562467176214815</v>
      </c>
      <c r="YB348" s="1047">
        <v>1.0045894084377116</v>
      </c>
      <c r="YC348" s="1047">
        <v>0.74817035580167701</v>
      </c>
      <c r="YD348" s="1047">
        <v>0.57762407402931581</v>
      </c>
      <c r="YE348" s="1047">
        <v>0.29213917874600104</v>
      </c>
      <c r="YF348" s="1047">
        <v>0.22003971478436463</v>
      </c>
      <c r="YG348" s="1047">
        <v>7.0916895021116587E-4</v>
      </c>
      <c r="YH348" s="1047">
        <v>7.7695778697556967E-4</v>
      </c>
      <c r="YI348" s="1047">
        <v>4.23957617259518E-4</v>
      </c>
      <c r="YJ348" s="1047">
        <v>9.1334038713883456E-4</v>
      </c>
      <c r="YK348" s="1047">
        <v>1.0743568365366323E-3</v>
      </c>
      <c r="YL348" s="1047">
        <v>1.7916658813549296E-3</v>
      </c>
      <c r="YM348" s="1047">
        <v>1.0644251104136005E-3</v>
      </c>
      <c r="YN348" s="1047">
        <v>1.1974856030492287E-2</v>
      </c>
      <c r="YO348" s="1047">
        <v>0.8211502033842395</v>
      </c>
      <c r="YP348" s="1047">
        <v>0.37722220521594413</v>
      </c>
      <c r="YQ348" s="1047">
        <v>0.65018337652513314</v>
      </c>
      <c r="YR348" s="1047">
        <v>0.40913583989677654</v>
      </c>
      <c r="YS348" s="1047">
        <v>0.55511749972224023</v>
      </c>
      <c r="YT348" s="1047">
        <v>0.84152637545152109</v>
      </c>
      <c r="YU348" s="1047">
        <v>1.2943417733343978</v>
      </c>
      <c r="YV348" s="1047">
        <v>1.0886496291188608</v>
      </c>
      <c r="YW348" s="1047">
        <v>0.80557120085766154</v>
      </c>
      <c r="YX348" s="1047">
        <v>0.79962189464473132</v>
      </c>
      <c r="YY348" s="1047">
        <v>0.87062036961302425</v>
      </c>
      <c r="YZ348" s="1047">
        <v>0.80070095023380505</v>
      </c>
      <c r="ZA348" s="1047">
        <v>0.8193653507872668</v>
      </c>
      <c r="ZB348" s="1047">
        <v>0.80401775171625101</v>
      </c>
      <c r="ZC348" s="1047">
        <v>0.7500366378623089</v>
      </c>
      <c r="ZD348" s="1047">
        <v>0.79316130232292881</v>
      </c>
      <c r="ZE348" s="1047">
        <v>1.1495093155787166</v>
      </c>
      <c r="ZF348" s="1047">
        <v>1.1637996924450371</v>
      </c>
      <c r="ZG348" s="1047">
        <v>1.1282706454614086</v>
      </c>
      <c r="ZH348" s="1047">
        <v>1.1839168103766589</v>
      </c>
      <c r="ZI348" s="1047">
        <v>1.1927785920917751</v>
      </c>
      <c r="ZJ348" s="1047">
        <v>1.1510253801471204</v>
      </c>
      <c r="ZK348" s="1047">
        <v>1.2608283445350175</v>
      </c>
      <c r="ZL348" s="1047">
        <v>1.2139062507997334</v>
      </c>
      <c r="ZM348" s="1047">
        <v>0.8983499755614196</v>
      </c>
      <c r="ZN348" s="1047">
        <v>1.2516274768837059</v>
      </c>
      <c r="ZO348" s="1047">
        <v>1.3003793891526987</v>
      </c>
      <c r="ZP348" s="1047">
        <v>0.829566127574066</v>
      </c>
      <c r="ZQ348" s="1047">
        <v>0.96914311700395483</v>
      </c>
      <c r="ZR348" s="1047">
        <v>1.1891879352888008</v>
      </c>
      <c r="ZS348" s="1047">
        <v>1.098568062759482</v>
      </c>
      <c r="ZT348" s="1047">
        <v>0.81303278109546062</v>
      </c>
      <c r="ZU348" s="1047">
        <v>1.539156401426761E-3</v>
      </c>
      <c r="ZV348" s="1047">
        <v>4.7614266528938692E-3</v>
      </c>
      <c r="ZW348" s="1047">
        <v>1.9999739528306544</v>
      </c>
      <c r="ZX348" s="1047">
        <v>5.0361195879447658E-2</v>
      </c>
      <c r="ZY348" s="1047">
        <v>0.17445061648868052</v>
      </c>
      <c r="ZZ348" s="1047">
        <v>1.5447975650464659E-2</v>
      </c>
      <c r="AAA348" s="1047">
        <v>7.2522909441381345E-2</v>
      </c>
      <c r="AAB348" s="1047">
        <v>8.9456136923591213E-3</v>
      </c>
      <c r="AAC348" s="1047">
        <v>9.9633142290933216E-3</v>
      </c>
      <c r="AAD348" s="1047">
        <v>1.1778196779269752E-2</v>
      </c>
      <c r="AAE348" s="1047">
        <v>0.17917687437421378</v>
      </c>
      <c r="AAF348" s="1047">
        <v>5.7996230824059131E-3</v>
      </c>
      <c r="AAG348" s="1047">
        <v>0.19032936079670587</v>
      </c>
      <c r="AAH348" s="1047">
        <v>1.294058287566271E-2</v>
      </c>
      <c r="AAI348" s="1047">
        <v>7.1773760721485077E-3</v>
      </c>
      <c r="AAJ348" s="1047">
        <v>3.113437156861415E-2</v>
      </c>
      <c r="AAK348" s="1063"/>
    </row>
    <row r="349" spans="2:713" hidden="1">
      <c r="B349" s="1023" t="s">
        <v>1866</v>
      </c>
      <c r="C349" s="723"/>
      <c r="D349" s="999"/>
      <c r="E349" s="1069" t="s">
        <v>1856</v>
      </c>
      <c r="F349" s="1064"/>
      <c r="G349" s="1064" t="s">
        <v>68</v>
      </c>
      <c r="H349" s="1064"/>
      <c r="I349" s="1065">
        <v>0.99886028530583226</v>
      </c>
      <c r="J349" s="1065">
        <v>0.99886028530583226</v>
      </c>
      <c r="K349" s="1065">
        <v>0.99886028530583226</v>
      </c>
      <c r="L349" s="1065">
        <v>0.99886028530583226</v>
      </c>
      <c r="M349" s="1065">
        <v>0.99886028530583226</v>
      </c>
      <c r="N349" s="1065">
        <v>0.99886028530583226</v>
      </c>
      <c r="O349" s="1065">
        <v>0.99886028530583226</v>
      </c>
      <c r="P349" s="1065">
        <v>0.99886028530583226</v>
      </c>
      <c r="Q349" s="1065">
        <v>0.9988707780455568</v>
      </c>
      <c r="R349" s="1065">
        <v>0.9988707780455568</v>
      </c>
      <c r="S349" s="1065">
        <v>0.9988707780455568</v>
      </c>
      <c r="T349" s="1065">
        <v>0.9988707780455568</v>
      </c>
      <c r="U349" s="1065">
        <v>0.9988707780455568</v>
      </c>
      <c r="V349" s="1065">
        <v>0.9988707780455568</v>
      </c>
      <c r="W349" s="1065">
        <v>0.9988707780455568</v>
      </c>
      <c r="X349" s="1065">
        <v>0.9988707780455568</v>
      </c>
      <c r="Y349" s="1065">
        <v>0.99930545901906276</v>
      </c>
      <c r="Z349" s="1065">
        <v>0.99930545901906276</v>
      </c>
      <c r="AA349" s="1065">
        <v>0.99930545901906276</v>
      </c>
      <c r="AB349" s="1065">
        <v>0.99930545901906276</v>
      </c>
      <c r="AC349" s="1065">
        <v>0.99930545901906276</v>
      </c>
      <c r="AD349" s="1065">
        <v>0.99930545901906276</v>
      </c>
      <c r="AE349" s="1065">
        <v>0.99930545901906276</v>
      </c>
      <c r="AF349" s="1065">
        <v>0.99930545901906276</v>
      </c>
      <c r="AG349" s="1065">
        <v>0.99913859037773389</v>
      </c>
      <c r="AH349" s="1065">
        <v>0.99913859037773389</v>
      </c>
      <c r="AI349" s="1065">
        <v>0.99913859037773389</v>
      </c>
      <c r="AJ349" s="1065">
        <v>0.99913859037773389</v>
      </c>
      <c r="AK349" s="1065">
        <v>0.99913859037773389</v>
      </c>
      <c r="AL349" s="1065">
        <v>0.99913859037773389</v>
      </c>
      <c r="AM349" s="1065">
        <v>0.99913859037773389</v>
      </c>
      <c r="AN349" s="1065">
        <v>0.99913859037773389</v>
      </c>
      <c r="AO349" s="1065">
        <v>0.99872875942187334</v>
      </c>
      <c r="AP349" s="1065">
        <v>0.99872875942187334</v>
      </c>
      <c r="AQ349" s="1065">
        <v>0.99872875942187334</v>
      </c>
      <c r="AR349" s="1065">
        <v>0.99872875942187334</v>
      </c>
      <c r="AS349" s="1065">
        <v>0.99872875942187334</v>
      </c>
      <c r="AT349" s="1065">
        <v>0.99872875942187334</v>
      </c>
      <c r="AU349" s="1065">
        <v>0.99872875942187334</v>
      </c>
      <c r="AV349" s="1065">
        <v>0.99872875942187334</v>
      </c>
      <c r="AW349" s="1065">
        <v>0.99961588903575704</v>
      </c>
      <c r="AX349" s="1065">
        <v>0.99961588903575704</v>
      </c>
      <c r="AY349" s="1065">
        <v>0.99961588903575704</v>
      </c>
      <c r="AZ349" s="1065">
        <v>0.99961588903575704</v>
      </c>
      <c r="BA349" s="1065">
        <v>0.99961588903575704</v>
      </c>
      <c r="BB349" s="1065">
        <v>0.99961588903575704</v>
      </c>
      <c r="BC349" s="1065">
        <v>0.99961588903575704</v>
      </c>
      <c r="BD349" s="1065">
        <v>0.99961588903575704</v>
      </c>
      <c r="BE349" s="1065">
        <v>0.99363259406868409</v>
      </c>
      <c r="BF349" s="1065">
        <v>0.99363259406868409</v>
      </c>
      <c r="BG349" s="1065">
        <v>0.99363259406868409</v>
      </c>
      <c r="BH349" s="1065">
        <v>0.99363259406868409</v>
      </c>
      <c r="BI349" s="1065">
        <v>0.99363259406868409</v>
      </c>
      <c r="BJ349" s="1065">
        <v>0.99363259406868409</v>
      </c>
      <c r="BK349" s="1065">
        <v>0.99363259406868409</v>
      </c>
      <c r="BL349" s="1065">
        <v>0.99363259406868409</v>
      </c>
      <c r="BM349" s="1065">
        <v>0.99170805991602129</v>
      </c>
      <c r="BN349" s="1065">
        <v>0.99170805991602129</v>
      </c>
      <c r="BO349" s="1065">
        <v>0.99170805991602129</v>
      </c>
      <c r="BP349" s="1065">
        <v>0.99170805991602129</v>
      </c>
      <c r="BQ349" s="1065">
        <v>0.99170805991602129</v>
      </c>
      <c r="BR349" s="1065">
        <v>0.99170805991602129</v>
      </c>
      <c r="BS349" s="1065">
        <v>0.99170805991602129</v>
      </c>
      <c r="BT349" s="1065">
        <v>0.99170805991602129</v>
      </c>
      <c r="BU349" s="1065">
        <v>0.99848638731423867</v>
      </c>
      <c r="BV349" s="1065">
        <v>0.99848638731423867</v>
      </c>
      <c r="BW349" s="1065">
        <v>0.99848638731423867</v>
      </c>
      <c r="BX349" s="1065">
        <v>0.99848638731423867</v>
      </c>
      <c r="BY349" s="1065">
        <v>0.99848638731423867</v>
      </c>
      <c r="BZ349" s="1065">
        <v>0.99848638731423867</v>
      </c>
      <c r="CA349" s="1065">
        <v>0.99848638731423867</v>
      </c>
      <c r="CB349" s="1065">
        <v>0.99848638731423867</v>
      </c>
      <c r="CC349" s="1065">
        <v>0.99933334085878822</v>
      </c>
      <c r="CD349" s="1065">
        <v>0.99933334085878822</v>
      </c>
      <c r="CE349" s="1065">
        <v>0.99933334085878822</v>
      </c>
      <c r="CF349" s="1065">
        <v>0.99933334085878822</v>
      </c>
      <c r="CG349" s="1065">
        <v>0.99933334085878822</v>
      </c>
      <c r="CH349" s="1065">
        <v>0.99933334085878822</v>
      </c>
      <c r="CI349" s="1065">
        <v>0.99933334085878822</v>
      </c>
      <c r="CJ349" s="1065">
        <v>0.99933334085878822</v>
      </c>
      <c r="CK349" s="1065">
        <v>0.99857832603758745</v>
      </c>
      <c r="CL349" s="1065">
        <v>0.99857832603758745</v>
      </c>
      <c r="CM349" s="1065">
        <v>0.99857832603758745</v>
      </c>
      <c r="CN349" s="1065">
        <v>0.99857832603758745</v>
      </c>
      <c r="CO349" s="1065">
        <v>0.99857832603758745</v>
      </c>
      <c r="CP349" s="1065">
        <v>0.99857832603758745</v>
      </c>
      <c r="CQ349" s="1065">
        <v>0.99857832603758745</v>
      </c>
      <c r="CR349" s="1065">
        <v>0.99857832603758745</v>
      </c>
      <c r="CS349" s="1065">
        <v>0.98793679768881948</v>
      </c>
      <c r="CT349" s="1065">
        <v>0.98995397353961767</v>
      </c>
      <c r="CU349" s="1065">
        <v>0.9896763177981327</v>
      </c>
      <c r="CV349" s="1065">
        <v>0.9922630347420478</v>
      </c>
      <c r="CW349" s="1065">
        <v>0.99478784357681327</v>
      </c>
      <c r="CX349" s="1065">
        <v>0.99427822266125443</v>
      </c>
      <c r="CY349" s="1065">
        <v>0.99600712978343564</v>
      </c>
      <c r="CZ349" s="1065">
        <v>0.99709747077368083</v>
      </c>
      <c r="DA349" s="1065">
        <v>0.90177385387633224</v>
      </c>
      <c r="DB349" s="1065">
        <v>0.90416895228852312</v>
      </c>
      <c r="DC349" s="1065">
        <v>0.91362904434976888</v>
      </c>
      <c r="DD349" s="1065">
        <v>0.91756973384922391</v>
      </c>
      <c r="DE349" s="1065">
        <v>0.93850523534230301</v>
      </c>
      <c r="DF349" s="1065">
        <v>0.93218698963718194</v>
      </c>
      <c r="DG349" s="1065">
        <v>0.955363926507243</v>
      </c>
      <c r="DH349" s="1065">
        <v>0.98154710727086281</v>
      </c>
      <c r="DI349" s="1065">
        <v>0.99293583935598773</v>
      </c>
      <c r="DJ349" s="1065">
        <v>0.99407151868302934</v>
      </c>
      <c r="DK349" s="1065">
        <v>0.99487925480838024</v>
      </c>
      <c r="DL349" s="1065">
        <v>0.99572069621310355</v>
      </c>
      <c r="DM349" s="1065">
        <v>0.9970607924799495</v>
      </c>
      <c r="DN349" s="1065">
        <v>0.99735511027890844</v>
      </c>
      <c r="DO349" s="1065">
        <v>0.99782960194470849</v>
      </c>
      <c r="DP349" s="1065">
        <v>0.9979883751943408</v>
      </c>
      <c r="DQ349" s="1065">
        <v>0.99901553684158839</v>
      </c>
      <c r="DR349" s="1065">
        <v>0.99884383131447996</v>
      </c>
      <c r="DS349" s="1065">
        <v>0.99911607893805876</v>
      </c>
      <c r="DT349" s="1065">
        <v>0.99870558474329718</v>
      </c>
      <c r="DU349" s="1065">
        <v>0.99827839850433497</v>
      </c>
      <c r="DV349" s="1065">
        <v>0.99863338879308572</v>
      </c>
      <c r="DW349" s="1065">
        <v>0.99800695968833053</v>
      </c>
      <c r="DX349" s="1065">
        <v>0.99751484953494762</v>
      </c>
      <c r="DY349" s="1065">
        <v>0.99414219333194975</v>
      </c>
      <c r="DZ349" s="1065">
        <v>0.99471804864281532</v>
      </c>
      <c r="EA349" s="1065">
        <v>0.99577578237291298</v>
      </c>
      <c r="EB349" s="1065">
        <v>0.99586214798377759</v>
      </c>
      <c r="EC349" s="1065">
        <v>0.99652071392272479</v>
      </c>
      <c r="ED349" s="1065">
        <v>0.99670761846308942</v>
      </c>
      <c r="EE349" s="1065">
        <v>0.9968743706011598</v>
      </c>
      <c r="EF349" s="1065">
        <v>0.99719411136255709</v>
      </c>
      <c r="EG349" s="1065">
        <v>0.99953704225129181</v>
      </c>
      <c r="EH349" s="1065">
        <v>0.99943018437267572</v>
      </c>
      <c r="EI349" s="1065">
        <v>0.99955646109354113</v>
      </c>
      <c r="EJ349" s="1065">
        <v>0.99924887539661211</v>
      </c>
      <c r="EK349" s="1065">
        <v>0.99894948335382316</v>
      </c>
      <c r="EL349" s="1065">
        <v>0.99894240238062371</v>
      </c>
      <c r="EM349" s="1065">
        <v>0.99852361948101398</v>
      </c>
      <c r="EN349" s="1065">
        <v>0.99843836479463599</v>
      </c>
      <c r="EO349" s="1065">
        <v>0.98085787062395779</v>
      </c>
      <c r="EP349" s="1065">
        <v>0.98466284554655981</v>
      </c>
      <c r="EQ349" s="1065">
        <v>0.9829586951546545</v>
      </c>
      <c r="ER349" s="1065">
        <v>0.98873299218260824</v>
      </c>
      <c r="ES349" s="1065">
        <v>0.99329240331798807</v>
      </c>
      <c r="ET349" s="1065">
        <v>0.99168855131688849</v>
      </c>
      <c r="EU349" s="1065">
        <v>0.99521705331486421</v>
      </c>
      <c r="EV349" s="1065">
        <v>0.99729570322288041</v>
      </c>
      <c r="EW349" s="1065">
        <v>0.99504753758150599</v>
      </c>
      <c r="EX349" s="1065">
        <v>0.99487569386910224</v>
      </c>
      <c r="EY349" s="1065">
        <v>0.99504817381863686</v>
      </c>
      <c r="EZ349" s="1065">
        <v>0.99460483224874197</v>
      </c>
      <c r="FA349" s="1065">
        <v>0.99400070647596461</v>
      </c>
      <c r="FB349" s="1065">
        <v>0.99434976780368922</v>
      </c>
      <c r="FC349" s="1065">
        <v>0.99351549549417673</v>
      </c>
      <c r="FD349" s="1065">
        <v>0.99272636226004651</v>
      </c>
      <c r="FE349" s="1065">
        <v>0.99807141857450155</v>
      </c>
      <c r="FF349" s="1065">
        <v>0.99784276373847036</v>
      </c>
      <c r="FG349" s="1065">
        <v>0.99777097493065947</v>
      </c>
      <c r="FH349" s="1065">
        <v>0.99735332190594683</v>
      </c>
      <c r="FI349" s="1065">
        <v>0.99698318023458798</v>
      </c>
      <c r="FJ349" s="1065">
        <v>0.99747344051280895</v>
      </c>
      <c r="FK349" s="1065">
        <v>0.99678305604724804</v>
      </c>
      <c r="FL349" s="1065">
        <v>0.99625822531398611</v>
      </c>
      <c r="FM349" s="1065">
        <v>0.99014168850233086</v>
      </c>
      <c r="FN349" s="1065">
        <v>0.99020534486972689</v>
      </c>
      <c r="FO349" s="1065">
        <v>0.99566142374701339</v>
      </c>
      <c r="FP349" s="1065">
        <v>0.99342295336737985</v>
      </c>
      <c r="FQ349" s="1065">
        <v>0.99402345069598141</v>
      </c>
      <c r="FR349" s="1065">
        <v>0.99767009139440366</v>
      </c>
      <c r="FS349" s="1065">
        <v>0.9964569003192093</v>
      </c>
      <c r="FT349" s="1065">
        <v>0.99734156662966256</v>
      </c>
      <c r="FU349" s="1065">
        <v>0.99722722882053616</v>
      </c>
      <c r="FV349" s="1065">
        <v>0.99713782977263876</v>
      </c>
      <c r="FW349" s="1065">
        <v>0.99767664925906041</v>
      </c>
      <c r="FX349" s="1065">
        <v>0.99727696037584823</v>
      </c>
      <c r="FY349" s="1065">
        <v>0.99710386753915503</v>
      </c>
      <c r="FZ349" s="1065">
        <v>0.99733015302210715</v>
      </c>
      <c r="GA349" s="1065">
        <v>0.99705762291535582</v>
      </c>
      <c r="GB349" s="1065">
        <v>0.99695626561673867</v>
      </c>
      <c r="GC349" s="1065">
        <v>0.98715827446892446</v>
      </c>
      <c r="GD349" s="1065">
        <v>0.98921811897596867</v>
      </c>
      <c r="GE349" s="1065">
        <v>0.98898657908925292</v>
      </c>
      <c r="GF349" s="1065">
        <v>0.99163740768667519</v>
      </c>
      <c r="GG349" s="1065">
        <v>0.99428748892651964</v>
      </c>
      <c r="GH349" s="1065">
        <v>0.99377345984665533</v>
      </c>
      <c r="GI349" s="1065">
        <v>0.99563189806455998</v>
      </c>
      <c r="GJ349" s="1065">
        <v>0.99691846569539666</v>
      </c>
      <c r="GK349" s="1065">
        <v>0.90420773349476724</v>
      </c>
      <c r="GL349" s="1065">
        <v>0.90647985371656092</v>
      </c>
      <c r="GM349" s="1065">
        <v>0.91578992916858915</v>
      </c>
      <c r="GN349" s="1065">
        <v>0.91932671938860411</v>
      </c>
      <c r="GO349" s="1065">
        <v>0.93916417368500615</v>
      </c>
      <c r="GP349" s="1065">
        <v>0.93366256202600195</v>
      </c>
      <c r="GQ349" s="1065">
        <v>0.95556616737782052</v>
      </c>
      <c r="GR349" s="1065">
        <v>0.98110078361500308</v>
      </c>
      <c r="GS349" s="1065">
        <v>0.99244215451701612</v>
      </c>
      <c r="GT349" s="1065">
        <v>0.99359407282210777</v>
      </c>
      <c r="GU349" s="1065">
        <v>0.99445922889999161</v>
      </c>
      <c r="GV349" s="1065">
        <v>0.9952888712171083</v>
      </c>
      <c r="GW349" s="1065">
        <v>0.9966986572677643</v>
      </c>
      <c r="GX349" s="1065">
        <v>0.99698874290994099</v>
      </c>
      <c r="GY349" s="1065">
        <v>0.9975460415828028</v>
      </c>
      <c r="GZ349" s="1065">
        <v>0.9978575898842631</v>
      </c>
      <c r="HA349" s="1065">
        <v>0.99901851623378068</v>
      </c>
      <c r="HB349" s="1065">
        <v>0.99884410054898964</v>
      </c>
      <c r="HC349" s="1065">
        <v>0.99913206207342664</v>
      </c>
      <c r="HD349" s="1065">
        <v>0.99870559557592475</v>
      </c>
      <c r="HE349" s="1065">
        <v>0.99827967022903574</v>
      </c>
      <c r="HF349" s="1065">
        <v>0.99864081806781113</v>
      </c>
      <c r="HG349" s="1065">
        <v>0.99801273760000053</v>
      </c>
      <c r="HH349" s="1065">
        <v>0.99752087007354606</v>
      </c>
      <c r="HI349" s="1065">
        <v>0.99370378951953575</v>
      </c>
      <c r="HJ349" s="1065">
        <v>0.99429747915529687</v>
      </c>
      <c r="HK349" s="1065">
        <v>0.9954160932710695</v>
      </c>
      <c r="HL349" s="1065">
        <v>0.99549950913711105</v>
      </c>
      <c r="HM349" s="1065">
        <v>0.99618184120289299</v>
      </c>
      <c r="HN349" s="1065">
        <v>0.99641026928992893</v>
      </c>
      <c r="HO349" s="1065">
        <v>0.99656775973201983</v>
      </c>
      <c r="HP349" s="1065">
        <v>0.99696351945590223</v>
      </c>
      <c r="HQ349" s="1065">
        <v>0.99950706388474941</v>
      </c>
      <c r="HR349" s="1065">
        <v>0.99938147304057967</v>
      </c>
      <c r="HS349" s="1065">
        <v>0.99953184200759682</v>
      </c>
      <c r="HT349" s="1065">
        <v>0.99918731338474243</v>
      </c>
      <c r="HU349" s="1065">
        <v>0.99886524982345148</v>
      </c>
      <c r="HV349" s="1065">
        <v>0.99888665157006573</v>
      </c>
      <c r="HW349" s="1065">
        <v>0.99843612605591348</v>
      </c>
      <c r="HX349" s="1065">
        <v>0.99828205759422073</v>
      </c>
      <c r="HY349" s="1065">
        <v>0.97878019231187285</v>
      </c>
      <c r="HZ349" s="1065">
        <v>0.98258632324467166</v>
      </c>
      <c r="IA349" s="1065">
        <v>0.9810260747015247</v>
      </c>
      <c r="IB349" s="1065">
        <v>0.98703009295937005</v>
      </c>
      <c r="IC349" s="1065">
        <v>0.99193115420444788</v>
      </c>
      <c r="ID349" s="1065">
        <v>0.99012112276937891</v>
      </c>
      <c r="IE349" s="1065">
        <v>0.99407340285517687</v>
      </c>
      <c r="IF349" s="1065">
        <v>0.9965594322632555</v>
      </c>
      <c r="IG349" s="1065">
        <v>0.99496604550489176</v>
      </c>
      <c r="IH349" s="1065">
        <v>0.99485001621654812</v>
      </c>
      <c r="II349" s="1065">
        <v>0.99499303739133005</v>
      </c>
      <c r="IJ349" s="1065">
        <v>0.99465007312267073</v>
      </c>
      <c r="IK349" s="1065">
        <v>0.99419466285262692</v>
      </c>
      <c r="IL349" s="1065">
        <v>0.99449780328314707</v>
      </c>
      <c r="IM349" s="1065">
        <v>0.99383608035997506</v>
      </c>
      <c r="IN349" s="1065">
        <v>0.99317768404804962</v>
      </c>
      <c r="IO349" s="1065">
        <v>0.99807004323877302</v>
      </c>
      <c r="IP349" s="1065">
        <v>0.99784027867317371</v>
      </c>
      <c r="IQ349" s="1065">
        <v>0.99776835002007425</v>
      </c>
      <c r="IR349" s="1065">
        <v>0.99734948946472546</v>
      </c>
      <c r="IS349" s="1065">
        <v>0.99697304208856341</v>
      </c>
      <c r="IT349" s="1065">
        <v>0.99747013048665623</v>
      </c>
      <c r="IU349" s="1065">
        <v>0.99677204167724909</v>
      </c>
      <c r="IV349" s="1065">
        <v>0.99623239458169999</v>
      </c>
      <c r="IW349" s="1065">
        <v>0.99020143931747961</v>
      </c>
      <c r="IX349" s="1065">
        <v>0.99027145713700893</v>
      </c>
      <c r="IY349" s="1065">
        <v>0.9956513253226591</v>
      </c>
      <c r="IZ349" s="1065">
        <v>0.99341990580227291</v>
      </c>
      <c r="JA349" s="1065">
        <v>0.99386307738313484</v>
      </c>
      <c r="JB349" s="1065">
        <v>0.99764398016510825</v>
      </c>
      <c r="JC349" s="1065">
        <v>0.99631613682949272</v>
      </c>
      <c r="JD349" s="1065">
        <v>0.9971737446877339</v>
      </c>
      <c r="JE349" s="1065">
        <v>0.99702824529860978</v>
      </c>
      <c r="JF349" s="1065">
        <v>0.99694031895006963</v>
      </c>
      <c r="JG349" s="1065">
        <v>0.99753862477527733</v>
      </c>
      <c r="JH349" s="1065">
        <v>0.99710807529247492</v>
      </c>
      <c r="JI349" s="1065">
        <v>0.99692959239048495</v>
      </c>
      <c r="JJ349" s="1065">
        <v>0.99718581380248772</v>
      </c>
      <c r="JK349" s="1065">
        <v>0.99687893840981545</v>
      </c>
      <c r="JL349" s="1065">
        <v>0.99679118176524162</v>
      </c>
      <c r="JM349" s="1065">
        <v>0.9215200765771886</v>
      </c>
      <c r="JN349" s="1065">
        <v>0.91642988576003115</v>
      </c>
      <c r="JO349" s="1065">
        <v>0.9261973306230511</v>
      </c>
      <c r="JP349" s="1065">
        <v>0.91404823616896791</v>
      </c>
      <c r="JQ349" s="1065">
        <v>0.91258870115799562</v>
      </c>
      <c r="JR349" s="1065">
        <v>0.9182016049514834</v>
      </c>
      <c r="JS349" s="1065">
        <v>0.91784542345058373</v>
      </c>
      <c r="JT349" s="1065">
        <v>0.91571704745807081</v>
      </c>
      <c r="JU349" s="1065">
        <v>0.94368082995228286</v>
      </c>
      <c r="JV349" s="1065">
        <v>0.94853177165249891</v>
      </c>
      <c r="JW349" s="1065">
        <v>0.96253527561106422</v>
      </c>
      <c r="JX349" s="1065">
        <v>0.94579607385351894</v>
      </c>
      <c r="JY349" s="1065">
        <v>0.94882150881270411</v>
      </c>
      <c r="JZ349" s="1065">
        <v>0.95056169797062717</v>
      </c>
      <c r="KA349" s="1065">
        <v>0.94688895088078384</v>
      </c>
      <c r="KB349" s="1065">
        <v>0.94558094176299401</v>
      </c>
      <c r="KC349" s="1065">
        <v>0.97217994194949942</v>
      </c>
      <c r="KD349" s="1065">
        <v>0.97205086329518153</v>
      </c>
      <c r="KE349" s="1065">
        <v>0.97135121412382652</v>
      </c>
      <c r="KF349" s="1065">
        <v>0.97933817121746347</v>
      </c>
      <c r="KG349" s="1065">
        <v>0.97310080302135837</v>
      </c>
      <c r="KH349" s="1065">
        <v>0.97964989747319753</v>
      </c>
      <c r="KI349" s="1065">
        <v>0.98153953711226227</v>
      </c>
      <c r="KJ349" s="1065">
        <v>0.97861068091512948</v>
      </c>
      <c r="KK349" s="1065">
        <v>0.98270261776193879</v>
      </c>
      <c r="KL349" s="1065">
        <v>0.9920442579094142</v>
      </c>
      <c r="KM349" s="1065">
        <v>0.97831320386808684</v>
      </c>
      <c r="KN349" s="1065">
        <v>0.99207277376563208</v>
      </c>
      <c r="KO349" s="1065">
        <v>0.99212510584043856</v>
      </c>
      <c r="KP349" s="1065">
        <v>0.99109979746918742</v>
      </c>
      <c r="KQ349" s="1065">
        <v>0.9865615305784613</v>
      </c>
      <c r="KR349" s="1065">
        <v>0.99044792064703413</v>
      </c>
      <c r="KS349" s="1065">
        <v>0.95564394584059464</v>
      </c>
      <c r="KT349" s="1065">
        <v>0.9554084318704793</v>
      </c>
      <c r="KU349" s="1065">
        <v>0.96066482501043793</v>
      </c>
      <c r="KV349" s="1065">
        <v>0.95740077287991965</v>
      </c>
      <c r="KW349" s="1065">
        <v>0.96610144749737459</v>
      </c>
      <c r="KX349" s="1065">
        <v>0.96833176839021351</v>
      </c>
      <c r="KY349" s="1065">
        <v>0.96628450060943216</v>
      </c>
      <c r="KZ349" s="1065">
        <v>0.96724891010951852</v>
      </c>
      <c r="LA349" s="1065">
        <v>0.98264569084233</v>
      </c>
      <c r="LB349" s="1065">
        <v>0.98204468355721897</v>
      </c>
      <c r="LC349" s="1065">
        <v>0.97839234093426108</v>
      </c>
      <c r="LD349" s="1065">
        <v>0.98223092810922941</v>
      </c>
      <c r="LE349" s="1065">
        <v>0.98198037377252523</v>
      </c>
      <c r="LF349" s="1065">
        <v>0.9819696118466168</v>
      </c>
      <c r="LG349" s="1065">
        <v>0.97743161409435486</v>
      </c>
      <c r="LH349" s="1065">
        <v>0.98029191906866497</v>
      </c>
      <c r="LI349" s="1065">
        <v>0.92116422320164815</v>
      </c>
      <c r="LJ349" s="1065">
        <v>0.91703490981599922</v>
      </c>
      <c r="LK349" s="1065">
        <v>0.9199464339141078</v>
      </c>
      <c r="LL349" s="1065">
        <v>0.91489318785896112</v>
      </c>
      <c r="LM349" s="1065">
        <v>0.91410439154474055</v>
      </c>
      <c r="LN349" s="1065">
        <v>0.91547389474993679</v>
      </c>
      <c r="LO349" s="1065">
        <v>0.91105076994979162</v>
      </c>
      <c r="LP349" s="1065">
        <v>0.91265312194212089</v>
      </c>
      <c r="LQ349" s="1065">
        <v>0.9663035962076546</v>
      </c>
      <c r="LR349" s="1065">
        <v>0.96715935598150138</v>
      </c>
      <c r="LS349" s="1065">
        <v>0.96715837424473095</v>
      </c>
      <c r="LT349" s="1065">
        <v>0.96801012732314817</v>
      </c>
      <c r="LU349" s="1065">
        <v>0.96684367655433656</v>
      </c>
      <c r="LV349" s="1065">
        <v>0.96983165838696328</v>
      </c>
      <c r="LW349" s="1065">
        <v>0.96988980432056515</v>
      </c>
      <c r="LX349" s="1065">
        <v>0.96878109455025874</v>
      </c>
      <c r="LY349" s="1065">
        <v>0.98211235733267055</v>
      </c>
      <c r="LZ349" s="1065">
        <v>0.9855730130915179</v>
      </c>
      <c r="MA349" s="1065">
        <v>0.98404470197103178</v>
      </c>
      <c r="MB349" s="1065">
        <v>0.98715625321540945</v>
      </c>
      <c r="MC349" s="1065">
        <v>0.98509566385804381</v>
      </c>
      <c r="MD349" s="1065">
        <v>0.9874590542244196</v>
      </c>
      <c r="ME349" s="1065">
        <v>0.98572513982618026</v>
      </c>
      <c r="MF349" s="1065">
        <v>0.98753384228844099</v>
      </c>
      <c r="MG349" s="1065">
        <v>0.98984074955096302</v>
      </c>
      <c r="MH349" s="1065">
        <v>0.99067942146620203</v>
      </c>
      <c r="MI349" s="1065">
        <v>0.98385571123123228</v>
      </c>
      <c r="MJ349" s="1065">
        <v>0.99338880281114073</v>
      </c>
      <c r="MK349" s="1065">
        <v>0.98968149188198307</v>
      </c>
      <c r="ML349" s="1065">
        <v>0.99316452474611927</v>
      </c>
      <c r="MM349" s="1065">
        <v>0.99325999381361452</v>
      </c>
      <c r="MN349" s="1065">
        <v>0.99338514315316728</v>
      </c>
      <c r="MO349" s="1065">
        <v>0.97996952121845149</v>
      </c>
      <c r="MP349" s="1065">
        <v>0.97831237062475762</v>
      </c>
      <c r="MQ349" s="1065">
        <v>0.98183663951483569</v>
      </c>
      <c r="MR349" s="1065">
        <v>0.97742515662515161</v>
      </c>
      <c r="MS349" s="1065">
        <v>0.97643552389753074</v>
      </c>
      <c r="MT349" s="1065">
        <v>0.97772665476525833</v>
      </c>
      <c r="MU349" s="1065">
        <v>0.97320968402412145</v>
      </c>
      <c r="MV349" s="1065">
        <v>0.97478563256767525</v>
      </c>
      <c r="MW349" s="1065">
        <v>0.99790902437598661</v>
      </c>
      <c r="MX349" s="1065">
        <v>0.99790902437598661</v>
      </c>
      <c r="MY349" s="1065">
        <v>0.99790902437598661</v>
      </c>
      <c r="MZ349" s="1065">
        <v>0.99790902437598661</v>
      </c>
      <c r="NA349" s="1065">
        <v>0.99790902437598661</v>
      </c>
      <c r="NB349" s="1065">
        <v>0.99790902437598661</v>
      </c>
      <c r="NC349" s="1065">
        <v>0.99790902437598661</v>
      </c>
      <c r="ND349" s="1065">
        <v>0.99790902437598661</v>
      </c>
      <c r="NE349" s="1065">
        <v>0.99860311979222649</v>
      </c>
      <c r="NF349" s="1065">
        <v>0.99860311979222649</v>
      </c>
      <c r="NG349" s="1065">
        <v>0.99860311979222649</v>
      </c>
      <c r="NH349" s="1065">
        <v>0.99860311979222649</v>
      </c>
      <c r="NI349" s="1065">
        <v>0.99860311979222649</v>
      </c>
      <c r="NJ349" s="1065">
        <v>0.99860311979222649</v>
      </c>
      <c r="NK349" s="1065">
        <v>0.99860311979222649</v>
      </c>
      <c r="NL349" s="1065">
        <v>0.99860311979222649</v>
      </c>
      <c r="NM349" s="1065">
        <v>0.99832550960361388</v>
      </c>
      <c r="NN349" s="1065">
        <v>0.99832550960361388</v>
      </c>
      <c r="NO349" s="1065">
        <v>0.99832550960361388</v>
      </c>
      <c r="NP349" s="1065">
        <v>0.99832550960361388</v>
      </c>
      <c r="NQ349" s="1065">
        <v>0.99832550960361388</v>
      </c>
      <c r="NR349" s="1065">
        <v>0.99832550960361388</v>
      </c>
      <c r="NS349" s="1065">
        <v>0.99832550960361388</v>
      </c>
      <c r="NT349" s="1065">
        <v>0.99832550960361388</v>
      </c>
      <c r="NU349" s="1065">
        <v>0.99889227767945143</v>
      </c>
      <c r="NV349" s="1065">
        <v>0.99889227767945143</v>
      </c>
      <c r="NW349" s="1065">
        <v>0.99889227767945143</v>
      </c>
      <c r="NX349" s="1065">
        <v>0.99889227767945143</v>
      </c>
      <c r="NY349" s="1065">
        <v>0.99889227767945143</v>
      </c>
      <c r="NZ349" s="1065">
        <v>0.99889227767945143</v>
      </c>
      <c r="OA349" s="1065">
        <v>0.99889227767945143</v>
      </c>
      <c r="OB349" s="1065">
        <v>0.99889227767945143</v>
      </c>
      <c r="OC349" s="1065">
        <v>0.99753502125752469</v>
      </c>
      <c r="OD349" s="1065">
        <v>0.99753502125752469</v>
      </c>
      <c r="OE349" s="1065">
        <v>0.99753502125752469</v>
      </c>
      <c r="OF349" s="1065">
        <v>0.99753502125752469</v>
      </c>
      <c r="OG349" s="1065">
        <v>0.99753502125752469</v>
      </c>
      <c r="OH349" s="1065">
        <v>0.99753502125752469</v>
      </c>
      <c r="OI349" s="1065">
        <v>0.99753502125752469</v>
      </c>
      <c r="OJ349" s="1065">
        <v>0.99753502125752469</v>
      </c>
      <c r="OK349" s="1065">
        <v>0.99928566154595488</v>
      </c>
      <c r="OL349" s="1065">
        <v>0.99928566154595488</v>
      </c>
      <c r="OM349" s="1065">
        <v>0.99928566154595488</v>
      </c>
      <c r="ON349" s="1065">
        <v>0.99928566154595488</v>
      </c>
      <c r="OO349" s="1065">
        <v>0.99928566154595488</v>
      </c>
      <c r="OP349" s="1065">
        <v>0.99928566154595488</v>
      </c>
      <c r="OQ349" s="1065">
        <v>0.99928566154595488</v>
      </c>
      <c r="OR349" s="1065">
        <v>0.99928566154595488</v>
      </c>
      <c r="OS349" s="1065">
        <v>0.98625539832048592</v>
      </c>
      <c r="OT349" s="1065">
        <v>0.98625539832048592</v>
      </c>
      <c r="OU349" s="1065">
        <v>0.98625539832048592</v>
      </c>
      <c r="OV349" s="1065">
        <v>0.98625539832048592</v>
      </c>
      <c r="OW349" s="1065">
        <v>0.98625539832048592</v>
      </c>
      <c r="OX349" s="1065">
        <v>0.98625539832048592</v>
      </c>
      <c r="OY349" s="1065">
        <v>0.98625539832048592</v>
      </c>
      <c r="OZ349" s="1065">
        <v>0.98625539832048592</v>
      </c>
      <c r="PA349" s="1065">
        <v>0.98987556694611756</v>
      </c>
      <c r="PB349" s="1065">
        <v>0.98987556694611756</v>
      </c>
      <c r="PC349" s="1065">
        <v>0.98987556694611756</v>
      </c>
      <c r="PD349" s="1065">
        <v>0.98987556694611756</v>
      </c>
      <c r="PE349" s="1065">
        <v>0.98987556694611756</v>
      </c>
      <c r="PF349" s="1065">
        <v>0.98987556694611756</v>
      </c>
      <c r="PG349" s="1065">
        <v>0.98987556694611756</v>
      </c>
      <c r="PH349" s="1065">
        <v>0.98987556694611756</v>
      </c>
      <c r="PI349" s="1065">
        <v>0.99871831786624876</v>
      </c>
      <c r="PJ349" s="1065">
        <v>0.99871831786624876</v>
      </c>
      <c r="PK349" s="1065">
        <v>0.99871831786624876</v>
      </c>
      <c r="PL349" s="1065">
        <v>0.99871831786624876</v>
      </c>
      <c r="PM349" s="1065">
        <v>0.99871831786624876</v>
      </c>
      <c r="PN349" s="1065">
        <v>0.99871831786624876</v>
      </c>
      <c r="PO349" s="1065">
        <v>0.99871831786624876</v>
      </c>
      <c r="PP349" s="1065">
        <v>0.99871831786624876</v>
      </c>
      <c r="PQ349" s="1065">
        <v>0.9995012106203085</v>
      </c>
      <c r="PR349" s="1065">
        <v>0.9995012106203085</v>
      </c>
      <c r="PS349" s="1065">
        <v>0.9995012106203085</v>
      </c>
      <c r="PT349" s="1065">
        <v>0.9995012106203085</v>
      </c>
      <c r="PU349" s="1065">
        <v>0.9995012106203085</v>
      </c>
      <c r="PV349" s="1065">
        <v>0.9995012106203085</v>
      </c>
      <c r="PW349" s="1065">
        <v>0.9995012106203085</v>
      </c>
      <c r="PX349" s="1065">
        <v>0.9995012106203085</v>
      </c>
      <c r="PY349" s="1065">
        <v>0.99747482182639469</v>
      </c>
      <c r="PZ349" s="1065">
        <v>0.99747482182639469</v>
      </c>
      <c r="QA349" s="1065">
        <v>0.99747482182639469</v>
      </c>
      <c r="QB349" s="1065">
        <v>0.99747482182639469</v>
      </c>
      <c r="QC349" s="1065">
        <v>0.99747482182639469</v>
      </c>
      <c r="QD349" s="1065">
        <v>0.99747482182639469</v>
      </c>
      <c r="QE349" s="1065">
        <v>0.99747482182639469</v>
      </c>
      <c r="QF349" s="1065">
        <v>0.99747482182639469</v>
      </c>
      <c r="QG349" s="1065">
        <v>0.98867173374429007</v>
      </c>
      <c r="QH349" s="1065">
        <v>0.99050566013887564</v>
      </c>
      <c r="QI349" s="1065">
        <v>0.99037360702919519</v>
      </c>
      <c r="QJ349" s="1065">
        <v>0.99261214439238676</v>
      </c>
      <c r="QK349" s="1065">
        <v>0.99485962227873925</v>
      </c>
      <c r="QL349" s="1065">
        <v>0.99454829722831506</v>
      </c>
      <c r="QM349" s="1065">
        <v>0.99594201189232501</v>
      </c>
      <c r="QN349" s="1065">
        <v>0.99685007516339919</v>
      </c>
      <c r="QO349" s="1065">
        <v>0.90522894846670388</v>
      </c>
      <c r="QP349" s="1065">
        <v>0.90779248603128293</v>
      </c>
      <c r="QQ349" s="1065">
        <v>0.9170366097252699</v>
      </c>
      <c r="QR349" s="1065">
        <v>0.92077669826070463</v>
      </c>
      <c r="QS349" s="1065">
        <v>0.94040416220683598</v>
      </c>
      <c r="QT349" s="1065">
        <v>0.93531899271355678</v>
      </c>
      <c r="QU349" s="1065">
        <v>0.95643519811435218</v>
      </c>
      <c r="QV349" s="1065">
        <v>0.98087986796945803</v>
      </c>
      <c r="QW349" s="1065">
        <v>0.99233597077249969</v>
      </c>
      <c r="QX349" s="1065">
        <v>0.99346602306399057</v>
      </c>
      <c r="QY349" s="1065">
        <v>0.9943673193492939</v>
      </c>
      <c r="QZ349" s="1065">
        <v>0.99523432171479653</v>
      </c>
      <c r="RA349" s="1065">
        <v>0.99664070346189204</v>
      </c>
      <c r="RB349" s="1065">
        <v>0.99719568893024269</v>
      </c>
      <c r="RC349" s="1065">
        <v>0.99769636679526641</v>
      </c>
      <c r="RD349" s="1065">
        <v>0.99806157064984469</v>
      </c>
      <c r="RE349" s="1065">
        <v>0.99876814834025696</v>
      </c>
      <c r="RF349" s="1065">
        <v>0.9985630665946772</v>
      </c>
      <c r="RG349" s="1065">
        <v>0.99889643555555818</v>
      </c>
      <c r="RH349" s="1065">
        <v>0.9983931574305116</v>
      </c>
      <c r="RI349" s="1065">
        <v>0.99792481265305033</v>
      </c>
      <c r="RJ349" s="1065">
        <v>0.99835222721242478</v>
      </c>
      <c r="RK349" s="1065">
        <v>0.99764402198268343</v>
      </c>
      <c r="RL349" s="1065">
        <v>0.99708276439520505</v>
      </c>
      <c r="RM349" s="1065">
        <v>0.99294313920329302</v>
      </c>
      <c r="RN349" s="1065">
        <v>0.99344240336031231</v>
      </c>
      <c r="RO349" s="1065">
        <v>0.99478334280811398</v>
      </c>
      <c r="RP349" s="1065">
        <v>0.99454377000360017</v>
      </c>
      <c r="RQ349" s="1065">
        <v>0.99494100992570811</v>
      </c>
      <c r="RR349" s="1065">
        <v>0.99557081943951886</v>
      </c>
      <c r="RS349" s="1065">
        <v>0.99530362502059666</v>
      </c>
      <c r="RT349" s="1065">
        <v>0.99541191587940092</v>
      </c>
      <c r="RU349" s="1065">
        <v>0.99944248480461872</v>
      </c>
      <c r="RV349" s="1065">
        <v>0.99932887311876173</v>
      </c>
      <c r="RW349" s="1065">
        <v>0.99948460940941886</v>
      </c>
      <c r="RX349" s="1065">
        <v>0.99915384455045475</v>
      </c>
      <c r="RY349" s="1065">
        <v>0.99890591134107576</v>
      </c>
      <c r="RZ349" s="1065">
        <v>0.99910481035624676</v>
      </c>
      <c r="SA349" s="1065">
        <v>0.99866842556045854</v>
      </c>
      <c r="SB349" s="1065">
        <v>0.99847319321377359</v>
      </c>
      <c r="SC349" s="1065">
        <v>0.98400969074971301</v>
      </c>
      <c r="SD349" s="1065">
        <v>0.9872654186348111</v>
      </c>
      <c r="SE349" s="1065">
        <v>0.98606759167479541</v>
      </c>
      <c r="SF349" s="1065">
        <v>0.99095423329997689</v>
      </c>
      <c r="SG349" s="1065">
        <v>0.99456619250138045</v>
      </c>
      <c r="SH349" s="1065">
        <v>0.99326678418010572</v>
      </c>
      <c r="SI349" s="1065">
        <v>0.99601010543401092</v>
      </c>
      <c r="SJ349" s="1065">
        <v>0.99742521581902621</v>
      </c>
      <c r="SK349" s="1065">
        <v>0.99597081830254375</v>
      </c>
      <c r="SL349" s="1065">
        <v>0.99578101889632098</v>
      </c>
      <c r="SM349" s="1065">
        <v>0.99601853171201404</v>
      </c>
      <c r="SN349" s="1065">
        <v>0.99555938759945017</v>
      </c>
      <c r="SO349" s="1065">
        <v>0.99500618068400448</v>
      </c>
      <c r="SP349" s="1065">
        <v>0.99523357149884162</v>
      </c>
      <c r="SQ349" s="1065">
        <v>0.99459113563887069</v>
      </c>
      <c r="SR349" s="1065">
        <v>0.99390779600002443</v>
      </c>
      <c r="SS349" s="1065">
        <v>0.9984103851757461</v>
      </c>
      <c r="ST349" s="1065">
        <v>0.99821660525585432</v>
      </c>
      <c r="SU349" s="1065">
        <v>0.99818920498388475</v>
      </c>
      <c r="SV349" s="1065">
        <v>0.99790851882267273</v>
      </c>
      <c r="SW349" s="1065">
        <v>0.99765964054330392</v>
      </c>
      <c r="SX349" s="1065">
        <v>0.99799494951517798</v>
      </c>
      <c r="SY349" s="1065">
        <v>0.9974947332847609</v>
      </c>
      <c r="SZ349" s="1065">
        <v>0.99709914266825761</v>
      </c>
      <c r="TA349" s="1065">
        <v>0.99084940906207974</v>
      </c>
      <c r="TB349" s="1065">
        <v>0.99096649002496007</v>
      </c>
      <c r="TC349" s="1065">
        <v>0.99598836112112843</v>
      </c>
      <c r="TD349" s="1065">
        <v>0.99393531083759146</v>
      </c>
      <c r="TE349" s="1065">
        <v>0.99406624490546236</v>
      </c>
      <c r="TF349" s="1065">
        <v>0.99783681879861441</v>
      </c>
      <c r="TG349" s="1065">
        <v>0.99638424700093065</v>
      </c>
      <c r="TH349" s="1065">
        <v>0.99723421232106946</v>
      </c>
      <c r="TI349" s="1065">
        <v>0.99672133674447638</v>
      </c>
      <c r="TJ349" s="1065">
        <v>0.99652118873888818</v>
      </c>
      <c r="TK349" s="1065">
        <v>0.99706572353336453</v>
      </c>
      <c r="TL349" s="1065">
        <v>0.99653231523160668</v>
      </c>
      <c r="TM349" s="1065">
        <v>0.9961914344055367</v>
      </c>
      <c r="TN349" s="1065">
        <v>0.99654391243594476</v>
      </c>
      <c r="TO349" s="1065">
        <v>0.99602337772612948</v>
      </c>
      <c r="TP349" s="1065">
        <v>0.99574423398383727</v>
      </c>
      <c r="TQ349" s="1065">
        <v>0.98776783588882677</v>
      </c>
      <c r="TR349" s="1065">
        <v>0.98961714265780187</v>
      </c>
      <c r="TS349" s="1065">
        <v>0.98955498354572646</v>
      </c>
      <c r="TT349" s="1065">
        <v>0.9918121980608654</v>
      </c>
      <c r="TU349" s="1065">
        <v>0.9941829177734568</v>
      </c>
      <c r="TV349" s="1065">
        <v>0.99391552257675886</v>
      </c>
      <c r="TW349" s="1065">
        <v>0.99542789769545081</v>
      </c>
      <c r="TX349" s="1065">
        <v>0.99651971252458926</v>
      </c>
      <c r="TY349" s="1065">
        <v>0.9076626258759698</v>
      </c>
      <c r="TZ349" s="1065">
        <v>0.91006371032542999</v>
      </c>
      <c r="UA349" s="1065">
        <v>0.91922086601041364</v>
      </c>
      <c r="UB349" s="1065">
        <v>0.92254844842352968</v>
      </c>
      <c r="UC349" s="1065">
        <v>0.94112573309584968</v>
      </c>
      <c r="UD349" s="1065">
        <v>0.93679176464739722</v>
      </c>
      <c r="UE349" s="1065">
        <v>0.9565785695295278</v>
      </c>
      <c r="UF349" s="1065">
        <v>0.9805116483947599</v>
      </c>
      <c r="UG349" s="1065">
        <v>0.99186954340548705</v>
      </c>
      <c r="UH349" s="1065">
        <v>0.99302471628743194</v>
      </c>
      <c r="UI349" s="1065">
        <v>0.99396610297968002</v>
      </c>
      <c r="UJ349" s="1065">
        <v>0.99482851241440939</v>
      </c>
      <c r="UK349" s="1065">
        <v>0.99628736655692196</v>
      </c>
      <c r="UL349" s="1065">
        <v>0.99684410313050231</v>
      </c>
      <c r="UM349" s="1065">
        <v>0.99739837030569589</v>
      </c>
      <c r="UN349" s="1065">
        <v>0.99791813117071293</v>
      </c>
      <c r="UO349" s="1065">
        <v>0.99879606524059439</v>
      </c>
      <c r="UP349" s="1065">
        <v>0.99859319642474187</v>
      </c>
      <c r="UQ349" s="1065">
        <v>0.99892069369221415</v>
      </c>
      <c r="UR349" s="1065">
        <v>0.99842121339101342</v>
      </c>
      <c r="US349" s="1065">
        <v>0.99793243205796434</v>
      </c>
      <c r="UT349" s="1065">
        <v>0.99837573287775716</v>
      </c>
      <c r="UU349" s="1065">
        <v>0.99765158587836056</v>
      </c>
      <c r="UV349" s="1065">
        <v>0.99708306252834544</v>
      </c>
      <c r="UW349" s="1065">
        <v>0.99249417599423573</v>
      </c>
      <c r="UX349" s="1065">
        <v>0.99300276019336131</v>
      </c>
      <c r="UY349" s="1065">
        <v>0.99441304359234917</v>
      </c>
      <c r="UZ349" s="1065">
        <v>0.99413686802829315</v>
      </c>
      <c r="VA349" s="1065">
        <v>0.99456303261740919</v>
      </c>
      <c r="VB349" s="1065">
        <v>0.99523996760914402</v>
      </c>
      <c r="VC349" s="1065">
        <v>0.99496186418584986</v>
      </c>
      <c r="VD349" s="1065">
        <v>0.995139101900264</v>
      </c>
      <c r="VE349" s="1065">
        <v>0.99942935177504832</v>
      </c>
      <c r="VF349" s="1065">
        <v>0.99931076890287884</v>
      </c>
      <c r="VG349" s="1065">
        <v>0.99947442971091971</v>
      </c>
      <c r="VH349" s="1065">
        <v>0.99912209431225363</v>
      </c>
      <c r="VI349" s="1065">
        <v>0.99882623865188147</v>
      </c>
      <c r="VJ349" s="1065">
        <v>0.99907462646503253</v>
      </c>
      <c r="VK349" s="1065">
        <v>0.99857135706239541</v>
      </c>
      <c r="VL349" s="1065">
        <v>0.99831714390280879</v>
      </c>
      <c r="VM349" s="1065">
        <v>0.98194181253682089</v>
      </c>
      <c r="VN349" s="1065">
        <v>0.98522694481572859</v>
      </c>
      <c r="VO349" s="1065">
        <v>0.98412512007447683</v>
      </c>
      <c r="VP349" s="1065">
        <v>0.98920675066915797</v>
      </c>
      <c r="VQ349" s="1065">
        <v>0.99323365530684538</v>
      </c>
      <c r="VR349" s="1065">
        <v>0.99171893594093252</v>
      </c>
      <c r="VS349" s="1065">
        <v>0.99486225453899713</v>
      </c>
      <c r="VT349" s="1065">
        <v>0.99669762341559254</v>
      </c>
      <c r="VU349" s="1065">
        <v>0.99598405746221708</v>
      </c>
      <c r="VV349" s="1065">
        <v>0.99586474440320649</v>
      </c>
      <c r="VW349" s="1065">
        <v>0.99605273871568289</v>
      </c>
      <c r="VX349" s="1065">
        <v>0.99570338724853735</v>
      </c>
      <c r="VY349" s="1065">
        <v>0.99530034299894621</v>
      </c>
      <c r="VZ349" s="1065">
        <v>0.99549405137204094</v>
      </c>
      <c r="WA349" s="1065">
        <v>0.99496694472050684</v>
      </c>
      <c r="WB349" s="1065">
        <v>0.99439379328291722</v>
      </c>
      <c r="WC349" s="1065">
        <v>0.99841017693813583</v>
      </c>
      <c r="WD349" s="1065">
        <v>0.99821595955900166</v>
      </c>
      <c r="WE349" s="1065">
        <v>0.99818809726420066</v>
      </c>
      <c r="WF349" s="1065">
        <v>0.99790434041917875</v>
      </c>
      <c r="WG349" s="1065">
        <v>0.99765017079262663</v>
      </c>
      <c r="WH349" s="1065">
        <v>0.99799108849769569</v>
      </c>
      <c r="WI349" s="1065">
        <v>0.99748454021636801</v>
      </c>
      <c r="WJ349" s="1065">
        <v>0.99708091095603957</v>
      </c>
      <c r="WK349" s="1065">
        <v>0.99086530773962578</v>
      </c>
      <c r="WL349" s="1065">
        <v>0.99097911050922971</v>
      </c>
      <c r="WM349" s="1065">
        <v>0.99595756446736416</v>
      </c>
      <c r="WN349" s="1065">
        <v>0.99391024490991686</v>
      </c>
      <c r="WO349" s="1065">
        <v>0.99396118948452494</v>
      </c>
      <c r="WP349" s="1065">
        <v>0.99779829660334418</v>
      </c>
      <c r="WQ349" s="1065">
        <v>0.99624841706594069</v>
      </c>
      <c r="WR349" s="1065">
        <v>0.99700612462078442</v>
      </c>
      <c r="WS349" s="1065">
        <v>0.99658687631216203</v>
      </c>
      <c r="WT349" s="1065">
        <v>0.99638189184589265</v>
      </c>
      <c r="WU349" s="1065">
        <v>0.99698394848449068</v>
      </c>
      <c r="WV349" s="1065">
        <v>0.996413718391429</v>
      </c>
      <c r="WW349" s="1065">
        <v>0.99606448431291839</v>
      </c>
      <c r="WX349" s="1065">
        <v>0.99645801676084089</v>
      </c>
      <c r="WY349" s="1065">
        <v>0.99590578783178818</v>
      </c>
      <c r="WZ349" s="1065">
        <v>0.99562934722482921</v>
      </c>
      <c r="XA349" s="1065">
        <v>0.95891331233444854</v>
      </c>
      <c r="XB349" s="1065">
        <v>0.95697090217481129</v>
      </c>
      <c r="XC349" s="1065">
        <v>0.96104056992320464</v>
      </c>
      <c r="XD349" s="1065">
        <v>0.95770936551390529</v>
      </c>
      <c r="XE349" s="1065">
        <v>0.96282957376909384</v>
      </c>
      <c r="XF349" s="1065">
        <v>0.95845452228628847</v>
      </c>
      <c r="XG349" s="1065">
        <v>0.95795953501660269</v>
      </c>
      <c r="XH349" s="1065">
        <v>0.95734768748440124</v>
      </c>
      <c r="XI349" s="1065">
        <v>0.96439503462826404</v>
      </c>
      <c r="XJ349" s="1065">
        <v>0.96752140672194864</v>
      </c>
      <c r="XK349" s="1065">
        <v>0.96583666016665215</v>
      </c>
      <c r="XL349" s="1065">
        <v>0.97046825472224441</v>
      </c>
      <c r="XM349" s="1065">
        <v>0.96890524378510268</v>
      </c>
      <c r="XN349" s="1065">
        <v>0.97352402283446526</v>
      </c>
      <c r="XO349" s="1065">
        <v>0.97246840271314661</v>
      </c>
      <c r="XP349" s="1065">
        <v>0.97281228141004961</v>
      </c>
      <c r="XQ349" s="1065">
        <v>0.98198963353837587</v>
      </c>
      <c r="XR349" s="1065">
        <v>0.98235439145618497</v>
      </c>
      <c r="XS349" s="1065">
        <v>0.98369453465765144</v>
      </c>
      <c r="XT349" s="1065">
        <v>0.98426732868615541</v>
      </c>
      <c r="XU349" s="1065">
        <v>0.98491668685612832</v>
      </c>
      <c r="XV349" s="1065">
        <v>0.9872145717380747</v>
      </c>
      <c r="XW349" s="1065">
        <v>0.98744326442696484</v>
      </c>
      <c r="XX349" s="1065">
        <v>0.98565182380253857</v>
      </c>
      <c r="XY349" s="1065">
        <v>0.98418469198792347</v>
      </c>
      <c r="XZ349" s="1065">
        <v>0.99173563692572331</v>
      </c>
      <c r="YA349" s="1065">
        <v>0.97762515215348922</v>
      </c>
      <c r="YB349" s="1065">
        <v>0.99194985338614139</v>
      </c>
      <c r="YC349" s="1065">
        <v>0.99339460840341054</v>
      </c>
      <c r="YD349" s="1065">
        <v>0.99221565250869237</v>
      </c>
      <c r="YE349" s="1065">
        <v>0.99268811171930282</v>
      </c>
      <c r="YF349" s="1065">
        <v>0.9918472782942287</v>
      </c>
      <c r="YG349" s="1065">
        <v>0.97444612063266722</v>
      </c>
      <c r="YH349" s="1065">
        <v>0.97463589970721765</v>
      </c>
      <c r="YI349" s="1065">
        <v>0.97711104773271773</v>
      </c>
      <c r="YJ349" s="1065">
        <v>0.97676576516564217</v>
      </c>
      <c r="YK349" s="1065">
        <v>0.97599057464848538</v>
      </c>
      <c r="YL349" s="1065">
        <v>0.97809802374669375</v>
      </c>
      <c r="YM349" s="1065">
        <v>0.97727998006118599</v>
      </c>
      <c r="YN349" s="1065">
        <v>0.97610129144848357</v>
      </c>
      <c r="YO349" s="1065">
        <v>0.98311519596394858</v>
      </c>
      <c r="YP349" s="1065">
        <v>0.98400527943458815</v>
      </c>
      <c r="YQ349" s="1065">
        <v>0.9781764865892022</v>
      </c>
      <c r="YR349" s="1065">
        <v>0.98496910123036796</v>
      </c>
      <c r="YS349" s="1065">
        <v>0.9847289197275727</v>
      </c>
      <c r="YT349" s="1065">
        <v>0.98653780973391114</v>
      </c>
      <c r="YU349" s="1065">
        <v>0.98904476228387239</v>
      </c>
      <c r="YV349" s="1065">
        <v>0.98810582605023267</v>
      </c>
      <c r="YW349" s="1065">
        <v>0.97472394953922004</v>
      </c>
      <c r="YX349" s="1065">
        <v>0.97171390558407589</v>
      </c>
      <c r="YY349" s="1065">
        <v>0.97325869416587818</v>
      </c>
      <c r="YZ349" s="1065">
        <v>0.97092870914586471</v>
      </c>
      <c r="ZA349" s="1065">
        <v>0.97147437619298693</v>
      </c>
      <c r="ZB349" s="1065">
        <v>0.97089950794934798</v>
      </c>
      <c r="ZC349" s="1065">
        <v>0.96979304272205591</v>
      </c>
      <c r="ZD349" s="1065">
        <v>0.97066659000370348</v>
      </c>
      <c r="ZE349" s="1065">
        <v>0.98338202504945371</v>
      </c>
      <c r="ZF349" s="1065">
        <v>0.98347434020120827</v>
      </c>
      <c r="ZG349" s="1065">
        <v>0.98431757516392304</v>
      </c>
      <c r="ZH349" s="1065">
        <v>0.98368177230347675</v>
      </c>
      <c r="ZI349" s="1065">
        <v>0.98295248976458249</v>
      </c>
      <c r="ZJ349" s="1065">
        <v>0.98464343588958314</v>
      </c>
      <c r="ZK349" s="1065">
        <v>0.98348982395627216</v>
      </c>
      <c r="ZL349" s="1065">
        <v>0.98394426266446844</v>
      </c>
      <c r="ZM349" s="1065">
        <v>0.97952948709783472</v>
      </c>
      <c r="ZN349" s="1065">
        <v>0.98396961303134567</v>
      </c>
      <c r="ZO349" s="1065">
        <v>0.98163493747590347</v>
      </c>
      <c r="ZP349" s="1065">
        <v>0.98834754979908679</v>
      </c>
      <c r="ZQ349" s="1065">
        <v>0.9844330977106831</v>
      </c>
      <c r="ZR349" s="1065">
        <v>0.9873557422750816</v>
      </c>
      <c r="ZS349" s="1065">
        <v>0.99144020797017407</v>
      </c>
      <c r="ZT349" s="1065">
        <v>0.98842263971131694</v>
      </c>
      <c r="ZU349" s="1065">
        <v>0.9885797682313936</v>
      </c>
      <c r="ZV349" s="1065">
        <v>0.99146719695530439</v>
      </c>
      <c r="ZW349" s="1065">
        <v>0.97983736259218857</v>
      </c>
      <c r="ZX349" s="1065">
        <v>0.97509319709134989</v>
      </c>
      <c r="ZY349" s="1065">
        <v>0.9942062271778993</v>
      </c>
      <c r="ZZ349" s="1065">
        <v>0.99334382990933667</v>
      </c>
      <c r="AAA349" s="1065">
        <v>0.98163454969192887</v>
      </c>
      <c r="AAB349" s="1065">
        <v>0.99427055822353094</v>
      </c>
      <c r="AAC349" s="1065">
        <v>0.99405920099684708</v>
      </c>
      <c r="AAD349" s="1065">
        <v>0.99393075037287304</v>
      </c>
      <c r="AAE349" s="1065">
        <v>0.9940716077191355</v>
      </c>
      <c r="AAF349" s="1065">
        <v>0.99406715924593858</v>
      </c>
      <c r="AAG349" s="1065">
        <v>0.99385929814707596</v>
      </c>
      <c r="AAH349" s="1065">
        <v>0.99410019470307875</v>
      </c>
      <c r="AAI349" s="1065">
        <v>0.99056955935076862</v>
      </c>
      <c r="AAJ349" s="1065">
        <v>0.99196900968540047</v>
      </c>
      <c r="AAK349" s="1066"/>
    </row>
    <row r="350" spans="2:713" hidden="1">
      <c r="B350" s="1023" t="s">
        <v>1866</v>
      </c>
      <c r="C350" s="723"/>
      <c r="D350" s="999"/>
      <c r="E350" s="1058" t="s">
        <v>1857</v>
      </c>
      <c r="F350" s="1058"/>
      <c r="G350" s="1058"/>
      <c r="H350" s="1059"/>
      <c r="I350" s="16"/>
      <c r="J350" s="16"/>
      <c r="K350" s="16"/>
      <c r="L350" s="16"/>
      <c r="M350" s="16"/>
      <c r="N350" s="16"/>
      <c r="O350" s="16"/>
      <c r="P350" s="16"/>
      <c r="Q350" s="16"/>
      <c r="R350" s="16"/>
      <c r="S350" s="16"/>
      <c r="T350" s="16"/>
      <c r="U350" s="16"/>
      <c r="V350" s="16"/>
      <c r="W350" s="16"/>
      <c r="X350" s="16"/>
      <c r="Y350" s="20"/>
      <c r="Z350" s="5"/>
      <c r="AA350" s="5"/>
      <c r="AB350" s="5"/>
      <c r="AC350" s="5"/>
      <c r="AD350" s="5"/>
      <c r="AE350" s="5"/>
      <c r="AF350" s="5"/>
      <c r="AG350" s="5"/>
      <c r="AH350" s="5"/>
      <c r="AI350" s="5"/>
      <c r="AJ350" s="5"/>
      <c r="AK350" s="5"/>
      <c r="AL350" s="5"/>
      <c r="AM350" s="5"/>
      <c r="AN350" s="5"/>
      <c r="AO350" s="5"/>
      <c r="AP350" s="5"/>
      <c r="AQ350" s="5"/>
      <c r="AR350" s="5"/>
      <c r="AS350" s="22"/>
    </row>
    <row r="351" spans="2:713" hidden="1">
      <c r="B351" s="1023" t="s">
        <v>1866</v>
      </c>
      <c r="C351" s="723"/>
      <c r="D351" s="999"/>
      <c r="E351" s="792" t="s">
        <v>1861</v>
      </c>
      <c r="F351" s="391"/>
      <c r="G351" s="391"/>
      <c r="H351" s="544"/>
      <c r="I351" s="16"/>
      <c r="J351" s="16"/>
      <c r="K351" s="16"/>
      <c r="L351" s="16"/>
      <c r="M351" s="16"/>
      <c r="N351" s="16"/>
      <c r="O351" s="16"/>
      <c r="P351" s="16"/>
      <c r="Q351" s="16"/>
      <c r="R351" s="16"/>
      <c r="S351" s="16"/>
      <c r="T351" s="16"/>
      <c r="U351" s="16"/>
      <c r="V351" s="16"/>
      <c r="W351" s="16"/>
      <c r="X351" s="16"/>
      <c r="Y351" s="20"/>
      <c r="Z351" s="5"/>
      <c r="AA351" s="5"/>
      <c r="AB351" s="5"/>
      <c r="AC351" s="5"/>
      <c r="AD351" s="5"/>
      <c r="AE351" s="5"/>
      <c r="AF351" s="5"/>
      <c r="AG351" s="5"/>
      <c r="AH351" s="5"/>
      <c r="AI351" s="5"/>
      <c r="AJ351" s="5"/>
      <c r="AK351" s="5"/>
      <c r="AL351" s="5"/>
      <c r="AM351" s="5"/>
      <c r="AN351" s="5"/>
      <c r="AO351" s="5"/>
      <c r="AP351" s="5"/>
      <c r="AQ351" s="5"/>
      <c r="AR351" s="5"/>
      <c r="AS351" s="22"/>
    </row>
    <row r="352" spans="2:713" hidden="1">
      <c r="B352" s="1023" t="s">
        <v>1866</v>
      </c>
      <c r="C352" s="723"/>
      <c r="D352" s="999"/>
      <c r="E352" s="792" t="s">
        <v>1858</v>
      </c>
      <c r="F352" s="391"/>
      <c r="G352" s="391"/>
      <c r="H352" s="544"/>
      <c r="I352" s="16"/>
      <c r="J352" s="16"/>
      <c r="K352" s="16"/>
      <c r="L352" s="16"/>
      <c r="M352" s="16"/>
      <c r="N352" s="16"/>
      <c r="O352" s="16"/>
      <c r="P352" s="16"/>
      <c r="Q352" s="16"/>
      <c r="R352" s="16"/>
      <c r="S352" s="16"/>
      <c r="T352" s="16"/>
      <c r="U352" s="16"/>
      <c r="V352" s="16"/>
      <c r="W352" s="16"/>
      <c r="X352" s="16"/>
      <c r="Y352" s="20"/>
      <c r="Z352" s="5"/>
      <c r="AA352" s="5"/>
      <c r="AB352" s="5"/>
      <c r="AC352" s="5"/>
      <c r="AD352" s="5"/>
      <c r="AE352" s="5"/>
      <c r="AF352" s="5"/>
      <c r="AG352" s="5"/>
      <c r="AH352" s="5"/>
      <c r="AI352" s="5"/>
      <c r="AJ352" s="5"/>
      <c r="AK352" s="5"/>
      <c r="AL352" s="5"/>
      <c r="AM352" s="5"/>
      <c r="AN352" s="5"/>
      <c r="AO352" s="5"/>
      <c r="AP352" s="5"/>
      <c r="AQ352" s="5"/>
      <c r="AR352" s="5"/>
      <c r="AS352" s="22"/>
    </row>
    <row r="353" spans="1:45" hidden="1">
      <c r="B353" s="1023" t="s">
        <v>1866</v>
      </c>
      <c r="C353" s="723"/>
      <c r="D353" s="999"/>
      <c r="E353" s="792" t="s">
        <v>1859</v>
      </c>
      <c r="F353" s="391"/>
      <c r="G353" s="391"/>
      <c r="H353" s="544"/>
      <c r="I353" s="16"/>
      <c r="J353" s="16"/>
      <c r="K353" s="16"/>
      <c r="L353" s="16"/>
      <c r="M353" s="16"/>
      <c r="N353" s="16"/>
      <c r="O353" s="16"/>
      <c r="P353" s="16"/>
      <c r="Q353" s="16"/>
      <c r="R353" s="16"/>
      <c r="S353" s="16"/>
      <c r="T353" s="16"/>
      <c r="U353" s="16"/>
      <c r="V353" s="16"/>
      <c r="W353" s="16"/>
      <c r="X353" s="16"/>
      <c r="Y353" s="20"/>
      <c r="Z353" s="5"/>
      <c r="AA353" s="5"/>
      <c r="AB353" s="5"/>
      <c r="AC353" s="5"/>
      <c r="AD353" s="5"/>
      <c r="AE353" s="5"/>
      <c r="AF353" s="5"/>
      <c r="AG353" s="5"/>
      <c r="AH353" s="5"/>
      <c r="AI353" s="5"/>
      <c r="AJ353" s="5"/>
      <c r="AK353" s="5"/>
      <c r="AL353" s="5"/>
      <c r="AM353" s="5"/>
      <c r="AN353" s="5"/>
      <c r="AO353" s="5"/>
      <c r="AP353" s="5"/>
      <c r="AQ353" s="5"/>
      <c r="AR353" s="5"/>
      <c r="AS353" s="22"/>
    </row>
    <row r="354" spans="1:45" hidden="1">
      <c r="B354" s="1023" t="s">
        <v>1866</v>
      </c>
      <c r="C354" s="723"/>
      <c r="D354" s="999"/>
      <c r="E354" s="792" t="s">
        <v>1860</v>
      </c>
      <c r="F354" s="391"/>
      <c r="G354" s="391"/>
      <c r="H354" s="544"/>
      <c r="I354" s="16"/>
      <c r="J354" s="16"/>
      <c r="K354" s="16"/>
      <c r="L354" s="16"/>
      <c r="M354" s="16"/>
      <c r="N354" s="16"/>
      <c r="O354" s="16"/>
      <c r="P354" s="16"/>
      <c r="Q354" s="16"/>
      <c r="R354" s="16"/>
      <c r="S354" s="16"/>
      <c r="T354" s="16"/>
      <c r="U354" s="16"/>
      <c r="V354" s="16"/>
      <c r="W354" s="16"/>
      <c r="X354" s="16"/>
      <c r="Y354" s="20"/>
      <c r="Z354" s="5"/>
      <c r="AA354" s="5"/>
      <c r="AB354" s="5"/>
      <c r="AC354" s="5"/>
      <c r="AD354" s="5"/>
      <c r="AE354" s="5"/>
      <c r="AF354" s="5"/>
      <c r="AG354" s="5"/>
      <c r="AH354" s="5"/>
      <c r="AI354" s="5"/>
      <c r="AJ354" s="5"/>
      <c r="AK354" s="5"/>
      <c r="AL354" s="5"/>
      <c r="AM354" s="5"/>
      <c r="AN354" s="5"/>
      <c r="AO354" s="5"/>
      <c r="AP354" s="5"/>
      <c r="AQ354" s="5"/>
      <c r="AR354" s="5"/>
      <c r="AS354" s="22"/>
    </row>
    <row r="355" spans="1:45" hidden="1">
      <c r="B355" s="1023" t="s">
        <v>1866</v>
      </c>
      <c r="C355" s="723"/>
      <c r="D355" s="999"/>
      <c r="E355" s="1049" t="s">
        <v>1862</v>
      </c>
      <c r="F355" s="391"/>
      <c r="G355" s="391"/>
      <c r="H355" s="544"/>
      <c r="I355" s="16"/>
      <c r="J355" s="16"/>
      <c r="K355" s="16"/>
      <c r="L355" s="16"/>
      <c r="M355" s="16"/>
      <c r="N355" s="16"/>
      <c r="O355" s="16"/>
      <c r="P355" s="16"/>
      <c r="Q355" s="16"/>
      <c r="R355" s="16"/>
      <c r="S355" s="16"/>
      <c r="T355" s="16"/>
      <c r="U355" s="16"/>
      <c r="V355" s="16"/>
      <c r="W355" s="16"/>
      <c r="X355" s="16"/>
      <c r="Y355" s="20"/>
      <c r="Z355" s="5"/>
      <c r="AA355" s="5"/>
      <c r="AB355" s="5"/>
      <c r="AC355" s="5"/>
      <c r="AD355" s="5"/>
      <c r="AE355" s="5"/>
      <c r="AF355" s="5"/>
      <c r="AG355" s="5"/>
      <c r="AH355" s="5"/>
      <c r="AI355" s="5"/>
      <c r="AJ355" s="5"/>
      <c r="AK355" s="5"/>
      <c r="AL355" s="5"/>
      <c r="AM355" s="5"/>
      <c r="AN355" s="5"/>
      <c r="AO355" s="5"/>
      <c r="AP355" s="5"/>
      <c r="AQ355" s="5"/>
      <c r="AR355" s="5"/>
      <c r="AS355" s="22"/>
    </row>
    <row r="356" spans="1:45" hidden="1">
      <c r="B356" s="1023" t="s">
        <v>1866</v>
      </c>
      <c r="C356" s="723"/>
      <c r="D356" s="999"/>
      <c r="E356" s="1049" t="s">
        <v>1863</v>
      </c>
      <c r="F356" s="391"/>
      <c r="G356" s="391"/>
      <c r="H356" s="544"/>
      <c r="I356" s="16"/>
      <c r="J356" s="16"/>
      <c r="K356" s="16"/>
      <c r="L356" s="16"/>
      <c r="M356" s="16"/>
      <c r="N356" s="16"/>
      <c r="O356" s="16"/>
      <c r="P356" s="16"/>
      <c r="Q356" s="16"/>
      <c r="R356" s="16"/>
      <c r="S356" s="16"/>
      <c r="T356" s="16"/>
      <c r="U356" s="16"/>
      <c r="V356" s="16"/>
      <c r="W356" s="16"/>
      <c r="X356" s="16"/>
      <c r="Y356" s="20"/>
      <c r="Z356" s="5"/>
      <c r="AA356" s="5"/>
      <c r="AB356" s="5"/>
      <c r="AC356" s="5"/>
      <c r="AD356" s="5"/>
      <c r="AE356" s="5"/>
      <c r="AF356" s="5"/>
      <c r="AG356" s="5"/>
      <c r="AH356" s="5"/>
      <c r="AI356" s="5"/>
      <c r="AJ356" s="5"/>
      <c r="AK356" s="5"/>
      <c r="AL356" s="5"/>
      <c r="AM356" s="5"/>
      <c r="AN356" s="5"/>
      <c r="AO356" s="5"/>
      <c r="AP356" s="5"/>
      <c r="AQ356" s="5"/>
      <c r="AR356" s="5"/>
      <c r="AS356" s="22"/>
    </row>
    <row r="357" spans="1:45" hidden="1">
      <c r="B357" s="1023" t="s">
        <v>1866</v>
      </c>
      <c r="C357" s="723"/>
      <c r="D357" s="999"/>
      <c r="E357" s="1049" t="s">
        <v>1864</v>
      </c>
      <c r="F357" s="391"/>
      <c r="G357" s="391"/>
      <c r="H357" s="544"/>
      <c r="I357" s="16"/>
      <c r="J357" s="16"/>
      <c r="K357" s="16"/>
      <c r="L357" s="16"/>
      <c r="M357" s="16"/>
      <c r="N357" s="16"/>
      <c r="O357" s="16"/>
      <c r="P357" s="16"/>
      <c r="Q357" s="16"/>
      <c r="R357" s="16"/>
      <c r="S357" s="16"/>
      <c r="T357" s="16"/>
      <c r="U357" s="16"/>
      <c r="V357" s="16"/>
      <c r="W357" s="16"/>
      <c r="X357" s="16"/>
      <c r="Y357" s="20"/>
      <c r="Z357" s="5"/>
      <c r="AA357" s="5"/>
      <c r="AB357" s="5"/>
      <c r="AC357" s="5"/>
      <c r="AD357" s="5"/>
      <c r="AE357" s="5"/>
      <c r="AF357" s="5"/>
      <c r="AG357" s="5"/>
      <c r="AH357" s="5"/>
      <c r="AI357" s="5"/>
      <c r="AJ357" s="5"/>
      <c r="AK357" s="5"/>
      <c r="AL357" s="5"/>
      <c r="AM357" s="5"/>
      <c r="AN357" s="5"/>
      <c r="AO357" s="5"/>
      <c r="AP357" s="5"/>
      <c r="AQ357" s="5"/>
      <c r="AR357" s="5"/>
      <c r="AS357" s="22"/>
    </row>
    <row r="358" spans="1:45" hidden="1">
      <c r="B358" s="1023" t="s">
        <v>1866</v>
      </c>
      <c r="C358" s="723"/>
      <c r="D358" s="999"/>
      <c r="E358" s="1049" t="s">
        <v>1865</v>
      </c>
      <c r="F358" s="391"/>
      <c r="G358" s="391"/>
      <c r="H358" s="544"/>
      <c r="I358" s="16"/>
      <c r="J358" s="16"/>
      <c r="K358" s="16"/>
      <c r="L358" s="16"/>
      <c r="M358" s="16"/>
      <c r="N358" s="16"/>
      <c r="O358" s="16"/>
      <c r="P358" s="16"/>
      <c r="Q358" s="16"/>
      <c r="R358" s="16"/>
      <c r="S358" s="16"/>
      <c r="T358" s="16"/>
      <c r="U358" s="16"/>
      <c r="V358" s="16"/>
      <c r="W358" s="16"/>
      <c r="X358" s="16"/>
      <c r="Y358" s="20"/>
      <c r="Z358" s="5"/>
      <c r="AA358" s="5"/>
      <c r="AB358" s="5"/>
      <c r="AC358" s="5"/>
      <c r="AD358" s="5"/>
      <c r="AE358" s="5"/>
      <c r="AF358" s="5"/>
      <c r="AG358" s="5"/>
      <c r="AH358" s="5"/>
      <c r="AI358" s="5"/>
      <c r="AJ358" s="5"/>
      <c r="AK358" s="5"/>
      <c r="AL358" s="5"/>
      <c r="AM358" s="5"/>
      <c r="AN358" s="5"/>
      <c r="AO358" s="5"/>
      <c r="AP358" s="5"/>
      <c r="AQ358" s="5"/>
      <c r="AR358" s="5"/>
      <c r="AS358" s="22"/>
    </row>
    <row r="359" spans="1:45" hidden="1">
      <c r="B359" s="1023" t="s">
        <v>1866</v>
      </c>
      <c r="C359" s="723"/>
      <c r="D359" s="999"/>
      <c r="E359" s="1077" t="s">
        <v>1973</v>
      </c>
      <c r="F359" s="391"/>
      <c r="G359" s="391"/>
      <c r="H359" s="544"/>
      <c r="I359" s="16"/>
      <c r="J359" s="16"/>
      <c r="K359" s="16"/>
      <c r="L359" s="16"/>
      <c r="M359" s="16"/>
      <c r="N359" s="16"/>
      <c r="O359" s="16"/>
      <c r="P359" s="16"/>
      <c r="Q359" s="16"/>
      <c r="R359" s="16"/>
      <c r="S359" s="16"/>
      <c r="T359" s="16"/>
      <c r="U359" s="16"/>
      <c r="V359" s="16"/>
      <c r="W359" s="16"/>
      <c r="X359" s="16"/>
      <c r="Y359" s="20"/>
      <c r="Z359" s="5"/>
      <c r="AA359" s="5"/>
      <c r="AB359" s="5"/>
      <c r="AC359" s="5"/>
      <c r="AD359" s="5"/>
      <c r="AE359" s="5"/>
      <c r="AF359" s="5"/>
      <c r="AG359" s="5"/>
      <c r="AH359" s="5"/>
      <c r="AI359" s="5"/>
      <c r="AJ359" s="5"/>
      <c r="AK359" s="5"/>
      <c r="AL359" s="5"/>
      <c r="AM359" s="5"/>
      <c r="AN359" s="5"/>
      <c r="AO359" s="5"/>
      <c r="AP359" s="5"/>
      <c r="AQ359" s="5"/>
      <c r="AR359" s="5"/>
      <c r="AS359" s="22"/>
    </row>
    <row r="360" spans="1:45" hidden="1">
      <c r="B360" s="1023" t="s">
        <v>1866</v>
      </c>
      <c r="C360" s="723"/>
      <c r="D360" s="999"/>
      <c r="E360" s="5"/>
      <c r="F360" s="5"/>
      <c r="G360" s="5"/>
      <c r="H360" s="16"/>
      <c r="I360" s="16"/>
      <c r="J360" s="16"/>
      <c r="K360" s="16"/>
      <c r="L360" s="16"/>
      <c r="M360" s="16"/>
      <c r="N360" s="16"/>
      <c r="O360" s="16"/>
      <c r="P360" s="16"/>
      <c r="Q360" s="16"/>
      <c r="R360" s="16"/>
      <c r="S360" s="16"/>
      <c r="T360" s="16"/>
      <c r="U360" s="16"/>
      <c r="V360" s="16"/>
      <c r="W360" s="16"/>
      <c r="X360" s="16"/>
      <c r="Y360" s="20"/>
      <c r="Z360" s="16"/>
      <c r="AA360" s="16"/>
      <c r="AB360" s="5"/>
      <c r="AC360" s="5"/>
      <c r="AD360" s="5"/>
      <c r="AE360" s="5"/>
      <c r="AF360" s="5"/>
      <c r="AG360" s="5"/>
      <c r="AH360" s="5"/>
      <c r="AI360" s="5"/>
      <c r="AJ360" s="5"/>
      <c r="AK360" s="5"/>
      <c r="AL360" s="5"/>
      <c r="AM360" s="5"/>
      <c r="AN360" s="5"/>
      <c r="AO360" s="5"/>
      <c r="AP360" s="5"/>
      <c r="AQ360" s="5"/>
      <c r="AR360" s="5"/>
      <c r="AS360" s="22"/>
    </row>
    <row r="361" spans="1:45" hidden="1">
      <c r="B361" s="1023" t="s">
        <v>1877</v>
      </c>
      <c r="C361" s="723"/>
      <c r="D361" s="999"/>
      <c r="E361" s="5"/>
      <c r="F361" s="5"/>
      <c r="G361" s="5"/>
      <c r="H361" s="16"/>
      <c r="I361" s="16"/>
      <c r="J361" s="16"/>
      <c r="K361" s="16"/>
      <c r="L361" s="16"/>
      <c r="M361" s="16"/>
      <c r="N361" s="16"/>
      <c r="O361" s="16"/>
      <c r="P361" s="16"/>
      <c r="Q361" s="16"/>
      <c r="R361" s="16"/>
      <c r="S361" s="16"/>
      <c r="T361" s="16"/>
      <c r="U361" s="16"/>
      <c r="V361" s="16"/>
      <c r="W361" s="16"/>
      <c r="X361" s="16"/>
      <c r="Y361" s="20"/>
      <c r="Z361" s="16"/>
      <c r="AA361" s="16"/>
      <c r="AB361" s="5"/>
      <c r="AC361" s="5"/>
      <c r="AD361" s="5"/>
      <c r="AE361" s="5"/>
      <c r="AF361" s="5"/>
      <c r="AG361" s="5"/>
      <c r="AH361" s="5"/>
      <c r="AI361" s="5"/>
      <c r="AJ361" s="5"/>
      <c r="AK361" s="5"/>
      <c r="AL361" s="5"/>
      <c r="AM361" s="5"/>
      <c r="AN361" s="5"/>
      <c r="AO361" s="5"/>
      <c r="AP361" s="5"/>
      <c r="AQ361" s="5"/>
      <c r="AR361" s="5"/>
      <c r="AS361" s="22"/>
    </row>
    <row r="362" spans="1:45" ht="21" hidden="1">
      <c r="B362" s="1023" t="s">
        <v>1877</v>
      </c>
      <c r="C362" s="723"/>
      <c r="D362" s="999"/>
      <c r="E362" s="240" t="s">
        <v>1877</v>
      </c>
      <c r="F362" s="240"/>
      <c r="G362" s="240"/>
      <c r="H362" s="240"/>
      <c r="I362" s="240"/>
      <c r="J362" s="240"/>
      <c r="K362" s="240"/>
      <c r="L362" s="240"/>
      <c r="M362" s="240"/>
      <c r="N362" s="61"/>
      <c r="P362" s="61"/>
      <c r="Q362" s="20"/>
      <c r="R362" s="5"/>
      <c r="S362" s="5"/>
      <c r="T362" s="5"/>
      <c r="U362" s="5"/>
      <c r="V362" s="5"/>
      <c r="W362" s="5"/>
      <c r="X362" s="5"/>
      <c r="Y362" s="5"/>
      <c r="Z362" s="5"/>
      <c r="AA362" s="5"/>
      <c r="AB362" s="5"/>
      <c r="AC362" s="5"/>
      <c r="AD362" s="5"/>
      <c r="AE362" s="5"/>
      <c r="AF362" s="5"/>
      <c r="AG362" s="5"/>
      <c r="AH362" s="5"/>
      <c r="AI362" s="5"/>
      <c r="AJ362" s="5"/>
      <c r="AK362" s="437"/>
      <c r="AS362"/>
    </row>
    <row r="363" spans="1:45" hidden="1">
      <c r="B363" s="1023" t="s">
        <v>1877</v>
      </c>
      <c r="C363" s="723"/>
      <c r="D363" s="1000"/>
      <c r="E363" s="386" t="s">
        <v>483</v>
      </c>
      <c r="F363" s="386"/>
      <c r="G363" s="386" t="s">
        <v>420</v>
      </c>
      <c r="H363" s="387"/>
      <c r="I363" s="387">
        <f ca="1">OFFSET(I363,0,-1)+1</f>
        <v>1</v>
      </c>
      <c r="J363" s="387">
        <f ca="1">OFFSET(J363,0,-1)+1</f>
        <v>2</v>
      </c>
      <c r="K363" s="387">
        <f ca="1">OFFSET(K363,0,-1)+1</f>
        <v>3</v>
      </c>
      <c r="L363" s="387">
        <f ca="1">OFFSET(L363,0,-1)+1</f>
        <v>4</v>
      </c>
      <c r="M363" s="387"/>
      <c r="N363" s="61"/>
      <c r="P363" s="5"/>
      <c r="Q363" s="20"/>
      <c r="R363" s="5"/>
      <c r="S363" s="5"/>
      <c r="T363" s="5"/>
      <c r="U363" s="5"/>
      <c r="V363" s="5"/>
      <c r="W363" s="5"/>
      <c r="X363" s="5"/>
      <c r="Y363" s="5"/>
      <c r="Z363" s="5"/>
      <c r="AA363" s="5"/>
      <c r="AB363" s="5"/>
      <c r="AC363" s="5"/>
      <c r="AD363" s="5"/>
      <c r="AE363" s="5"/>
      <c r="AF363" s="5"/>
      <c r="AG363" s="5"/>
      <c r="AH363" s="5"/>
      <c r="AI363" s="5"/>
      <c r="AJ363" s="5"/>
      <c r="AK363" s="274"/>
      <c r="AS363"/>
    </row>
    <row r="364" spans="1:45" s="2" customFormat="1" ht="18.75" hidden="1">
      <c r="A364" s="309"/>
      <c r="B364" s="1023" t="s">
        <v>1877</v>
      </c>
      <c r="C364" s="723"/>
      <c r="D364" s="1004"/>
      <c r="E364" s="382" t="s">
        <v>1877</v>
      </c>
      <c r="F364" s="383"/>
      <c r="G364" s="382"/>
      <c r="H364" s="384"/>
      <c r="I364" s="385"/>
      <c r="J364" s="384"/>
      <c r="K364" s="9"/>
      <c r="L364" s="9"/>
      <c r="U364" s="4"/>
      <c r="V364" s="8"/>
      <c r="W364" s="4"/>
      <c r="X364" s="4"/>
      <c r="Y364" s="4"/>
      <c r="Z364" s="4"/>
      <c r="AA364" s="4"/>
      <c r="AB364" s="4"/>
      <c r="AC364" s="4"/>
      <c r="AD364" s="4"/>
      <c r="AE364" s="4"/>
      <c r="AF364" s="4"/>
      <c r="AG364" s="4"/>
      <c r="AH364" s="4"/>
      <c r="AI364" s="4"/>
      <c r="AJ364" s="4"/>
      <c r="AK364" s="4"/>
      <c r="AL364" s="4"/>
      <c r="AM364" s="4"/>
      <c r="AN364" s="4"/>
      <c r="AO364" s="4"/>
      <c r="AP364" s="22"/>
    </row>
    <row r="365" spans="1:45" ht="25.5" hidden="1">
      <c r="B365" s="1023" t="s">
        <v>1877</v>
      </c>
      <c r="C365" s="723"/>
      <c r="D365" s="999"/>
      <c r="E365" s="1051" t="str">
        <f>E362</f>
        <v>beschikbare fitformules</v>
      </c>
      <c r="F365" s="396"/>
      <c r="G365" s="395" t="s">
        <v>68</v>
      </c>
      <c r="H365" s="408"/>
      <c r="I365" s="522" t="str" cm="1">
        <f t="array" aca="1" ref="I365" ca="1">INDEX(_xlfn._xlws.FILTER(_xlfn.UNIQUE($H$339:$AAK$339,TRUE,FALSE),_xlfn.UNIQUE($H$339:$AAK$339,TRUE,FALSE)&lt;&gt;0),I$363)</f>
        <v>E;we;H+C;nd;ventsys=C1</v>
      </c>
      <c r="J365" s="522" t="str" cm="1">
        <f t="array" aca="1" ref="J365" ca="1">INDEX(_xlfn._xlws.FILTER(_xlfn.UNIQUE($H$339:$AAK$339,TRUE,FALSE),_xlfn.UNIQUE($H$339:$AAK$339,TRUE,FALSE)&lt;&gt;0),J$363)</f>
        <v>Q;H;nd</v>
      </c>
      <c r="K365" s="522" t="str" cm="1">
        <f t="array" aca="1" ref="K365" ca="1">INDEX(_xlfn._xlws.FILTER(_xlfn.UNIQUE($H$339:$AAK$339,TRUE,FALSE),_xlfn.UNIQUE($H$339:$AAK$339,TRUE,FALSE)&lt;&gt;0),K$363)</f>
        <v>Q;H;nd zonder QH en C;ls;rbl</v>
      </c>
      <c r="L365" s="522" t="str" cm="1">
        <f t="array" aca="1" ref="L365" ca="1">INDEX(_xlfn._xlws.FILTER(_xlfn.UNIQUE($H$339:$AAK$339,TRUE,FALSE),_xlfn.UNIQUE($H$339:$AAK$339,TRUE,FALSE)&lt;&gt;0),L$363)</f>
        <v>Q;C;nd</v>
      </c>
      <c r="M365" s="408"/>
      <c r="N365" s="20"/>
      <c r="P365" s="16"/>
      <c r="Q365" s="20"/>
      <c r="R365" s="5"/>
      <c r="S365" s="5"/>
      <c r="T365" s="5"/>
      <c r="U365" s="5"/>
      <c r="V365" s="5"/>
      <c r="W365" s="5"/>
      <c r="X365" s="5"/>
      <c r="Y365" s="5"/>
      <c r="Z365" s="5"/>
      <c r="AA365" s="5"/>
      <c r="AB365" s="5"/>
      <c r="AC365" s="5"/>
      <c r="AD365" s="5"/>
      <c r="AE365" s="5"/>
      <c r="AF365" s="5"/>
      <c r="AG365" s="5"/>
      <c r="AH365" s="5"/>
      <c r="AI365" s="5"/>
      <c r="AJ365" s="5"/>
      <c r="AK365" s="22"/>
      <c r="AS365"/>
    </row>
    <row r="366" spans="1:45" hidden="1">
      <c r="B366" s="1023" t="s">
        <v>1877</v>
      </c>
      <c r="C366" s="723"/>
      <c r="D366" s="999"/>
      <c r="E366" s="5"/>
      <c r="F366" s="5"/>
      <c r="G366" s="5"/>
      <c r="H366" s="16"/>
      <c r="I366" s="16"/>
      <c r="J366" s="16"/>
      <c r="K366" s="16"/>
      <c r="L366" s="16"/>
      <c r="M366" s="16"/>
      <c r="N366" s="16"/>
      <c r="O366" s="16"/>
      <c r="P366" s="16"/>
      <c r="Q366" s="16"/>
      <c r="R366" s="16"/>
      <c r="S366" s="16"/>
      <c r="T366" s="16"/>
      <c r="U366" s="16"/>
      <c r="V366" s="16"/>
      <c r="W366" s="16"/>
      <c r="X366" s="16"/>
      <c r="Y366" s="20"/>
      <c r="Z366" s="16"/>
      <c r="AA366" s="16"/>
      <c r="AB366" s="5"/>
      <c r="AC366" s="5"/>
      <c r="AD366" s="5"/>
      <c r="AE366" s="5"/>
      <c r="AF366" s="5"/>
      <c r="AG366" s="5"/>
      <c r="AH366" s="5"/>
      <c r="AI366" s="5"/>
      <c r="AJ366" s="5"/>
      <c r="AK366" s="5"/>
      <c r="AL366" s="5"/>
      <c r="AM366" s="5"/>
      <c r="AN366" s="5"/>
      <c r="AO366" s="5"/>
      <c r="AP366" s="5"/>
      <c r="AQ366" s="5"/>
      <c r="AR366" s="5"/>
      <c r="AS366" s="22"/>
    </row>
    <row r="367" spans="1:45" hidden="1">
      <c r="B367" s="1023" t="s">
        <v>891</v>
      </c>
      <c r="C367" s="723"/>
      <c r="D367" s="999"/>
      <c r="E367" s="5"/>
      <c r="F367" s="5"/>
      <c r="G367" s="5"/>
      <c r="H367" s="16"/>
      <c r="I367" s="16"/>
      <c r="J367" s="16"/>
      <c r="K367" s="16"/>
      <c r="L367" s="16"/>
      <c r="M367" s="16"/>
      <c r="N367" s="16"/>
      <c r="O367" s="16"/>
      <c r="P367" s="16"/>
      <c r="Q367" s="16"/>
      <c r="R367" s="16"/>
      <c r="S367" s="16"/>
      <c r="T367" s="16"/>
      <c r="U367" s="16"/>
      <c r="V367" s="16"/>
      <c r="W367" s="16"/>
      <c r="X367" s="16"/>
      <c r="Y367" s="20"/>
      <c r="Z367" s="16"/>
      <c r="AA367" s="16"/>
      <c r="AB367" s="5"/>
      <c r="AC367" s="5"/>
      <c r="AD367" s="5"/>
      <c r="AE367" s="5"/>
      <c r="AF367" s="5"/>
      <c r="AG367" s="5"/>
      <c r="AH367" s="5"/>
      <c r="AI367" s="5"/>
      <c r="AJ367" s="5"/>
      <c r="AK367" s="5"/>
      <c r="AL367" s="5"/>
      <c r="AM367" s="5"/>
      <c r="AN367" s="5"/>
      <c r="AO367" s="5"/>
      <c r="AP367" s="5"/>
      <c r="AQ367" s="5"/>
      <c r="AR367" s="5"/>
      <c r="AS367" s="22"/>
    </row>
    <row r="368" spans="1:45" ht="24" hidden="1">
      <c r="B368" s="1023" t="s">
        <v>891</v>
      </c>
      <c r="C368" s="723"/>
      <c r="D368" s="999"/>
      <c r="E368" s="240" t="s">
        <v>892</v>
      </c>
      <c r="F368" s="240"/>
      <c r="G368" s="240"/>
      <c r="H368" s="240"/>
      <c r="I368" s="240"/>
      <c r="J368" s="240"/>
      <c r="K368" s="240"/>
      <c r="L368" s="240"/>
      <c r="M368" s="240"/>
      <c r="N368" s="240"/>
      <c r="O368" s="240"/>
      <c r="P368" s="240"/>
      <c r="Q368" s="240"/>
      <c r="R368" s="240"/>
      <c r="S368" s="240"/>
      <c r="T368" s="240"/>
      <c r="U368" s="240"/>
      <c r="V368" s="61"/>
      <c r="X368" s="61"/>
      <c r="Y368" s="20"/>
      <c r="Z368" s="5"/>
      <c r="AA368" s="5"/>
      <c r="AB368" s="5"/>
      <c r="AC368" s="5"/>
      <c r="AD368" s="5"/>
      <c r="AE368" s="5"/>
      <c r="AF368" s="5"/>
      <c r="AG368" s="5"/>
      <c r="AH368" s="5"/>
      <c r="AI368" s="5"/>
      <c r="AJ368" s="5"/>
      <c r="AK368" s="5"/>
      <c r="AL368" s="5"/>
      <c r="AM368" s="5"/>
      <c r="AN368" s="5"/>
      <c r="AO368" s="5"/>
      <c r="AP368" s="5"/>
      <c r="AQ368" s="5"/>
      <c r="AR368" s="5"/>
      <c r="AS368" s="437"/>
    </row>
    <row r="369" spans="1:50" hidden="1">
      <c r="B369" s="1023" t="s">
        <v>891</v>
      </c>
      <c r="C369" s="723"/>
      <c r="D369" s="1000"/>
      <c r="E369" s="386" t="s">
        <v>483</v>
      </c>
      <c r="F369" s="386"/>
      <c r="G369" s="386" t="s">
        <v>420</v>
      </c>
      <c r="H369" s="387"/>
      <c r="I369" s="387">
        <f t="shared" ref="I369:T369" ca="1" si="93">OFFSET(I369,0,-1)+1</f>
        <v>1</v>
      </c>
      <c r="J369" s="387">
        <f t="shared" ca="1" si="93"/>
        <v>2</v>
      </c>
      <c r="K369" s="387">
        <f t="shared" ca="1" si="93"/>
        <v>3</v>
      </c>
      <c r="L369" s="387">
        <f t="shared" ca="1" si="93"/>
        <v>4</v>
      </c>
      <c r="M369" s="387">
        <f t="shared" ca="1" si="93"/>
        <v>5</v>
      </c>
      <c r="N369" s="387">
        <f t="shared" ca="1" si="93"/>
        <v>6</v>
      </c>
      <c r="O369" s="387">
        <f t="shared" ca="1" si="93"/>
        <v>7</v>
      </c>
      <c r="P369" s="387">
        <f t="shared" ca="1" si="93"/>
        <v>8</v>
      </c>
      <c r="Q369" s="387">
        <f t="shared" ca="1" si="93"/>
        <v>9</v>
      </c>
      <c r="R369" s="387">
        <f t="shared" ca="1" si="93"/>
        <v>10</v>
      </c>
      <c r="S369" s="387">
        <f t="shared" ca="1" si="93"/>
        <v>11</v>
      </c>
      <c r="T369" s="387">
        <f t="shared" ca="1" si="93"/>
        <v>12</v>
      </c>
      <c r="U369" s="387"/>
      <c r="V369" s="61"/>
      <c r="X369" s="5"/>
      <c r="Y369" s="20"/>
      <c r="Z369" s="5"/>
      <c r="AA369" s="5"/>
      <c r="AB369" s="5"/>
      <c r="AC369" s="5"/>
      <c r="AD369" s="5"/>
      <c r="AE369" s="5"/>
      <c r="AF369" s="5"/>
      <c r="AG369" s="5"/>
      <c r="AH369" s="5"/>
      <c r="AI369" s="5"/>
      <c r="AJ369" s="5"/>
      <c r="AK369" s="5"/>
      <c r="AL369" s="5"/>
      <c r="AM369" s="5"/>
      <c r="AN369" s="5"/>
      <c r="AO369" s="5"/>
      <c r="AP369" s="5"/>
      <c r="AQ369" s="5"/>
      <c r="AR369" s="5"/>
    </row>
    <row r="370" spans="1:50" s="2" customFormat="1" ht="18.75" hidden="1">
      <c r="A370" s="309"/>
      <c r="B370" s="1023" t="s">
        <v>891</v>
      </c>
      <c r="C370" s="723"/>
      <c r="D370" s="1004"/>
      <c r="E370" s="382" t="s">
        <v>893</v>
      </c>
      <c r="F370" s="383"/>
      <c r="G370" s="382"/>
      <c r="H370" s="384"/>
      <c r="I370" s="385"/>
      <c r="J370" s="384"/>
      <c r="K370" s="9"/>
      <c r="L370" s="9"/>
      <c r="M370" s="9"/>
      <c r="N370" s="9"/>
      <c r="O370" s="9"/>
      <c r="P370" s="9"/>
      <c r="Q370" s="9"/>
      <c r="R370" s="9"/>
      <c r="S370" s="4"/>
      <c r="T370" s="4"/>
      <c r="AC370" s="4"/>
      <c r="AD370" s="8"/>
      <c r="AE370" s="4"/>
      <c r="AF370" s="4"/>
      <c r="AG370" s="4"/>
      <c r="AH370" s="4"/>
      <c r="AI370" s="4"/>
      <c r="AJ370" s="4"/>
      <c r="AK370" s="4"/>
      <c r="AL370" s="4"/>
      <c r="AM370" s="4"/>
      <c r="AN370" s="4"/>
      <c r="AO370" s="4"/>
      <c r="AP370" s="4"/>
      <c r="AQ370" s="4"/>
      <c r="AR370" s="4"/>
      <c r="AS370" s="4"/>
      <c r="AT370" s="4"/>
      <c r="AU370" s="4"/>
      <c r="AV370" s="4"/>
      <c r="AW370" s="4"/>
      <c r="AX370" s="22"/>
    </row>
    <row r="371" spans="1:50" hidden="1">
      <c r="B371" s="1023" t="s">
        <v>891</v>
      </c>
      <c r="C371" s="723"/>
      <c r="D371" s="999"/>
      <c r="E371" s="395" t="s">
        <v>122</v>
      </c>
      <c r="F371" s="396"/>
      <c r="G371" s="395" t="s">
        <v>68</v>
      </c>
      <c r="H371" s="408"/>
      <c r="I371" s="522" t="str">
        <f>I$268</f>
        <v>kantoor</v>
      </c>
      <c r="J371" s="522" t="str">
        <f t="shared" ref="J371:T371" si="94">J$268</f>
        <v>bijeenkomst</v>
      </c>
      <c r="K371" s="522" t="str">
        <f t="shared" si="94"/>
        <v>kinderopvang</v>
      </c>
      <c r="L371" s="522" t="str">
        <f t="shared" si="94"/>
        <v>onderwijs</v>
      </c>
      <c r="M371" s="522" t="str">
        <f t="shared" si="94"/>
        <v>zorg overig</v>
      </c>
      <c r="N371" s="522" t="str">
        <f t="shared" si="94"/>
        <v>zorg met bed</v>
      </c>
      <c r="O371" s="522" t="str">
        <f t="shared" si="94"/>
        <v>winkel</v>
      </c>
      <c r="P371" s="522" t="str">
        <f t="shared" si="94"/>
        <v>sport</v>
      </c>
      <c r="Q371" s="522" t="str">
        <f t="shared" si="94"/>
        <v>logies</v>
      </c>
      <c r="R371" s="522" t="str">
        <f t="shared" si="94"/>
        <v>cel</v>
      </c>
      <c r="S371" s="522" t="str">
        <f t="shared" si="94"/>
        <v>woning</v>
      </c>
      <c r="T371" s="522" t="str">
        <f t="shared" si="94"/>
        <v>woongebouw</v>
      </c>
      <c r="U371" s="408"/>
      <c r="V371" s="20"/>
      <c r="X371" s="16"/>
      <c r="Y371" s="20"/>
      <c r="Z371" s="5"/>
      <c r="AA371" s="5"/>
      <c r="AB371" s="5"/>
      <c r="AC371" s="5"/>
      <c r="AD371" s="5"/>
      <c r="AE371" s="5"/>
      <c r="AF371" s="5"/>
      <c r="AG371" s="5"/>
      <c r="AH371" s="5"/>
      <c r="AI371" s="5"/>
      <c r="AJ371" s="5"/>
      <c r="AK371" s="5"/>
      <c r="AL371" s="5"/>
      <c r="AM371" s="5"/>
      <c r="AN371" s="5"/>
      <c r="AO371" s="5"/>
      <c r="AP371" s="5"/>
      <c r="AQ371" s="5"/>
      <c r="AR371" s="5"/>
      <c r="AS371" s="22"/>
    </row>
    <row r="372" spans="1:50" hidden="1">
      <c r="B372" s="1023" t="s">
        <v>891</v>
      </c>
      <c r="C372" s="723"/>
      <c r="D372" s="999">
        <f ca="1">OFFSET(D372,-1,0)+1</f>
        <v>1</v>
      </c>
      <c r="E372" s="395" t="s">
        <v>894</v>
      </c>
      <c r="F372" s="396"/>
      <c r="G372" s="395" t="s">
        <v>166</v>
      </c>
      <c r="H372" s="408"/>
      <c r="I372" s="407">
        <v>1.8288415610293782</v>
      </c>
      <c r="J372" s="407">
        <v>2.5418204567613358</v>
      </c>
      <c r="K372" s="407">
        <v>2.2114553421897014</v>
      </c>
      <c r="L372" s="407">
        <v>2.5488157054281508</v>
      </c>
      <c r="M372" s="407">
        <v>1.1654898627803334</v>
      </c>
      <c r="N372" s="407">
        <v>2.2036939790980625</v>
      </c>
      <c r="O372" s="407">
        <v>2.4717486437003942</v>
      </c>
      <c r="P372" s="407">
        <v>2.4467135687272119</v>
      </c>
      <c r="Q372" s="407">
        <v>3.1914390376463473</v>
      </c>
      <c r="R372" s="407">
        <v>2.1974174446957662</v>
      </c>
      <c r="S372" s="407">
        <v>5</v>
      </c>
      <c r="T372" s="546">
        <f>S372</f>
        <v>5</v>
      </c>
      <c r="U372" s="408"/>
      <c r="V372" s="20"/>
      <c r="X372" s="16"/>
      <c r="Y372" s="20"/>
      <c r="Z372" s="5"/>
      <c r="AA372" s="5"/>
      <c r="AB372" s="5"/>
      <c r="AC372" s="5"/>
      <c r="AD372" s="5"/>
      <c r="AE372" s="5"/>
      <c r="AF372" s="5"/>
      <c r="AG372" s="5"/>
      <c r="AH372" s="5"/>
      <c r="AI372" s="5"/>
      <c r="AJ372" s="5"/>
      <c r="AK372" s="5"/>
      <c r="AL372" s="5"/>
      <c r="AM372" s="5"/>
      <c r="AN372" s="5"/>
      <c r="AO372" s="5"/>
      <c r="AP372" s="5"/>
      <c r="AQ372" s="5"/>
      <c r="AR372" s="5"/>
      <c r="AS372" s="22"/>
    </row>
    <row r="373" spans="1:50" hidden="1">
      <c r="A373" s="233" t="s">
        <v>529</v>
      </c>
      <c r="B373" s="1023" t="s">
        <v>891</v>
      </c>
      <c r="C373" s="723"/>
      <c r="D373" s="999">
        <f ca="1">OFFSET(D373,-1,0)+1</f>
        <v>2</v>
      </c>
      <c r="E373" s="395" t="s">
        <v>895</v>
      </c>
      <c r="F373" s="396"/>
      <c r="G373" s="395" t="s">
        <v>896</v>
      </c>
      <c r="H373" s="408"/>
      <c r="I373" s="407">
        <v>2.6379870861287928</v>
      </c>
      <c r="J373" s="407">
        <v>2.6007073322217287</v>
      </c>
      <c r="K373" s="407">
        <v>2.6073889995474935</v>
      </c>
      <c r="L373" s="407">
        <v>1.9669805590606055</v>
      </c>
      <c r="M373" s="407">
        <v>2.6977428176747114</v>
      </c>
      <c r="N373" s="407">
        <v>5.2284493925871773</v>
      </c>
      <c r="O373" s="407">
        <v>3.2165395961051884</v>
      </c>
      <c r="P373" s="407">
        <v>3.1211713204107099</v>
      </c>
      <c r="Q373" s="407">
        <v>5.0874577181676761</v>
      </c>
      <c r="R373" s="407">
        <v>5.2008319593800172</v>
      </c>
      <c r="S373" s="407">
        <v>0</v>
      </c>
      <c r="T373" s="546">
        <f>S373</f>
        <v>0</v>
      </c>
      <c r="U373" s="408"/>
      <c r="V373" s="20"/>
      <c r="X373" s="16"/>
      <c r="Y373" s="20"/>
      <c r="Z373" s="5"/>
      <c r="AA373" s="5"/>
      <c r="AB373" s="5"/>
      <c r="AC373" s="5"/>
      <c r="AD373" s="5"/>
      <c r="AE373" s="5"/>
      <c r="AF373" s="5"/>
      <c r="AG373" s="5"/>
      <c r="AH373" s="5"/>
      <c r="AI373" s="5"/>
      <c r="AJ373" s="5"/>
      <c r="AK373" s="5"/>
      <c r="AL373" s="5"/>
      <c r="AM373" s="5"/>
      <c r="AN373" s="5"/>
      <c r="AO373" s="5"/>
      <c r="AP373" s="5"/>
      <c r="AQ373" s="5"/>
      <c r="AR373" s="5"/>
      <c r="AS373" s="22"/>
    </row>
    <row r="374" spans="1:50" hidden="1">
      <c r="B374" s="1023" t="s">
        <v>891</v>
      </c>
      <c r="C374" s="723"/>
      <c r="D374" s="999"/>
      <c r="E374" s="395" t="s">
        <v>897</v>
      </c>
      <c r="F374" s="396"/>
      <c r="G374" s="395" t="s">
        <v>149</v>
      </c>
      <c r="H374" s="408"/>
      <c r="I374" s="518">
        <v>16</v>
      </c>
      <c r="J374" s="518">
        <v>16</v>
      </c>
      <c r="K374" s="518">
        <v>16</v>
      </c>
      <c r="L374" s="518">
        <v>16</v>
      </c>
      <c r="M374" s="518">
        <v>16</v>
      </c>
      <c r="N374" s="518">
        <v>17</v>
      </c>
      <c r="O374" s="518">
        <v>30</v>
      </c>
      <c r="P374" s="518">
        <v>16</v>
      </c>
      <c r="Q374" s="518">
        <v>17</v>
      </c>
      <c r="R374" s="518">
        <v>17</v>
      </c>
      <c r="S374" s="518">
        <v>0</v>
      </c>
      <c r="T374" s="518">
        <v>0</v>
      </c>
      <c r="U374" s="408"/>
      <c r="V374" s="20"/>
      <c r="X374" s="16"/>
      <c r="Y374" s="20"/>
      <c r="Z374" s="5"/>
      <c r="AA374" s="5"/>
      <c r="AB374" s="5"/>
      <c r="AC374" s="5"/>
      <c r="AD374" s="5"/>
      <c r="AE374" s="5"/>
      <c r="AF374" s="5"/>
      <c r="AG374" s="5"/>
      <c r="AH374" s="5"/>
      <c r="AI374" s="5"/>
      <c r="AJ374" s="5"/>
      <c r="AK374" s="5"/>
      <c r="AL374" s="5"/>
      <c r="AM374" s="5"/>
      <c r="AN374" s="5"/>
      <c r="AO374" s="5"/>
      <c r="AP374" s="5"/>
      <c r="AQ374" s="5"/>
      <c r="AR374" s="5"/>
      <c r="AS374" s="22"/>
    </row>
    <row r="375" spans="1:50" hidden="1">
      <c r="B375" s="1023" t="s">
        <v>891</v>
      </c>
      <c r="C375" s="723"/>
      <c r="D375" s="999"/>
      <c r="E375" s="391" t="s">
        <v>898</v>
      </c>
      <c r="F375" s="391"/>
      <c r="G375" s="391"/>
      <c r="H375" s="544"/>
      <c r="I375" s="544"/>
      <c r="J375" s="544"/>
      <c r="K375" s="544"/>
      <c r="L375" s="544"/>
      <c r="M375" s="544"/>
      <c r="N375" s="544"/>
      <c r="O375" s="544"/>
      <c r="P375" s="544"/>
      <c r="Q375" s="544"/>
      <c r="R375" s="544"/>
      <c r="S375" s="544"/>
      <c r="T375" s="525"/>
      <c r="U375" s="544"/>
      <c r="V375" s="16"/>
      <c r="W375" s="16"/>
      <c r="X375" s="16"/>
      <c r="Y375" s="20"/>
      <c r="Z375" s="5"/>
      <c r="AA375" s="5"/>
      <c r="AB375" s="5"/>
      <c r="AC375" s="5"/>
      <c r="AD375" s="5"/>
      <c r="AE375" s="5"/>
      <c r="AF375" s="5"/>
      <c r="AG375" s="5"/>
      <c r="AH375" s="5"/>
      <c r="AI375" s="5"/>
      <c r="AJ375" s="5"/>
      <c r="AK375" s="5"/>
      <c r="AL375" s="5"/>
      <c r="AM375" s="5"/>
      <c r="AN375" s="5"/>
      <c r="AO375" s="5"/>
      <c r="AP375" s="5"/>
      <c r="AQ375" s="5"/>
      <c r="AR375" s="5"/>
      <c r="AS375" s="22"/>
    </row>
    <row r="376" spans="1:50" hidden="1">
      <c r="B376" s="1023" t="s">
        <v>891</v>
      </c>
      <c r="C376" s="723"/>
      <c r="D376" s="999"/>
      <c r="E376" s="391" t="s">
        <v>899</v>
      </c>
      <c r="F376" s="391"/>
      <c r="G376" s="391"/>
      <c r="H376" s="544"/>
      <c r="I376" s="544"/>
      <c r="J376" s="544"/>
      <c r="K376" s="544"/>
      <c r="L376" s="544"/>
      <c r="M376" s="544"/>
      <c r="N376" s="544"/>
      <c r="O376" s="544"/>
      <c r="P376" s="544"/>
      <c r="Q376" s="544"/>
      <c r="R376" s="544"/>
      <c r="S376" s="544"/>
      <c r="T376" s="525"/>
      <c r="U376" s="544"/>
      <c r="V376" s="16"/>
      <c r="X376" s="16"/>
      <c r="Y376" s="20"/>
      <c r="Z376" s="5"/>
      <c r="AA376" s="5"/>
      <c r="AB376" s="5"/>
      <c r="AC376" s="5"/>
      <c r="AD376" s="5"/>
      <c r="AE376" s="5"/>
      <c r="AF376" s="5"/>
      <c r="AG376" s="5"/>
      <c r="AH376" s="5"/>
      <c r="AI376" s="5"/>
      <c r="AJ376" s="5"/>
      <c r="AK376" s="5"/>
      <c r="AL376" s="5"/>
      <c r="AM376" s="5"/>
      <c r="AN376" s="5"/>
      <c r="AO376" s="5"/>
      <c r="AP376" s="5"/>
      <c r="AQ376" s="5"/>
      <c r="AR376" s="5"/>
      <c r="AS376" s="22"/>
    </row>
    <row r="377" spans="1:50" hidden="1">
      <c r="B377" s="1023" t="s">
        <v>891</v>
      </c>
      <c r="C377" s="723"/>
      <c r="D377" s="999"/>
      <c r="E377" s="391" t="s">
        <v>900</v>
      </c>
      <c r="F377" s="391"/>
      <c r="G377" s="391"/>
      <c r="H377" s="544"/>
      <c r="I377" s="544"/>
      <c r="J377" s="544"/>
      <c r="K377" s="544"/>
      <c r="L377" s="544"/>
      <c r="M377" s="544"/>
      <c r="N377" s="544"/>
      <c r="O377" s="544"/>
      <c r="P377" s="544"/>
      <c r="Q377" s="544"/>
      <c r="R377" s="544"/>
      <c r="S377" s="544"/>
      <c r="T377" s="525"/>
      <c r="U377" s="544"/>
      <c r="V377" s="16"/>
      <c r="X377" s="16"/>
      <c r="Y377" s="20"/>
      <c r="Z377" s="5"/>
      <c r="AA377" s="5"/>
      <c r="AB377" s="5"/>
      <c r="AC377" s="5"/>
      <c r="AD377" s="5"/>
      <c r="AE377" s="5"/>
      <c r="AF377" s="5"/>
      <c r="AG377" s="5"/>
      <c r="AH377" s="5"/>
      <c r="AI377" s="5"/>
      <c r="AJ377" s="5"/>
      <c r="AK377" s="5"/>
      <c r="AL377" s="5"/>
      <c r="AM377" s="5"/>
      <c r="AN377" s="5"/>
      <c r="AO377" s="5"/>
      <c r="AP377" s="5"/>
      <c r="AQ377" s="5"/>
      <c r="AR377" s="5"/>
      <c r="AS377" s="22"/>
    </row>
    <row r="378" spans="1:50" hidden="1">
      <c r="B378" s="1023" t="s">
        <v>891</v>
      </c>
      <c r="C378" s="723"/>
      <c r="D378" s="999"/>
      <c r="E378" s="5"/>
      <c r="F378" s="5"/>
      <c r="G378" s="5"/>
      <c r="H378" s="16"/>
      <c r="I378" s="16"/>
      <c r="J378" s="16"/>
      <c r="K378" s="16"/>
      <c r="L378" s="16"/>
      <c r="M378" s="16"/>
      <c r="N378" s="16"/>
      <c r="O378" s="16"/>
      <c r="P378" s="16"/>
      <c r="Q378" s="16"/>
      <c r="R378" s="16"/>
      <c r="S378" s="16"/>
      <c r="T378" s="16"/>
      <c r="U378" s="16"/>
      <c r="V378" s="16"/>
      <c r="X378" s="16"/>
      <c r="Y378" s="20"/>
      <c r="Z378" s="16"/>
      <c r="AA378" s="5"/>
      <c r="AB378" s="5"/>
      <c r="AC378" s="5"/>
      <c r="AD378" s="5"/>
      <c r="AE378" s="5"/>
      <c r="AF378" s="5"/>
      <c r="AG378" s="5"/>
      <c r="AH378" s="5"/>
      <c r="AI378" s="5"/>
      <c r="AJ378" s="5"/>
      <c r="AK378" s="5"/>
      <c r="AL378" s="5"/>
      <c r="AM378" s="5"/>
      <c r="AN378" s="5"/>
      <c r="AO378" s="5"/>
      <c r="AP378" s="5"/>
      <c r="AQ378" s="5"/>
      <c r="AR378" s="5"/>
      <c r="AS378" s="22"/>
    </row>
    <row r="379" spans="1:50" hidden="1">
      <c r="B379" s="1023" t="s">
        <v>891</v>
      </c>
      <c r="C379" s="723"/>
      <c r="D379" s="999"/>
      <c r="E379" s="5"/>
      <c r="F379" s="5"/>
      <c r="G379" s="5"/>
      <c r="H379" s="16"/>
      <c r="I379" s="16"/>
      <c r="J379" s="16"/>
      <c r="K379" s="16"/>
      <c r="L379" s="16"/>
      <c r="M379" s="16"/>
      <c r="N379" s="16"/>
      <c r="O379" s="16"/>
      <c r="P379" s="16"/>
      <c r="Q379" s="16"/>
      <c r="R379" s="16"/>
      <c r="S379" s="16"/>
      <c r="T379" s="16"/>
      <c r="U379" s="16"/>
      <c r="V379" s="16"/>
      <c r="X379" s="16"/>
      <c r="Y379" s="20"/>
      <c r="Z379" s="16"/>
      <c r="AA379" s="16"/>
      <c r="AB379" s="5"/>
      <c r="AC379" s="5"/>
      <c r="AD379" s="5"/>
      <c r="AE379" s="5"/>
      <c r="AF379" s="5"/>
      <c r="AG379" s="5"/>
      <c r="AH379" s="5"/>
      <c r="AI379" s="5"/>
      <c r="AJ379" s="5"/>
      <c r="AK379" s="5"/>
      <c r="AL379" s="5"/>
      <c r="AM379" s="5"/>
      <c r="AN379" s="5"/>
      <c r="AO379" s="5"/>
      <c r="AP379" s="5"/>
      <c r="AQ379" s="5"/>
      <c r="AR379" s="5"/>
      <c r="AS379" s="22"/>
    </row>
    <row r="380" spans="1:50" ht="21" hidden="1">
      <c r="B380" s="1023" t="s">
        <v>891</v>
      </c>
      <c r="C380" s="723"/>
      <c r="D380" s="999"/>
      <c r="E380" s="240" t="s">
        <v>901</v>
      </c>
      <c r="F380" s="240"/>
      <c r="G380" s="240"/>
      <c r="H380" s="240"/>
      <c r="I380" s="240"/>
      <c r="J380" s="240"/>
      <c r="K380" s="240"/>
      <c r="L380" s="240"/>
      <c r="M380" s="240"/>
      <c r="N380" s="240"/>
      <c r="O380" s="61"/>
      <c r="P380" s="61"/>
      <c r="Q380" s="61"/>
      <c r="R380" s="61"/>
      <c r="S380" s="61"/>
      <c r="T380" s="61"/>
      <c r="U380" s="61"/>
      <c r="V380" s="61"/>
      <c r="X380" s="61"/>
      <c r="Y380" s="20"/>
      <c r="Z380" s="5"/>
      <c r="AA380" s="5"/>
      <c r="AB380" s="5"/>
      <c r="AC380" s="5"/>
      <c r="AD380" s="5"/>
      <c r="AE380" s="5"/>
      <c r="AF380" s="5"/>
      <c r="AG380" s="5"/>
      <c r="AH380" s="5"/>
      <c r="AI380" s="5"/>
      <c r="AJ380" s="5"/>
      <c r="AK380" s="5"/>
      <c r="AL380" s="5"/>
      <c r="AM380" s="5"/>
      <c r="AN380" s="5"/>
      <c r="AO380" s="5"/>
      <c r="AP380" s="5"/>
      <c r="AQ380" s="5"/>
      <c r="AR380" s="5"/>
      <c r="AS380" s="437"/>
    </row>
    <row r="381" spans="1:50" hidden="1">
      <c r="B381" s="1023" t="s">
        <v>891</v>
      </c>
      <c r="C381" s="723"/>
      <c r="D381" s="1000"/>
      <c r="E381" s="386" t="s">
        <v>483</v>
      </c>
      <c r="F381" s="386"/>
      <c r="G381" s="386" t="s">
        <v>420</v>
      </c>
      <c r="H381" s="387"/>
      <c r="I381" s="387">
        <f ca="1">OFFSET(I381,0,-1)+1</f>
        <v>1</v>
      </c>
      <c r="J381" s="387">
        <f ca="1">OFFSET(J381,0,-1)+1</f>
        <v>2</v>
      </c>
      <c r="K381" s="387">
        <f ca="1">OFFSET(K381,0,-1)+1</f>
        <v>3</v>
      </c>
      <c r="L381" s="387">
        <f ca="1">OFFSET(L381,0,-1)+1</f>
        <v>4</v>
      </c>
      <c r="M381" s="387">
        <f ca="1">OFFSET(M381,0,-1)+1</f>
        <v>5</v>
      </c>
      <c r="N381" s="387"/>
      <c r="O381" s="61"/>
      <c r="P381" s="61"/>
      <c r="Q381" s="5"/>
      <c r="R381" s="5"/>
      <c r="S381" s="5"/>
      <c r="T381" s="5"/>
      <c r="U381" s="5"/>
      <c r="V381" s="5"/>
      <c r="X381" s="5"/>
      <c r="Y381" s="20"/>
      <c r="Z381" s="5"/>
      <c r="AA381" s="5"/>
      <c r="AB381" s="5"/>
      <c r="AC381" s="5"/>
      <c r="AD381" s="5"/>
      <c r="AE381" s="5"/>
      <c r="AF381" s="5"/>
      <c r="AG381" s="5"/>
      <c r="AH381" s="5"/>
      <c r="AI381" s="5"/>
      <c r="AJ381" s="5"/>
      <c r="AK381" s="5"/>
      <c r="AL381" s="5"/>
      <c r="AM381" s="5"/>
      <c r="AN381" s="5"/>
      <c r="AO381" s="5"/>
      <c r="AP381" s="5"/>
      <c r="AQ381" s="5"/>
      <c r="AR381" s="5"/>
      <c r="AS381" s="22"/>
    </row>
    <row r="382" spans="1:50" s="2" customFormat="1" ht="18.75" hidden="1">
      <c r="A382" s="309"/>
      <c r="B382" s="1023" t="s">
        <v>891</v>
      </c>
      <c r="C382" s="723"/>
      <c r="D382" s="1004"/>
      <c r="E382" s="382" t="s">
        <v>902</v>
      </c>
      <c r="F382" s="383"/>
      <c r="G382" s="382"/>
      <c r="H382" s="384"/>
      <c r="I382" s="385"/>
      <c r="J382" s="384"/>
      <c r="K382" s="9"/>
      <c r="L382" s="9"/>
      <c r="M382" s="9"/>
      <c r="N382" s="9"/>
      <c r="O382" s="9"/>
      <c r="P382" s="9"/>
      <c r="Q382" s="9"/>
      <c r="R382" s="9"/>
      <c r="S382" s="4"/>
      <c r="T382" s="4"/>
      <c r="AC382" s="4"/>
      <c r="AD382" s="8"/>
      <c r="AE382" s="4"/>
      <c r="AF382" s="4"/>
      <c r="AG382" s="4"/>
      <c r="AH382" s="4"/>
      <c r="AI382" s="4"/>
      <c r="AJ382" s="4"/>
      <c r="AK382" s="4"/>
      <c r="AL382" s="4"/>
      <c r="AM382" s="4"/>
      <c r="AN382" s="4"/>
      <c r="AO382" s="4"/>
      <c r="AP382" s="4"/>
      <c r="AQ382" s="4"/>
      <c r="AR382" s="4"/>
      <c r="AS382" s="4"/>
      <c r="AT382" s="4"/>
      <c r="AU382" s="4"/>
      <c r="AV382" s="4"/>
      <c r="AW382" s="4"/>
      <c r="AX382" s="22"/>
    </row>
    <row r="383" spans="1:50" ht="51" hidden="1">
      <c r="B383" s="1023" t="s">
        <v>891</v>
      </c>
      <c r="C383" s="723"/>
      <c r="D383" s="999"/>
      <c r="E383" s="395" t="s">
        <v>903</v>
      </c>
      <c r="F383" s="396"/>
      <c r="G383" s="395" t="s">
        <v>68</v>
      </c>
      <c r="H383" s="408"/>
      <c r="I383" s="522" t="s">
        <v>904</v>
      </c>
      <c r="J383" s="522" t="s">
        <v>905</v>
      </c>
      <c r="K383" s="522" t="s">
        <v>906</v>
      </c>
      <c r="L383" s="522" t="s">
        <v>151</v>
      </c>
      <c r="M383" s="522" t="s">
        <v>907</v>
      </c>
      <c r="N383" s="408"/>
      <c r="O383" s="20"/>
      <c r="P383" s="16"/>
      <c r="Q383" s="16"/>
      <c r="R383" s="16"/>
      <c r="S383" s="5"/>
      <c r="T383" s="5"/>
      <c r="U383" s="5"/>
      <c r="V383" s="5"/>
      <c r="X383" s="5"/>
      <c r="Y383" s="20"/>
      <c r="Z383" s="5"/>
      <c r="AA383" s="5"/>
      <c r="AB383" s="5"/>
      <c r="AC383" s="5"/>
      <c r="AD383" s="5"/>
      <c r="AE383" s="5"/>
      <c r="AF383" s="5"/>
      <c r="AG383" s="5"/>
      <c r="AH383" s="5"/>
      <c r="AI383" s="5"/>
      <c r="AJ383" s="5"/>
      <c r="AK383" s="5"/>
      <c r="AL383" s="5"/>
      <c r="AM383" s="5"/>
      <c r="AN383" s="5"/>
      <c r="AO383" s="5"/>
      <c r="AP383" s="5"/>
      <c r="AQ383" s="5"/>
      <c r="AR383" s="5"/>
      <c r="AS383" s="22"/>
    </row>
    <row r="384" spans="1:50" hidden="1">
      <c r="A384" s="233" t="s">
        <v>529</v>
      </c>
      <c r="B384" s="1023" t="s">
        <v>891</v>
      </c>
      <c r="C384" s="723"/>
      <c r="D384" s="999">
        <f ca="1">OFFSET(D384,-1,0)+1</f>
        <v>1</v>
      </c>
      <c r="E384" s="395" t="s">
        <v>908</v>
      </c>
      <c r="F384" s="396"/>
      <c r="G384" s="395" t="s">
        <v>68</v>
      </c>
      <c r="H384" s="408"/>
      <c r="I384" s="410">
        <v>1</v>
      </c>
      <c r="J384" s="410">
        <v>0.93</v>
      </c>
      <c r="K384" s="410">
        <v>0.88</v>
      </c>
      <c r="L384" s="410">
        <v>0.85</v>
      </c>
      <c r="M384" s="410">
        <v>0.82</v>
      </c>
      <c r="N384" s="408"/>
      <c r="O384" s="20"/>
      <c r="P384" s="16"/>
      <c r="Q384" s="16"/>
      <c r="R384" s="16"/>
      <c r="S384" s="5"/>
      <c r="T384" s="5"/>
      <c r="U384" s="5"/>
      <c r="V384" s="5"/>
      <c r="X384" s="5"/>
      <c r="Y384" s="20"/>
      <c r="Z384" s="5"/>
      <c r="AA384" s="5"/>
      <c r="AB384" s="5"/>
      <c r="AC384" s="5"/>
      <c r="AD384" s="5"/>
      <c r="AE384" s="5"/>
      <c r="AF384" s="5"/>
      <c r="AG384" s="5"/>
      <c r="AH384" s="5"/>
      <c r="AI384" s="5"/>
      <c r="AJ384" s="5"/>
      <c r="AK384" s="5"/>
      <c r="AL384" s="5"/>
      <c r="AM384" s="5"/>
      <c r="AN384" s="5"/>
      <c r="AO384" s="5"/>
      <c r="AP384" s="5"/>
      <c r="AQ384" s="5"/>
      <c r="AR384" s="5"/>
      <c r="AS384" s="22"/>
    </row>
    <row r="385" spans="2:45" hidden="1">
      <c r="B385" s="1023" t="s">
        <v>891</v>
      </c>
      <c r="C385" s="723"/>
      <c r="E385" s="391" t="s">
        <v>909</v>
      </c>
      <c r="F385" s="391"/>
      <c r="G385" s="391"/>
      <c r="H385" s="544"/>
      <c r="I385" s="544"/>
      <c r="J385" s="544"/>
      <c r="K385" s="544"/>
      <c r="L385" s="544"/>
      <c r="M385" s="544"/>
      <c r="N385" s="544"/>
      <c r="O385" s="20"/>
      <c r="P385" s="16"/>
      <c r="Q385" s="16"/>
      <c r="R385" s="16"/>
      <c r="S385" s="5"/>
      <c r="T385" s="5"/>
      <c r="U385" s="5"/>
      <c r="V385" s="5"/>
      <c r="W385" s="16"/>
      <c r="X385" s="16"/>
      <c r="Y385" s="20"/>
      <c r="Z385" s="5"/>
      <c r="AA385" s="5"/>
      <c r="AB385" s="5"/>
      <c r="AC385" s="5"/>
      <c r="AD385" s="5"/>
      <c r="AE385" s="5"/>
      <c r="AF385" s="5"/>
      <c r="AG385" s="5"/>
      <c r="AH385" s="5"/>
      <c r="AI385" s="5"/>
      <c r="AJ385" s="5"/>
      <c r="AK385" s="5"/>
      <c r="AL385" s="5"/>
      <c r="AM385" s="5"/>
      <c r="AN385" s="5"/>
      <c r="AO385" s="5"/>
      <c r="AP385" s="5"/>
      <c r="AQ385" s="5"/>
      <c r="AR385" s="5"/>
      <c r="AS385" s="22"/>
    </row>
    <row r="386" spans="2:45" hidden="1">
      <c r="B386" s="1023" t="s">
        <v>891</v>
      </c>
      <c r="C386" s="723"/>
      <c r="E386" s="5"/>
      <c r="F386" s="5"/>
      <c r="G386" s="5"/>
      <c r="H386" s="16"/>
      <c r="I386" s="16"/>
      <c r="J386" s="16"/>
      <c r="K386" s="16"/>
      <c r="L386" s="16"/>
      <c r="M386" s="16"/>
      <c r="N386" s="16"/>
      <c r="O386" s="16"/>
      <c r="P386" s="16"/>
      <c r="Q386" s="16"/>
      <c r="R386" s="16"/>
      <c r="S386" s="16"/>
      <c r="T386" s="16"/>
      <c r="U386" s="16"/>
      <c r="V386" s="16"/>
      <c r="X386" s="16"/>
      <c r="Y386" s="20"/>
      <c r="Z386" s="16"/>
      <c r="AA386" s="5"/>
      <c r="AB386" s="5"/>
      <c r="AC386" s="5"/>
      <c r="AD386" s="5"/>
      <c r="AE386" s="5"/>
      <c r="AF386" s="5"/>
      <c r="AG386" s="5"/>
      <c r="AH386" s="5"/>
      <c r="AI386" s="5"/>
      <c r="AJ386" s="5"/>
      <c r="AK386" s="5"/>
      <c r="AL386" s="5"/>
      <c r="AM386" s="5"/>
      <c r="AN386" s="5"/>
      <c r="AO386" s="5"/>
      <c r="AP386" s="5"/>
      <c r="AQ386" s="5"/>
      <c r="AR386" s="5"/>
      <c r="AS386" s="22"/>
    </row>
    <row r="387" spans="2:45" hidden="1">
      <c r="B387" s="1023" t="s">
        <v>910</v>
      </c>
      <c r="C387" s="723"/>
      <c r="E387" s="5"/>
      <c r="F387" s="5"/>
      <c r="G387" s="5"/>
      <c r="H387" s="16"/>
      <c r="I387" s="16"/>
      <c r="J387" s="16"/>
      <c r="K387" s="16"/>
      <c r="L387" s="16"/>
      <c r="M387" s="16"/>
      <c r="N387" s="16"/>
      <c r="O387" s="16"/>
      <c r="P387" s="16"/>
      <c r="Q387" s="16"/>
      <c r="R387" s="16"/>
      <c r="S387" s="16"/>
      <c r="T387" s="16"/>
      <c r="U387" s="16"/>
      <c r="V387" s="16"/>
      <c r="X387" s="16"/>
      <c r="Y387" s="20"/>
      <c r="Z387" s="16"/>
      <c r="AA387" s="16"/>
      <c r="AB387" s="5"/>
      <c r="AC387" s="5"/>
      <c r="AD387" s="5"/>
      <c r="AE387" s="5"/>
      <c r="AF387" s="5"/>
      <c r="AG387" s="5"/>
      <c r="AH387" s="5"/>
      <c r="AI387" s="5"/>
      <c r="AJ387" s="5"/>
      <c r="AK387" s="5"/>
      <c r="AL387" s="5"/>
      <c r="AM387" s="5"/>
      <c r="AN387" s="5"/>
      <c r="AO387" s="5"/>
      <c r="AP387" s="5"/>
      <c r="AQ387" s="5"/>
      <c r="AR387" s="5"/>
      <c r="AS387" s="22"/>
    </row>
    <row r="388" spans="2:45" ht="21" hidden="1">
      <c r="B388" s="1023" t="s">
        <v>910</v>
      </c>
      <c r="C388" s="723"/>
      <c r="E388" s="240" t="s">
        <v>910</v>
      </c>
      <c r="F388" s="240"/>
      <c r="G388" s="240"/>
      <c r="H388" s="240"/>
      <c r="I388" s="240"/>
      <c r="J388" s="240"/>
      <c r="K388" s="240"/>
      <c r="L388" s="240"/>
      <c r="M388" s="240"/>
      <c r="N388" s="240"/>
      <c r="O388" s="240"/>
      <c r="P388" s="240"/>
      <c r="Q388" s="240"/>
      <c r="R388" s="240"/>
      <c r="S388" s="240"/>
      <c r="T388" s="240"/>
      <c r="U388" s="240"/>
      <c r="V388" s="61"/>
      <c r="X388" s="61"/>
      <c r="Y388" s="20"/>
      <c r="Z388" s="5"/>
      <c r="AA388" s="5"/>
      <c r="AB388" s="5"/>
      <c r="AC388" s="5"/>
      <c r="AD388" s="5"/>
      <c r="AE388" s="5"/>
      <c r="AF388" s="5"/>
      <c r="AG388" s="5"/>
      <c r="AH388" s="5"/>
      <c r="AI388" s="5"/>
      <c r="AJ388" s="5"/>
      <c r="AK388" s="5"/>
      <c r="AL388" s="5"/>
      <c r="AM388" s="5"/>
      <c r="AN388" s="5"/>
      <c r="AO388" s="5"/>
      <c r="AP388" s="5"/>
      <c r="AQ388" s="5"/>
      <c r="AR388" s="5"/>
      <c r="AS388" s="437"/>
    </row>
    <row r="389" spans="2:45" hidden="1">
      <c r="B389" s="1023" t="s">
        <v>910</v>
      </c>
      <c r="C389" s="723"/>
      <c r="D389" s="859"/>
      <c r="E389" s="386" t="s">
        <v>483</v>
      </c>
      <c r="F389" s="386"/>
      <c r="G389" s="386" t="s">
        <v>420</v>
      </c>
      <c r="H389" s="387"/>
      <c r="I389" s="387">
        <f t="shared" ref="I389:T389" ca="1" si="95">OFFSET(I389,0,-1)+1</f>
        <v>1</v>
      </c>
      <c r="J389" s="387">
        <f t="shared" ca="1" si="95"/>
        <v>2</v>
      </c>
      <c r="K389" s="387">
        <f t="shared" ca="1" si="95"/>
        <v>3</v>
      </c>
      <c r="L389" s="387">
        <f t="shared" ca="1" si="95"/>
        <v>4</v>
      </c>
      <c r="M389" s="387">
        <f t="shared" ca="1" si="95"/>
        <v>5</v>
      </c>
      <c r="N389" s="387">
        <f t="shared" ca="1" si="95"/>
        <v>6</v>
      </c>
      <c r="O389" s="387">
        <f t="shared" ca="1" si="95"/>
        <v>7</v>
      </c>
      <c r="P389" s="387">
        <f t="shared" ca="1" si="95"/>
        <v>8</v>
      </c>
      <c r="Q389" s="387">
        <f t="shared" ca="1" si="95"/>
        <v>9</v>
      </c>
      <c r="R389" s="387">
        <f t="shared" ca="1" si="95"/>
        <v>10</v>
      </c>
      <c r="S389" s="387">
        <f t="shared" ca="1" si="95"/>
        <v>11</v>
      </c>
      <c r="T389" s="387">
        <f t="shared" ca="1" si="95"/>
        <v>12</v>
      </c>
      <c r="U389" s="387"/>
      <c r="V389" s="61"/>
      <c r="W389" s="61"/>
      <c r="X389" s="5"/>
      <c r="Y389" s="20"/>
      <c r="Z389" s="5"/>
      <c r="AA389" s="5"/>
      <c r="AB389" s="5"/>
      <c r="AC389" s="5"/>
      <c r="AD389" s="5"/>
      <c r="AE389" s="5"/>
      <c r="AF389" s="5"/>
      <c r="AG389" s="5"/>
      <c r="AH389" s="5"/>
      <c r="AI389" s="5"/>
      <c r="AJ389" s="5"/>
      <c r="AK389" s="5"/>
      <c r="AL389" s="5"/>
      <c r="AM389" s="5"/>
      <c r="AN389" s="5"/>
      <c r="AO389" s="5"/>
      <c r="AP389" s="5"/>
      <c r="AQ389" s="5"/>
      <c r="AR389" s="5"/>
      <c r="AS389" s="22"/>
    </row>
    <row r="390" spans="2:45" ht="18.75" hidden="1">
      <c r="B390" s="1023" t="s">
        <v>910</v>
      </c>
      <c r="C390" s="723"/>
      <c r="E390" s="403" t="s">
        <v>122</v>
      </c>
      <c r="F390" s="404"/>
      <c r="G390" s="405"/>
      <c r="H390" s="406"/>
      <c r="I390" s="406"/>
      <c r="J390" s="406"/>
      <c r="K390" s="406"/>
      <c r="L390" s="406"/>
      <c r="M390" s="406"/>
      <c r="N390" s="406"/>
      <c r="O390" s="406"/>
      <c r="P390" s="406"/>
      <c r="Q390" s="406"/>
      <c r="R390" s="406"/>
      <c r="S390" s="406"/>
      <c r="T390" s="406"/>
      <c r="U390" s="406"/>
      <c r="V390" s="20"/>
      <c r="W390" s="16"/>
      <c r="X390" s="16"/>
      <c r="Y390" s="16"/>
      <c r="Z390" s="16"/>
      <c r="AA390" s="16"/>
      <c r="AB390" s="16"/>
      <c r="AC390" s="16"/>
      <c r="AD390" s="16"/>
      <c r="AE390" s="16"/>
      <c r="AF390" s="16"/>
      <c r="AG390" s="16"/>
      <c r="AH390" s="16"/>
      <c r="AI390" s="5"/>
      <c r="AJ390" s="5"/>
      <c r="AK390" s="5"/>
      <c r="AL390" s="5"/>
      <c r="AM390" s="5"/>
      <c r="AN390" s="5"/>
      <c r="AO390" s="5"/>
      <c r="AP390" s="5"/>
      <c r="AQ390" s="5"/>
      <c r="AR390" s="5"/>
      <c r="AS390" s="22"/>
    </row>
    <row r="391" spans="2:45" hidden="1">
      <c r="B391" s="1023" t="s">
        <v>910</v>
      </c>
      <c r="C391" s="723"/>
      <c r="E391" s="395" t="s">
        <v>122</v>
      </c>
      <c r="F391" s="396"/>
      <c r="G391" s="395" t="s">
        <v>68</v>
      </c>
      <c r="H391" s="408"/>
      <c r="I391" s="522" t="str">
        <f>I$268</f>
        <v>kantoor</v>
      </c>
      <c r="J391" s="522" t="str">
        <f t="shared" ref="J391:T391" si="96">J$268</f>
        <v>bijeenkomst</v>
      </c>
      <c r="K391" s="522" t="str">
        <f t="shared" si="96"/>
        <v>kinderopvang</v>
      </c>
      <c r="L391" s="522" t="str">
        <f t="shared" si="96"/>
        <v>onderwijs</v>
      </c>
      <c r="M391" s="522" t="str">
        <f t="shared" si="96"/>
        <v>zorg overig</v>
      </c>
      <c r="N391" s="522" t="str">
        <f t="shared" si="96"/>
        <v>zorg met bed</v>
      </c>
      <c r="O391" s="522" t="str">
        <f t="shared" si="96"/>
        <v>winkel</v>
      </c>
      <c r="P391" s="522" t="str">
        <f t="shared" si="96"/>
        <v>sport</v>
      </c>
      <c r="Q391" s="522" t="str">
        <f t="shared" si="96"/>
        <v>logies</v>
      </c>
      <c r="R391" s="522" t="str">
        <f t="shared" si="96"/>
        <v>cel</v>
      </c>
      <c r="S391" s="522" t="str">
        <f t="shared" si="96"/>
        <v>woning</v>
      </c>
      <c r="T391" s="522" t="str">
        <f t="shared" si="96"/>
        <v>woongebouw</v>
      </c>
      <c r="U391" s="408"/>
      <c r="V391" s="20"/>
      <c r="W391" s="16"/>
      <c r="X391" s="16"/>
      <c r="Y391" s="20"/>
      <c r="Z391" s="5"/>
      <c r="AA391" s="5"/>
      <c r="AB391" s="5"/>
      <c r="AC391" s="5"/>
      <c r="AD391" s="5"/>
      <c r="AE391" s="5"/>
      <c r="AF391" s="5"/>
      <c r="AG391" s="5"/>
      <c r="AH391" s="5"/>
      <c r="AI391" s="5"/>
      <c r="AJ391" s="5"/>
      <c r="AK391" s="5"/>
      <c r="AL391" s="5"/>
      <c r="AM391" s="5"/>
      <c r="AN391" s="5"/>
      <c r="AO391" s="5"/>
      <c r="AP391" s="5"/>
      <c r="AQ391" s="5"/>
      <c r="AR391" s="5"/>
      <c r="AS391" s="22"/>
    </row>
    <row r="392" spans="2:45" ht="18.75" hidden="1">
      <c r="B392" s="1023" t="s">
        <v>910</v>
      </c>
      <c r="C392" s="723"/>
      <c r="E392" s="403" t="s">
        <v>911</v>
      </c>
      <c r="F392" s="404"/>
      <c r="G392" s="405"/>
      <c r="H392" s="406"/>
      <c r="I392" s="406"/>
      <c r="J392" s="406"/>
      <c r="K392" s="406"/>
      <c r="L392" s="406"/>
      <c r="M392" s="406"/>
      <c r="N392" s="406"/>
      <c r="O392" s="406"/>
      <c r="P392" s="406"/>
      <c r="Q392" s="406"/>
      <c r="R392" s="406"/>
      <c r="S392" s="406"/>
      <c r="T392" s="406"/>
      <c r="U392" s="406"/>
      <c r="V392" s="20"/>
      <c r="W392" s="16"/>
      <c r="X392" s="16"/>
      <c r="Y392" s="20"/>
      <c r="Z392" s="5"/>
      <c r="AA392" s="5"/>
      <c r="AB392" s="5"/>
      <c r="AC392" s="5"/>
      <c r="AD392" s="5"/>
      <c r="AE392" s="5"/>
      <c r="AF392" s="5"/>
      <c r="AG392" s="5"/>
      <c r="AH392" s="5"/>
      <c r="AI392" s="5"/>
      <c r="AJ392" s="5"/>
      <c r="AK392" s="5"/>
      <c r="AL392" s="5"/>
      <c r="AM392" s="5"/>
      <c r="AN392" s="5"/>
      <c r="AO392" s="5"/>
      <c r="AP392" s="5"/>
      <c r="AQ392" s="5"/>
      <c r="AR392" s="5"/>
      <c r="AS392" s="22"/>
    </row>
    <row r="393" spans="2:45" hidden="1">
      <c r="B393" s="1023" t="s">
        <v>910</v>
      </c>
      <c r="C393" s="723"/>
      <c r="E393" s="395" t="s">
        <v>912</v>
      </c>
      <c r="F393" s="396"/>
      <c r="G393" s="395" t="s">
        <v>137</v>
      </c>
      <c r="H393" s="408"/>
      <c r="I393" s="407">
        <v>1.8</v>
      </c>
      <c r="J393" s="407">
        <v>1.8</v>
      </c>
      <c r="K393" s="407">
        <v>1.8</v>
      </c>
      <c r="L393" s="407">
        <v>1.8</v>
      </c>
      <c r="M393" s="407">
        <v>1.8</v>
      </c>
      <c r="N393" s="407"/>
      <c r="O393" s="407">
        <v>1.8</v>
      </c>
      <c r="P393" s="407">
        <v>1.8</v>
      </c>
      <c r="Q393" s="407">
        <v>1.8</v>
      </c>
      <c r="R393" s="407">
        <v>1.8</v>
      </c>
      <c r="S393" s="407">
        <v>1.5</v>
      </c>
      <c r="T393" s="407">
        <v>1.83</v>
      </c>
      <c r="U393" s="408"/>
      <c r="V393" s="20"/>
      <c r="W393" s="16"/>
      <c r="X393" s="16"/>
      <c r="Y393" s="20"/>
      <c r="Z393" s="5"/>
      <c r="AA393" s="5"/>
      <c r="AB393" s="5"/>
      <c r="AC393" s="5"/>
      <c r="AD393" s="5"/>
      <c r="AE393" s="5"/>
      <c r="AF393" s="5"/>
      <c r="AG393" s="5"/>
      <c r="AH393" s="5"/>
      <c r="AI393" s="5"/>
      <c r="AJ393" s="5"/>
      <c r="AK393" s="5"/>
      <c r="AL393" s="5"/>
      <c r="AM393" s="5"/>
      <c r="AN393" s="5"/>
      <c r="AO393" s="5"/>
      <c r="AP393" s="5"/>
      <c r="AQ393" s="5"/>
      <c r="AR393" s="5"/>
      <c r="AS393" s="22"/>
    </row>
    <row r="394" spans="2:45" hidden="1">
      <c r="B394" s="1023" t="s">
        <v>910</v>
      </c>
      <c r="C394" s="723"/>
      <c r="E394" s="395" t="s">
        <v>913</v>
      </c>
      <c r="F394" s="396"/>
      <c r="G394" s="395" t="s">
        <v>137</v>
      </c>
      <c r="H394" s="408"/>
      <c r="I394" s="407">
        <v>1.8</v>
      </c>
      <c r="J394" s="407">
        <v>1.8</v>
      </c>
      <c r="K394" s="407">
        <v>1.8</v>
      </c>
      <c r="L394" s="407">
        <v>1.8</v>
      </c>
      <c r="M394" s="407">
        <v>1.8</v>
      </c>
      <c r="N394" s="407"/>
      <c r="O394" s="407">
        <v>1.8</v>
      </c>
      <c r="P394" s="407">
        <v>1.8</v>
      </c>
      <c r="Q394" s="407">
        <v>1.8</v>
      </c>
      <c r="R394" s="407">
        <v>1.8</v>
      </c>
      <c r="S394" s="407">
        <v>3</v>
      </c>
      <c r="T394" s="407">
        <v>3</v>
      </c>
      <c r="U394" s="408"/>
      <c r="V394" s="20"/>
      <c r="W394" s="16"/>
      <c r="X394" s="16"/>
      <c r="Y394" s="20"/>
      <c r="Z394" s="5"/>
      <c r="AA394" s="5"/>
      <c r="AB394" s="5"/>
      <c r="AC394" s="5"/>
      <c r="AD394" s="5"/>
      <c r="AE394" s="5"/>
      <c r="AF394" s="5"/>
      <c r="AG394" s="5"/>
      <c r="AH394" s="5"/>
      <c r="AI394" s="5"/>
      <c r="AJ394" s="5"/>
      <c r="AK394" s="5"/>
      <c r="AL394" s="5"/>
      <c r="AM394" s="5"/>
      <c r="AN394" s="5"/>
      <c r="AO394" s="5"/>
      <c r="AP394" s="5"/>
      <c r="AQ394" s="5"/>
      <c r="AR394" s="5"/>
      <c r="AS394" s="22"/>
    </row>
    <row r="395" spans="2:45" ht="18.75" hidden="1">
      <c r="B395" s="1023" t="s">
        <v>910</v>
      </c>
      <c r="C395" s="723"/>
      <c r="E395" s="403" t="s">
        <v>914</v>
      </c>
      <c r="F395" s="404"/>
      <c r="G395" s="405"/>
      <c r="H395" s="406"/>
      <c r="I395" s="406"/>
      <c r="J395" s="406"/>
      <c r="K395" s="406"/>
      <c r="L395" s="406"/>
      <c r="M395" s="406"/>
      <c r="N395" s="406"/>
      <c r="O395" s="406"/>
      <c r="P395" s="406"/>
      <c r="Q395" s="406"/>
      <c r="R395" s="406"/>
      <c r="S395" s="406"/>
      <c r="T395" s="406"/>
      <c r="U395" s="406"/>
      <c r="V395" s="20"/>
      <c r="W395" s="16"/>
      <c r="X395" s="16"/>
      <c r="Y395" s="20"/>
      <c r="Z395" s="5"/>
      <c r="AA395" s="5"/>
      <c r="AB395" s="5"/>
      <c r="AC395" s="5"/>
      <c r="AD395" s="5"/>
      <c r="AE395" s="5"/>
      <c r="AF395" s="5"/>
      <c r="AG395" s="5"/>
      <c r="AH395" s="5"/>
      <c r="AI395" s="5"/>
      <c r="AJ395" s="5"/>
      <c r="AK395" s="5"/>
      <c r="AL395" s="5"/>
      <c r="AM395" s="5"/>
      <c r="AN395" s="5"/>
      <c r="AO395" s="5"/>
      <c r="AP395" s="5"/>
      <c r="AQ395" s="5"/>
      <c r="AR395" s="5"/>
      <c r="AS395" s="22"/>
    </row>
    <row r="396" spans="2:45" hidden="1">
      <c r="B396" s="1023" t="s">
        <v>910</v>
      </c>
      <c r="C396" s="723"/>
      <c r="E396" s="395" t="s">
        <v>915</v>
      </c>
      <c r="F396" s="396"/>
      <c r="G396" s="395" t="s">
        <v>166</v>
      </c>
      <c r="H396" s="408"/>
      <c r="I396" s="409">
        <v>90</v>
      </c>
      <c r="J396" s="409">
        <v>90</v>
      </c>
      <c r="K396" s="409">
        <v>160</v>
      </c>
      <c r="L396" s="409">
        <v>190</v>
      </c>
      <c r="M396" s="409">
        <v>90</v>
      </c>
      <c r="N396" s="409">
        <v>350</v>
      </c>
      <c r="O396" s="409">
        <v>70</v>
      </c>
      <c r="P396" s="409">
        <v>40</v>
      </c>
      <c r="Q396" s="409">
        <v>100</v>
      </c>
      <c r="R396" s="409">
        <v>160</v>
      </c>
      <c r="S396" s="409">
        <v>55</v>
      </c>
      <c r="T396" s="409">
        <v>65</v>
      </c>
      <c r="U396" s="408"/>
      <c r="V396" s="20"/>
      <c r="W396" s="16"/>
      <c r="X396" s="16"/>
      <c r="Y396" s="20"/>
      <c r="Z396" s="5"/>
      <c r="AA396" s="5"/>
      <c r="AB396" s="5"/>
      <c r="AC396" s="5"/>
      <c r="AD396" s="5"/>
      <c r="AE396" s="5"/>
      <c r="AF396" s="5"/>
      <c r="AG396" s="5"/>
      <c r="AH396" s="5"/>
      <c r="AI396" s="5"/>
      <c r="AJ396" s="5"/>
      <c r="AK396" s="5"/>
      <c r="AL396" s="5"/>
      <c r="AM396" s="5"/>
      <c r="AN396" s="5"/>
      <c r="AO396" s="5"/>
      <c r="AP396" s="5"/>
      <c r="AQ396" s="5"/>
      <c r="AR396" s="5"/>
      <c r="AS396" s="22"/>
    </row>
    <row r="397" spans="2:45" ht="18.75" hidden="1">
      <c r="B397" s="1023" t="s">
        <v>910</v>
      </c>
      <c r="C397" s="723"/>
      <c r="E397" s="403" t="s">
        <v>916</v>
      </c>
      <c r="F397" s="404"/>
      <c r="G397" s="405"/>
      <c r="H397" s="406"/>
      <c r="I397" s="406"/>
      <c r="J397" s="406"/>
      <c r="K397" s="406"/>
      <c r="L397" s="406"/>
      <c r="M397" s="406"/>
      <c r="N397" s="406"/>
      <c r="O397" s="406"/>
      <c r="P397" s="406"/>
      <c r="Q397" s="406"/>
      <c r="R397" s="406"/>
      <c r="S397" s="406"/>
      <c r="T397" s="406"/>
      <c r="U397" s="406"/>
      <c r="V397" s="20"/>
      <c r="W397" s="16"/>
      <c r="X397" s="16"/>
      <c r="Y397" s="20"/>
      <c r="Z397" s="5"/>
      <c r="AA397" s="5"/>
      <c r="AB397" s="5"/>
      <c r="AC397" s="5"/>
      <c r="AD397" s="5"/>
      <c r="AE397" s="5"/>
      <c r="AF397" s="5"/>
      <c r="AG397" s="5"/>
      <c r="AH397" s="5"/>
      <c r="AI397" s="5"/>
      <c r="AJ397" s="5"/>
      <c r="AK397" s="5"/>
      <c r="AL397" s="5"/>
      <c r="AM397" s="5"/>
      <c r="AN397" s="5"/>
      <c r="AO397" s="5"/>
      <c r="AP397" s="5"/>
      <c r="AQ397" s="5"/>
      <c r="AR397" s="5"/>
      <c r="AS397" s="22"/>
    </row>
    <row r="398" spans="2:45" hidden="1">
      <c r="B398" s="1023" t="s">
        <v>910</v>
      </c>
      <c r="C398" s="723"/>
      <c r="E398" s="395" t="s">
        <v>528</v>
      </c>
      <c r="F398" s="396"/>
      <c r="G398" s="395" t="s">
        <v>166</v>
      </c>
      <c r="H398" s="408"/>
      <c r="I398" s="409">
        <v>90</v>
      </c>
      <c r="J398" s="409">
        <v>90</v>
      </c>
      <c r="K398" s="409">
        <v>160</v>
      </c>
      <c r="L398" s="409">
        <v>190</v>
      </c>
      <c r="M398" s="409">
        <v>90</v>
      </c>
      <c r="N398" s="409">
        <v>350</v>
      </c>
      <c r="O398" s="409">
        <v>70</v>
      </c>
      <c r="P398" s="409">
        <v>40</v>
      </c>
      <c r="Q398" s="409">
        <v>100</v>
      </c>
      <c r="R398" s="409">
        <v>160</v>
      </c>
      <c r="S398" s="409">
        <v>55</v>
      </c>
      <c r="T398" s="409">
        <v>55</v>
      </c>
      <c r="U398" s="408"/>
      <c r="V398" s="20"/>
      <c r="W398" s="16"/>
      <c r="X398" s="16"/>
      <c r="Y398" s="20"/>
      <c r="Z398" s="5"/>
      <c r="AA398" s="5"/>
      <c r="AB398" s="5"/>
      <c r="AC398" s="5"/>
      <c r="AD398" s="5"/>
      <c r="AE398" s="5"/>
      <c r="AF398" s="5"/>
      <c r="AG398" s="5"/>
      <c r="AH398" s="5"/>
      <c r="AI398" s="5"/>
      <c r="AJ398" s="5"/>
      <c r="AK398" s="5"/>
      <c r="AL398" s="5"/>
      <c r="AM398" s="5"/>
      <c r="AN398" s="5"/>
      <c r="AO398" s="5"/>
      <c r="AP398" s="5"/>
      <c r="AQ398" s="5"/>
      <c r="AR398" s="5"/>
      <c r="AS398" s="22"/>
    </row>
    <row r="399" spans="2:45" hidden="1">
      <c r="B399" s="1023" t="s">
        <v>910</v>
      </c>
      <c r="C399" s="723"/>
      <c r="E399" s="395" t="s">
        <v>853</v>
      </c>
      <c r="F399" s="396"/>
      <c r="G399" s="395" t="s">
        <v>166</v>
      </c>
      <c r="H399" s="408"/>
      <c r="I399" s="409">
        <v>30</v>
      </c>
      <c r="J399" s="409">
        <v>30</v>
      </c>
      <c r="K399" s="409">
        <v>30</v>
      </c>
      <c r="L399" s="409">
        <v>30</v>
      </c>
      <c r="M399" s="409">
        <v>35</v>
      </c>
      <c r="N399" s="409">
        <v>0</v>
      </c>
      <c r="O399" s="409">
        <v>30</v>
      </c>
      <c r="P399" s="409">
        <v>15</v>
      </c>
      <c r="Q399" s="409">
        <v>35</v>
      </c>
      <c r="R399" s="409">
        <v>35</v>
      </c>
      <c r="S399" s="409">
        <v>30</v>
      </c>
      <c r="T399" s="409">
        <v>30</v>
      </c>
      <c r="U399" s="408"/>
      <c r="V399" s="20"/>
      <c r="W399" s="16"/>
      <c r="X399" s="16"/>
      <c r="Y399" s="20"/>
      <c r="Z399" s="5"/>
      <c r="AA399" s="5"/>
      <c r="AB399" s="5"/>
      <c r="AC399" s="5"/>
      <c r="AD399" s="5"/>
      <c r="AE399" s="5"/>
      <c r="AF399" s="5"/>
      <c r="AG399" s="5"/>
      <c r="AH399" s="5"/>
      <c r="AI399" s="5"/>
      <c r="AJ399" s="5"/>
      <c r="AK399" s="5"/>
      <c r="AL399" s="5"/>
      <c r="AM399" s="5"/>
      <c r="AN399" s="5"/>
      <c r="AO399" s="5"/>
      <c r="AP399" s="5"/>
      <c r="AQ399" s="5"/>
      <c r="AR399" s="5"/>
      <c r="AS399" s="22"/>
    </row>
    <row r="400" spans="2:45" hidden="1">
      <c r="B400" s="1023" t="s">
        <v>910</v>
      </c>
      <c r="C400" s="723"/>
      <c r="E400" s="395" t="s">
        <v>917</v>
      </c>
      <c r="F400" s="396"/>
      <c r="G400" s="395" t="s">
        <v>137</v>
      </c>
      <c r="H400" s="408"/>
      <c r="I400" s="407">
        <v>1.8</v>
      </c>
      <c r="J400" s="407">
        <v>1.8</v>
      </c>
      <c r="K400" s="407">
        <v>1.8</v>
      </c>
      <c r="L400" s="407">
        <v>1.8</v>
      </c>
      <c r="M400" s="407">
        <v>1.8</v>
      </c>
      <c r="N400" s="407"/>
      <c r="O400" s="407">
        <v>1.8</v>
      </c>
      <c r="P400" s="407">
        <v>1.8</v>
      </c>
      <c r="Q400" s="407">
        <v>1.8</v>
      </c>
      <c r="R400" s="407">
        <v>1.8</v>
      </c>
      <c r="S400" s="407">
        <v>1.5</v>
      </c>
      <c r="T400" s="407">
        <v>1.5</v>
      </c>
      <c r="U400" s="408"/>
      <c r="V400" s="20"/>
      <c r="W400" s="16"/>
      <c r="X400" s="16"/>
      <c r="Y400" s="20"/>
      <c r="Z400" s="5"/>
      <c r="AA400" s="5"/>
      <c r="AB400" s="5"/>
      <c r="AC400" s="5"/>
      <c r="AD400" s="5"/>
      <c r="AE400" s="5"/>
      <c r="AF400" s="5"/>
      <c r="AG400" s="5"/>
      <c r="AH400" s="5"/>
      <c r="AI400" s="5"/>
      <c r="AJ400" s="5"/>
      <c r="AK400" s="5"/>
      <c r="AL400" s="5"/>
      <c r="AM400" s="5"/>
      <c r="AN400" s="5"/>
      <c r="AO400" s="5"/>
      <c r="AP400" s="5"/>
      <c r="AQ400" s="5"/>
      <c r="AR400" s="5"/>
      <c r="AS400" s="22"/>
    </row>
    <row r="401" spans="2:45" ht="18.75" hidden="1">
      <c r="B401" s="1023" t="s">
        <v>910</v>
      </c>
      <c r="C401" s="723"/>
      <c r="E401" s="403" t="s">
        <v>918</v>
      </c>
      <c r="F401" s="404"/>
      <c r="G401" s="405"/>
      <c r="H401" s="406"/>
      <c r="I401" s="406"/>
      <c r="J401" s="406"/>
      <c r="K401" s="406"/>
      <c r="L401" s="406"/>
      <c r="M401" s="406"/>
      <c r="N401" s="406"/>
      <c r="O401" s="406"/>
      <c r="P401" s="406"/>
      <c r="Q401" s="406"/>
      <c r="R401" s="406"/>
      <c r="S401" s="406"/>
      <c r="T401" s="406"/>
      <c r="U401" s="406"/>
      <c r="V401" s="20"/>
      <c r="W401" s="16"/>
      <c r="X401" s="16"/>
      <c r="Y401" s="20"/>
      <c r="Z401" s="5"/>
      <c r="AA401" s="5"/>
      <c r="AB401" s="5"/>
      <c r="AC401" s="5"/>
      <c r="AD401" s="5"/>
      <c r="AE401" s="5"/>
      <c r="AF401" s="5"/>
      <c r="AG401" s="5"/>
      <c r="AH401" s="5"/>
      <c r="AI401" s="5"/>
      <c r="AJ401" s="5"/>
      <c r="AK401" s="5"/>
      <c r="AL401" s="5"/>
      <c r="AM401" s="5"/>
      <c r="AN401" s="5"/>
      <c r="AO401" s="5"/>
      <c r="AP401" s="5"/>
      <c r="AQ401" s="5"/>
      <c r="AR401" s="5"/>
      <c r="AS401" s="22"/>
    </row>
    <row r="402" spans="2:45" hidden="1">
      <c r="B402" s="1023" t="s">
        <v>910</v>
      </c>
      <c r="C402" s="723"/>
      <c r="E402" s="395" t="s">
        <v>919</v>
      </c>
      <c r="F402" s="396"/>
      <c r="G402" s="395" t="s">
        <v>166</v>
      </c>
      <c r="H402" s="408"/>
      <c r="I402" s="409">
        <v>90</v>
      </c>
      <c r="J402" s="409">
        <v>90</v>
      </c>
      <c r="K402" s="409">
        <v>160</v>
      </c>
      <c r="L402" s="409">
        <v>190</v>
      </c>
      <c r="M402" s="409">
        <v>90</v>
      </c>
      <c r="N402" s="409">
        <v>350</v>
      </c>
      <c r="O402" s="409">
        <v>70</v>
      </c>
      <c r="P402" s="409">
        <v>40</v>
      </c>
      <c r="Q402" s="409">
        <v>100</v>
      </c>
      <c r="R402" s="409">
        <v>160</v>
      </c>
      <c r="S402" s="409">
        <v>100</v>
      </c>
      <c r="T402" s="409">
        <v>100</v>
      </c>
      <c r="U402" s="408"/>
      <c r="V402" s="20"/>
      <c r="W402" s="16"/>
      <c r="X402" s="16"/>
      <c r="Y402" s="20"/>
      <c r="Z402" s="5"/>
      <c r="AA402" s="5"/>
      <c r="AB402" s="5"/>
      <c r="AC402" s="5"/>
      <c r="AD402" s="5"/>
      <c r="AE402" s="5"/>
      <c r="AF402" s="5"/>
      <c r="AG402" s="5"/>
      <c r="AH402" s="5"/>
      <c r="AI402" s="5"/>
      <c r="AJ402" s="5"/>
      <c r="AK402" s="5"/>
      <c r="AL402" s="5"/>
      <c r="AM402" s="5"/>
      <c r="AN402" s="5"/>
      <c r="AO402" s="5"/>
      <c r="AP402" s="5"/>
      <c r="AQ402" s="5"/>
      <c r="AR402" s="5"/>
      <c r="AS402" s="22"/>
    </row>
    <row r="403" spans="2:45" hidden="1">
      <c r="B403" s="1023" t="s">
        <v>910</v>
      </c>
      <c r="C403" s="723"/>
      <c r="E403" s="395" t="s">
        <v>920</v>
      </c>
      <c r="F403" s="396"/>
      <c r="G403" s="395" t="s">
        <v>166</v>
      </c>
      <c r="H403" s="408"/>
      <c r="I403" s="409">
        <v>30</v>
      </c>
      <c r="J403" s="409">
        <v>30</v>
      </c>
      <c r="K403" s="409">
        <v>30</v>
      </c>
      <c r="L403" s="409">
        <v>30</v>
      </c>
      <c r="M403" s="409">
        <v>35</v>
      </c>
      <c r="N403" s="409">
        <v>0</v>
      </c>
      <c r="O403" s="409">
        <v>30</v>
      </c>
      <c r="P403" s="409">
        <v>15</v>
      </c>
      <c r="Q403" s="409">
        <v>35</v>
      </c>
      <c r="R403" s="409">
        <v>35</v>
      </c>
      <c r="S403" s="409">
        <v>50</v>
      </c>
      <c r="T403" s="409">
        <v>50</v>
      </c>
      <c r="U403" s="408"/>
      <c r="V403" s="20"/>
      <c r="W403" s="16"/>
      <c r="X403" s="16"/>
      <c r="Y403" s="20"/>
      <c r="Z403" s="5"/>
      <c r="AA403" s="5"/>
      <c r="AB403" s="5"/>
      <c r="AC403" s="5"/>
      <c r="AD403" s="5"/>
      <c r="AE403" s="5"/>
      <c r="AF403" s="5"/>
      <c r="AG403" s="5"/>
      <c r="AH403" s="5"/>
      <c r="AI403" s="5"/>
      <c r="AJ403" s="5"/>
      <c r="AK403" s="5"/>
      <c r="AL403" s="5"/>
      <c r="AM403" s="5"/>
      <c r="AN403" s="5"/>
      <c r="AO403" s="5"/>
      <c r="AP403" s="5"/>
      <c r="AQ403" s="5"/>
      <c r="AR403" s="5"/>
      <c r="AS403" s="22"/>
    </row>
    <row r="404" spans="2:45" hidden="1">
      <c r="B404" s="1023" t="s">
        <v>910</v>
      </c>
      <c r="C404" s="723"/>
      <c r="E404" s="395" t="s">
        <v>921</v>
      </c>
      <c r="F404" s="396"/>
      <c r="G404" s="395" t="s">
        <v>137</v>
      </c>
      <c r="H404" s="408"/>
      <c r="I404" s="407">
        <v>1.8</v>
      </c>
      <c r="J404" s="407">
        <v>1.8</v>
      </c>
      <c r="K404" s="407">
        <v>1.8</v>
      </c>
      <c r="L404" s="407">
        <v>1.8</v>
      </c>
      <c r="M404" s="407">
        <v>1.8</v>
      </c>
      <c r="N404" s="407"/>
      <c r="O404" s="407">
        <v>1.8</v>
      </c>
      <c r="P404" s="407">
        <v>1.8</v>
      </c>
      <c r="Q404" s="407">
        <v>1.8</v>
      </c>
      <c r="R404" s="407">
        <v>1.8</v>
      </c>
      <c r="S404" s="407">
        <v>3</v>
      </c>
      <c r="T404" s="407">
        <v>3</v>
      </c>
      <c r="U404" s="408"/>
      <c r="V404" s="20"/>
      <c r="W404" s="16"/>
      <c r="X404" s="16"/>
      <c r="Y404" s="20"/>
      <c r="Z404" s="5"/>
      <c r="AA404" s="5"/>
      <c r="AB404" s="5"/>
      <c r="AC404" s="5"/>
      <c r="AD404" s="5"/>
      <c r="AE404" s="5"/>
      <c r="AF404" s="5"/>
      <c r="AG404" s="5"/>
      <c r="AH404" s="5"/>
      <c r="AI404" s="5"/>
      <c r="AJ404" s="5"/>
      <c r="AK404" s="5"/>
      <c r="AL404" s="5"/>
      <c r="AM404" s="5"/>
      <c r="AN404" s="5"/>
      <c r="AO404" s="5"/>
      <c r="AP404" s="5"/>
      <c r="AQ404" s="5"/>
      <c r="AR404" s="5"/>
      <c r="AS404" s="22"/>
    </row>
    <row r="405" spans="2:45" ht="18.75" hidden="1">
      <c r="B405" s="1023" t="s">
        <v>910</v>
      </c>
      <c r="C405" s="723"/>
      <c r="E405" s="403" t="s">
        <v>922</v>
      </c>
      <c r="F405" s="404"/>
      <c r="G405" s="405"/>
      <c r="H405" s="406"/>
      <c r="I405" s="406"/>
      <c r="J405" s="406"/>
      <c r="K405" s="406"/>
      <c r="L405" s="406"/>
      <c r="M405" s="406"/>
      <c r="N405" s="406"/>
      <c r="O405" s="406"/>
      <c r="P405" s="406"/>
      <c r="Q405" s="406"/>
      <c r="R405" s="406"/>
      <c r="S405" s="406"/>
      <c r="T405" s="406"/>
      <c r="U405" s="406"/>
      <c r="V405" s="20"/>
      <c r="W405" s="16"/>
      <c r="X405" s="16"/>
      <c r="Y405" s="20"/>
      <c r="Z405" s="5"/>
      <c r="AA405" s="5"/>
      <c r="AB405" s="5"/>
      <c r="AC405" s="5"/>
      <c r="AD405" s="5"/>
      <c r="AE405" s="5"/>
      <c r="AF405" s="5"/>
      <c r="AG405" s="5"/>
      <c r="AH405" s="5"/>
      <c r="AI405" s="5"/>
      <c r="AJ405" s="5"/>
      <c r="AK405" s="5"/>
      <c r="AL405" s="5"/>
      <c r="AM405" s="5"/>
      <c r="AN405" s="5"/>
      <c r="AO405" s="5"/>
      <c r="AP405" s="5"/>
      <c r="AQ405" s="5"/>
      <c r="AR405" s="5"/>
      <c r="AS405" s="22"/>
    </row>
    <row r="406" spans="2:45" hidden="1">
      <c r="B406" s="1023" t="s">
        <v>910</v>
      </c>
      <c r="C406" s="723"/>
      <c r="E406" s="395" t="s">
        <v>112</v>
      </c>
      <c r="F406" s="396"/>
      <c r="G406" s="395" t="s">
        <v>166</v>
      </c>
      <c r="H406" s="408"/>
      <c r="I406" s="409">
        <v>40</v>
      </c>
      <c r="J406" s="409">
        <v>60</v>
      </c>
      <c r="K406" s="409">
        <v>70</v>
      </c>
      <c r="L406" s="409">
        <v>70</v>
      </c>
      <c r="M406" s="409">
        <v>50</v>
      </c>
      <c r="N406" s="409">
        <v>130</v>
      </c>
      <c r="O406" s="409">
        <v>60</v>
      </c>
      <c r="P406" s="409">
        <v>90</v>
      </c>
      <c r="Q406" s="409">
        <v>130</v>
      </c>
      <c r="R406" s="409">
        <v>120</v>
      </c>
      <c r="S406" s="409">
        <v>30</v>
      </c>
      <c r="T406" s="409">
        <v>50</v>
      </c>
      <c r="U406" s="408"/>
      <c r="V406" s="20"/>
      <c r="W406" s="16"/>
      <c r="X406" s="16"/>
      <c r="Y406" s="20"/>
      <c r="Z406" s="5"/>
      <c r="AA406" s="5"/>
      <c r="AB406" s="5"/>
      <c r="AC406" s="5"/>
      <c r="AD406" s="5"/>
      <c r="AE406" s="5"/>
      <c r="AF406" s="5"/>
      <c r="AG406" s="5"/>
      <c r="AH406" s="5"/>
      <c r="AI406" s="5"/>
      <c r="AJ406" s="5"/>
      <c r="AK406" s="5"/>
      <c r="AL406" s="5"/>
      <c r="AM406" s="5"/>
      <c r="AN406" s="5"/>
      <c r="AO406" s="5"/>
      <c r="AP406" s="5"/>
      <c r="AQ406" s="5"/>
      <c r="AR406" s="5"/>
      <c r="AS406" s="22"/>
    </row>
    <row r="407" spans="2:45" ht="18.75" hidden="1">
      <c r="B407" s="1023" t="s">
        <v>910</v>
      </c>
      <c r="C407" s="723"/>
      <c r="D407" s="745" t="s">
        <v>48</v>
      </c>
      <c r="E407" s="403" t="s">
        <v>1117</v>
      </c>
      <c r="F407" s="404"/>
      <c r="G407" s="405"/>
      <c r="H407" s="406"/>
      <c r="I407" s="406"/>
      <c r="J407" s="406"/>
      <c r="K407" s="406"/>
      <c r="L407" s="406"/>
      <c r="M407" s="406"/>
      <c r="N407" s="406"/>
      <c r="O407" s="406"/>
      <c r="P407" s="406"/>
      <c r="Q407" s="406"/>
      <c r="R407" s="406"/>
      <c r="S407" s="406"/>
      <c r="T407" s="406"/>
      <c r="U407" s="406"/>
      <c r="V407" s="20"/>
      <c r="W407" s="16"/>
      <c r="X407" s="16"/>
      <c r="Y407" s="20"/>
      <c r="Z407" s="5"/>
      <c r="AA407" s="5"/>
      <c r="AB407" s="5"/>
      <c r="AC407" s="5"/>
      <c r="AD407" s="5"/>
      <c r="AE407" s="5"/>
      <c r="AF407" s="5"/>
      <c r="AG407" s="5"/>
      <c r="AH407" s="5"/>
      <c r="AI407" s="5"/>
      <c r="AJ407" s="5"/>
      <c r="AK407" s="5"/>
      <c r="AL407" s="5"/>
      <c r="AM407" s="5"/>
      <c r="AN407" s="5"/>
      <c r="AO407" s="5"/>
      <c r="AP407" s="5"/>
      <c r="AQ407" s="5"/>
      <c r="AR407" s="5"/>
      <c r="AS407" s="22"/>
    </row>
    <row r="408" spans="2:45" hidden="1">
      <c r="B408" s="1023" t="s">
        <v>910</v>
      </c>
      <c r="C408" s="723"/>
      <c r="E408" s="395" t="s">
        <v>1017</v>
      </c>
      <c r="F408" s="396"/>
      <c r="G408" s="395" t="s">
        <v>68</v>
      </c>
      <c r="H408" s="408"/>
      <c r="I408" s="1027" t="s">
        <v>947</v>
      </c>
      <c r="J408" s="1027" t="s">
        <v>947</v>
      </c>
      <c r="K408" s="1027" t="s">
        <v>947</v>
      </c>
      <c r="L408" s="1027" t="s">
        <v>947</v>
      </c>
      <c r="M408" s="1027" t="s">
        <v>947</v>
      </c>
      <c r="N408" s="1027" t="s">
        <v>946</v>
      </c>
      <c r="O408" s="1027" t="s">
        <v>947</v>
      </c>
      <c r="P408" s="1027" t="s">
        <v>946</v>
      </c>
      <c r="Q408" s="1027" t="s">
        <v>946</v>
      </c>
      <c r="R408" s="1027" t="s">
        <v>946</v>
      </c>
      <c r="S408" s="409" t="s">
        <v>68</v>
      </c>
      <c r="T408" s="409" t="s">
        <v>68</v>
      </c>
      <c r="U408" s="408"/>
      <c r="V408" s="20"/>
      <c r="W408" s="16"/>
      <c r="X408" s="16"/>
      <c r="Y408" s="20"/>
      <c r="Z408" s="5"/>
      <c r="AA408" s="5"/>
      <c r="AB408" s="5"/>
      <c r="AC408" s="5"/>
      <c r="AD408" s="5"/>
      <c r="AE408" s="5"/>
      <c r="AF408" s="5"/>
      <c r="AG408" s="5"/>
      <c r="AH408" s="5"/>
      <c r="AI408" s="5"/>
      <c r="AJ408" s="5"/>
      <c r="AK408" s="5"/>
      <c r="AL408" s="5"/>
      <c r="AM408" s="5"/>
      <c r="AN408" s="5"/>
      <c r="AO408" s="5"/>
      <c r="AP408" s="5"/>
      <c r="AQ408" s="5"/>
      <c r="AR408" s="5"/>
      <c r="AS408" s="22"/>
    </row>
    <row r="409" spans="2:45" hidden="1">
      <c r="B409" s="1023" t="s">
        <v>910</v>
      </c>
      <c r="C409" s="723"/>
      <c r="E409" s="785" t="s">
        <v>1116</v>
      </c>
      <c r="F409" s="391"/>
      <c r="G409" s="391"/>
      <c r="H409" s="391"/>
      <c r="I409" s="544"/>
      <c r="J409" s="544"/>
      <c r="K409" s="544"/>
      <c r="L409" s="544"/>
      <c r="M409" s="544"/>
      <c r="N409" s="544"/>
      <c r="O409" s="544"/>
      <c r="P409" s="544"/>
      <c r="Q409" s="544"/>
      <c r="R409" s="544"/>
      <c r="S409" s="544"/>
      <c r="T409" s="544"/>
      <c r="U409" s="544"/>
      <c r="V409" s="14"/>
      <c r="W409" s="14"/>
      <c r="X409" s="14"/>
      <c r="Y409" s="377"/>
      <c r="Z409" s="14"/>
      <c r="AA409" s="18"/>
      <c r="AB409" s="18"/>
      <c r="AC409" s="18"/>
      <c r="AD409" s="18"/>
      <c r="AE409" s="18"/>
      <c r="AF409" s="18"/>
      <c r="AG409" s="18"/>
      <c r="AH409" s="18"/>
      <c r="AI409" s="18"/>
      <c r="AJ409" s="18"/>
      <c r="AK409" s="18"/>
      <c r="AL409" s="18"/>
      <c r="AM409" s="18"/>
      <c r="AN409" s="18"/>
      <c r="AO409" s="18"/>
      <c r="AP409" s="18"/>
      <c r="AQ409" s="18"/>
      <c r="AR409" s="18"/>
      <c r="AS409" s="22"/>
    </row>
    <row r="410" spans="2:45" ht="18.75" hidden="1">
      <c r="B410" s="1023" t="s">
        <v>910</v>
      </c>
      <c r="C410" s="723"/>
      <c r="E410" s="403" t="s">
        <v>923</v>
      </c>
      <c r="F410" s="404"/>
      <c r="G410" s="405"/>
      <c r="H410" s="406"/>
      <c r="I410" s="406"/>
      <c r="J410" s="406"/>
      <c r="K410" s="406"/>
      <c r="L410" s="406"/>
      <c r="M410" s="406"/>
      <c r="N410" s="406"/>
      <c r="O410" s="406"/>
      <c r="P410" s="406"/>
      <c r="Q410" s="406"/>
      <c r="R410" s="406"/>
      <c r="S410" s="406"/>
      <c r="T410" s="406"/>
      <c r="U410" s="406"/>
      <c r="V410" s="20"/>
      <c r="W410" s="16"/>
      <c r="X410" s="16"/>
      <c r="Y410" s="20"/>
      <c r="Z410" s="5"/>
      <c r="AA410" s="5"/>
      <c r="AB410" s="5"/>
      <c r="AC410" s="5"/>
      <c r="AD410" s="5"/>
      <c r="AE410" s="5"/>
      <c r="AF410" s="5"/>
      <c r="AG410" s="5"/>
      <c r="AH410" s="5"/>
      <c r="AI410" s="5"/>
      <c r="AJ410" s="5"/>
      <c r="AK410" s="5"/>
      <c r="AL410" s="5"/>
      <c r="AM410" s="5"/>
      <c r="AN410" s="5"/>
      <c r="AO410" s="5"/>
      <c r="AP410" s="5"/>
      <c r="AQ410" s="5"/>
      <c r="AR410" s="5"/>
      <c r="AS410" s="22"/>
    </row>
    <row r="411" spans="2:45" hidden="1">
      <c r="B411" s="1023" t="s">
        <v>910</v>
      </c>
      <c r="C411" s="723"/>
      <c r="E411" s="395" t="s">
        <v>924</v>
      </c>
      <c r="F411" s="396"/>
      <c r="G411" s="395" t="s">
        <v>147</v>
      </c>
      <c r="H411" s="408"/>
      <c r="I411" s="410">
        <v>0.3</v>
      </c>
      <c r="J411" s="410">
        <v>0.3</v>
      </c>
      <c r="K411" s="410">
        <v>0.4</v>
      </c>
      <c r="L411" s="410">
        <v>0.4</v>
      </c>
      <c r="M411" s="410">
        <v>0.4</v>
      </c>
      <c r="N411" s="410">
        <v>0.3</v>
      </c>
      <c r="O411" s="410">
        <v>0.3</v>
      </c>
      <c r="P411" s="410">
        <v>0.3</v>
      </c>
      <c r="Q411" s="410">
        <v>0.4</v>
      </c>
      <c r="R411" s="410">
        <v>0.3</v>
      </c>
      <c r="S411" s="410">
        <v>0.5</v>
      </c>
      <c r="T411" s="410">
        <v>0.4</v>
      </c>
      <c r="U411" s="408"/>
      <c r="V411" s="20"/>
      <c r="W411" s="16"/>
      <c r="X411" s="16"/>
      <c r="Y411" s="20"/>
      <c r="Z411" s="5"/>
      <c r="AA411" s="5"/>
      <c r="AB411" s="5"/>
      <c r="AC411" s="5"/>
      <c r="AD411" s="5"/>
      <c r="AE411" s="5"/>
      <c r="AF411" s="5"/>
      <c r="AG411" s="5"/>
      <c r="AH411" s="5"/>
      <c r="AI411" s="5"/>
      <c r="AJ411" s="5"/>
      <c r="AK411" s="5"/>
      <c r="AL411" s="5"/>
      <c r="AM411" s="5"/>
      <c r="AN411" s="5"/>
      <c r="AO411" s="5"/>
      <c r="AP411" s="5"/>
      <c r="AQ411" s="5"/>
      <c r="AR411" s="5"/>
      <c r="AS411" s="22"/>
    </row>
    <row r="412" spans="2:45" hidden="1">
      <c r="B412" s="1023" t="s">
        <v>910</v>
      </c>
      <c r="C412" s="723"/>
      <c r="E412" s="785" t="s">
        <v>925</v>
      </c>
      <c r="F412" s="391"/>
      <c r="G412" s="391"/>
      <c r="H412" s="391"/>
      <c r="I412" s="544"/>
      <c r="J412" s="544"/>
      <c r="K412" s="544"/>
      <c r="L412" s="544"/>
      <c r="M412" s="544"/>
      <c r="N412" s="544"/>
      <c r="O412" s="544"/>
      <c r="P412" s="544"/>
      <c r="Q412" s="544"/>
      <c r="R412" s="544"/>
      <c r="S412" s="544"/>
      <c r="T412" s="544"/>
      <c r="U412" s="544"/>
      <c r="V412" s="14"/>
      <c r="W412" s="14"/>
      <c r="X412" s="14"/>
      <c r="Y412" s="377"/>
      <c r="Z412" s="14"/>
      <c r="AA412" s="18"/>
      <c r="AB412" s="18"/>
      <c r="AC412" s="18"/>
      <c r="AD412" s="18"/>
      <c r="AE412" s="18"/>
      <c r="AF412" s="18"/>
      <c r="AG412" s="18"/>
      <c r="AH412" s="18"/>
      <c r="AI412" s="18"/>
      <c r="AJ412" s="18"/>
      <c r="AK412" s="18"/>
      <c r="AL412" s="18"/>
      <c r="AM412" s="18"/>
      <c r="AN412" s="18"/>
      <c r="AO412" s="18"/>
      <c r="AP412" s="18"/>
      <c r="AQ412" s="18"/>
      <c r="AR412" s="18"/>
      <c r="AS412" s="22"/>
    </row>
    <row r="413" spans="2:45" hidden="1">
      <c r="B413" s="1023" t="s">
        <v>910</v>
      </c>
      <c r="C413" s="723"/>
      <c r="E413" s="5"/>
      <c r="F413" s="5"/>
      <c r="G413" s="5"/>
      <c r="H413" s="16"/>
      <c r="I413" s="16"/>
      <c r="J413" s="16"/>
      <c r="K413" s="16"/>
      <c r="L413" s="16"/>
      <c r="M413" s="16"/>
      <c r="N413" s="16"/>
      <c r="O413" s="16"/>
      <c r="P413" s="16"/>
      <c r="Q413" s="16"/>
      <c r="R413" s="16"/>
      <c r="S413" s="16"/>
      <c r="T413" s="16"/>
      <c r="U413" s="16"/>
      <c r="V413" s="16"/>
      <c r="X413" s="16"/>
      <c r="Y413" s="20"/>
      <c r="Z413" s="16"/>
      <c r="AA413" s="5"/>
      <c r="AB413" s="5"/>
      <c r="AC413" s="5"/>
      <c r="AD413" s="5"/>
      <c r="AE413" s="5"/>
      <c r="AF413" s="5"/>
      <c r="AG413" s="5"/>
      <c r="AH413" s="5"/>
      <c r="AI413" s="5"/>
      <c r="AJ413" s="5"/>
      <c r="AK413" s="5"/>
      <c r="AL413" s="5"/>
      <c r="AM413" s="5"/>
      <c r="AN413" s="5"/>
      <c r="AO413" s="5"/>
      <c r="AP413" s="5"/>
      <c r="AQ413" s="5"/>
      <c r="AR413" s="5"/>
      <c r="AS413" s="22"/>
    </row>
    <row r="414" spans="2:45" hidden="1">
      <c r="B414" s="1023" t="s">
        <v>926</v>
      </c>
      <c r="C414" s="723"/>
      <c r="E414" s="5"/>
      <c r="F414" s="5"/>
      <c r="G414" s="5"/>
      <c r="H414" s="16"/>
      <c r="I414" s="16"/>
      <c r="J414" s="16"/>
      <c r="K414" s="16"/>
      <c r="L414" s="16"/>
      <c r="M414" s="16"/>
      <c r="N414" s="16"/>
      <c r="O414" s="16"/>
      <c r="P414" s="16"/>
      <c r="Q414" s="16"/>
      <c r="R414" s="16"/>
      <c r="S414" s="16"/>
      <c r="T414" s="16"/>
      <c r="U414" s="16"/>
      <c r="V414" s="16"/>
      <c r="X414" s="16"/>
      <c r="Y414" s="20"/>
      <c r="Z414" s="16"/>
      <c r="AA414" s="16"/>
      <c r="AB414" s="5"/>
      <c r="AC414" s="5"/>
      <c r="AD414" s="5"/>
      <c r="AE414" s="5"/>
      <c r="AF414" s="5"/>
      <c r="AG414" s="5"/>
      <c r="AH414" s="5"/>
      <c r="AI414" s="5"/>
      <c r="AJ414" s="5"/>
      <c r="AK414" s="5"/>
      <c r="AL414" s="5"/>
      <c r="AM414" s="5"/>
      <c r="AN414" s="5"/>
      <c r="AO414" s="5"/>
      <c r="AP414" s="5"/>
      <c r="AQ414" s="5"/>
      <c r="AR414" s="5"/>
      <c r="AS414" s="22"/>
    </row>
    <row r="415" spans="2:45" ht="21" hidden="1">
      <c r="B415" s="1023" t="s">
        <v>926</v>
      </c>
      <c r="C415" s="723"/>
      <c r="E415" s="240" t="s">
        <v>927</v>
      </c>
      <c r="F415" s="240"/>
      <c r="G415" s="791" t="s">
        <v>57</v>
      </c>
      <c r="H415" s="240"/>
      <c r="I415" s="240"/>
      <c r="J415" s="240"/>
      <c r="K415" s="240"/>
      <c r="L415" s="240"/>
      <c r="M415" s="240"/>
      <c r="N415" s="61"/>
      <c r="P415" s="61"/>
      <c r="Q415" s="20"/>
      <c r="R415" s="5"/>
      <c r="S415" s="5"/>
      <c r="T415" s="5"/>
      <c r="U415" s="5"/>
      <c r="V415" s="5"/>
      <c r="W415" s="5"/>
      <c r="X415" s="5"/>
      <c r="Y415" s="5"/>
      <c r="Z415" s="5"/>
      <c r="AA415" s="5"/>
      <c r="AB415" s="5"/>
      <c r="AC415" s="5"/>
      <c r="AD415" s="5"/>
      <c r="AE415" s="5"/>
      <c r="AF415" s="5"/>
      <c r="AG415" s="5"/>
      <c r="AH415" s="5"/>
      <c r="AI415" s="5"/>
      <c r="AJ415" s="5"/>
      <c r="AK415" s="437"/>
      <c r="AS415"/>
    </row>
    <row r="416" spans="2:45" hidden="1">
      <c r="B416" s="1023" t="s">
        <v>926</v>
      </c>
      <c r="C416" s="723"/>
      <c r="D416" s="859"/>
      <c r="E416" s="386" t="s">
        <v>483</v>
      </c>
      <c r="F416" s="386"/>
      <c r="G416" s="386" t="s">
        <v>420</v>
      </c>
      <c r="H416" s="387"/>
      <c r="I416" s="387">
        <f ca="1">$S$266</f>
        <v>11</v>
      </c>
      <c r="J416" s="387">
        <f ca="1">$S$266</f>
        <v>11</v>
      </c>
      <c r="K416" s="387">
        <f ca="1">$T$266</f>
        <v>12</v>
      </c>
      <c r="L416" s="387">
        <f ca="1">$T$266</f>
        <v>12</v>
      </c>
      <c r="M416" s="387"/>
      <c r="N416" s="61"/>
      <c r="O416" s="61"/>
      <c r="P416" s="5"/>
      <c r="Q416" s="20"/>
      <c r="R416" s="5"/>
      <c r="S416" s="5"/>
      <c r="T416" s="5"/>
      <c r="U416" s="5"/>
      <c r="V416" s="5"/>
      <c r="W416" s="5"/>
      <c r="X416" s="5"/>
      <c r="Y416" s="5"/>
      <c r="Z416" s="5"/>
      <c r="AA416" s="5"/>
      <c r="AB416" s="5"/>
      <c r="AC416" s="5"/>
      <c r="AD416" s="5"/>
      <c r="AE416" s="5"/>
      <c r="AF416" s="5"/>
      <c r="AG416" s="5"/>
      <c r="AH416" s="5"/>
      <c r="AI416" s="5"/>
      <c r="AJ416" s="5"/>
      <c r="AK416" s="22"/>
      <c r="AS416"/>
    </row>
    <row r="417" spans="2:45" ht="18.75" hidden="1">
      <c r="B417" s="1023" t="s">
        <v>926</v>
      </c>
      <c r="C417" s="723"/>
      <c r="E417" s="403" t="s">
        <v>122</v>
      </c>
      <c r="F417" s="404"/>
      <c r="G417" s="405"/>
      <c r="H417" s="406"/>
      <c r="I417" s="406"/>
      <c r="J417" s="406"/>
      <c r="K417" s="406"/>
      <c r="L417" s="406"/>
      <c r="M417" s="406"/>
      <c r="N417" s="20"/>
      <c r="O417" s="16"/>
      <c r="P417" s="16"/>
      <c r="Q417" s="16"/>
      <c r="R417" s="16"/>
      <c r="S417" s="16"/>
      <c r="T417" s="16"/>
      <c r="U417" s="16"/>
      <c r="V417" s="16"/>
      <c r="W417" s="16"/>
      <c r="X417" s="16"/>
      <c r="Y417" s="16"/>
      <c r="Z417" s="16"/>
      <c r="AA417" s="5"/>
      <c r="AB417" s="5"/>
      <c r="AC417" s="5"/>
      <c r="AD417" s="5"/>
      <c r="AE417" s="5"/>
      <c r="AF417" s="5"/>
      <c r="AG417" s="5"/>
      <c r="AH417" s="5"/>
      <c r="AI417" s="5"/>
      <c r="AJ417" s="5"/>
      <c r="AK417" s="22"/>
      <c r="AS417"/>
    </row>
    <row r="418" spans="2:45" hidden="1">
      <c r="B418" s="1023" t="s">
        <v>926</v>
      </c>
      <c r="C418" s="723"/>
      <c r="E418" s="395" t="s">
        <v>122</v>
      </c>
      <c r="F418" s="396"/>
      <c r="G418" s="395" t="s">
        <v>68</v>
      </c>
      <c r="H418" s="408"/>
      <c r="I418" s="522" t="str">
        <f>$S$268</f>
        <v>woning</v>
      </c>
      <c r="J418" s="522" t="str">
        <f>$S$268</f>
        <v>woning</v>
      </c>
      <c r="K418" s="522" t="str">
        <f>$T$268</f>
        <v>woongebouw</v>
      </c>
      <c r="L418" s="522" t="str">
        <f>$T$268</f>
        <v>woongebouw</v>
      </c>
      <c r="M418" s="408"/>
      <c r="N418" s="20"/>
      <c r="O418" s="16"/>
      <c r="P418" s="16"/>
      <c r="Q418" s="20"/>
      <c r="R418" s="5"/>
      <c r="S418" s="5"/>
      <c r="T418" s="5"/>
      <c r="U418" s="5"/>
      <c r="V418" s="5"/>
      <c r="W418" s="5"/>
      <c r="X418" s="5"/>
      <c r="Y418" s="5"/>
      <c r="Z418" s="5"/>
      <c r="AA418" s="5"/>
      <c r="AB418" s="5"/>
      <c r="AC418" s="5"/>
      <c r="AD418" s="5"/>
      <c r="AE418" s="5"/>
      <c r="AF418" s="5"/>
      <c r="AG418" s="5"/>
      <c r="AH418" s="5"/>
      <c r="AI418" s="5"/>
      <c r="AJ418" s="5"/>
      <c r="AK418" s="22"/>
      <c r="AS418"/>
    </row>
    <row r="419" spans="2:45" hidden="1">
      <c r="B419" s="1023" t="s">
        <v>926</v>
      </c>
      <c r="C419" s="723"/>
      <c r="E419" s="395" t="s">
        <v>928</v>
      </c>
      <c r="F419" s="396"/>
      <c r="G419" s="395" t="s">
        <v>929</v>
      </c>
      <c r="H419" s="408"/>
      <c r="I419" s="522" t="s">
        <v>930</v>
      </c>
      <c r="J419" s="522" t="s">
        <v>931</v>
      </c>
      <c r="K419" s="522" t="s">
        <v>930</v>
      </c>
      <c r="L419" s="522" t="s">
        <v>931</v>
      </c>
      <c r="M419" s="408"/>
      <c r="N419" s="20"/>
      <c r="O419" s="16"/>
      <c r="P419" s="16"/>
      <c r="Q419" s="20"/>
      <c r="R419" s="5"/>
      <c r="S419" s="5"/>
      <c r="T419" s="5"/>
      <c r="U419" s="5"/>
      <c r="V419" s="5"/>
      <c r="W419" s="5"/>
      <c r="X419" s="5"/>
      <c r="Y419" s="5"/>
      <c r="Z419" s="5"/>
      <c r="AA419" s="5"/>
      <c r="AB419" s="5"/>
      <c r="AC419" s="5"/>
      <c r="AD419" s="5"/>
      <c r="AE419" s="5"/>
      <c r="AF419" s="5"/>
      <c r="AG419" s="5"/>
      <c r="AH419" s="5"/>
      <c r="AI419" s="5"/>
      <c r="AJ419" s="5"/>
      <c r="AK419" s="22"/>
      <c r="AS419"/>
    </row>
    <row r="420" spans="2:45" ht="18.75" hidden="1">
      <c r="B420" s="1023" t="s">
        <v>926</v>
      </c>
      <c r="C420" s="723"/>
      <c r="E420" s="403" t="s">
        <v>932</v>
      </c>
      <c r="F420" s="404"/>
      <c r="G420" s="405"/>
      <c r="H420" s="406"/>
      <c r="I420" s="406"/>
      <c r="J420" s="406"/>
      <c r="K420" s="406"/>
      <c r="L420" s="406"/>
      <c r="M420" s="406"/>
      <c r="N420" s="20"/>
      <c r="O420" s="16"/>
      <c r="P420" s="16"/>
      <c r="Q420" s="20"/>
      <c r="R420" s="5"/>
      <c r="S420" s="5"/>
      <c r="T420" s="5"/>
      <c r="U420" s="5"/>
      <c r="V420" s="5"/>
      <c r="W420" s="5"/>
      <c r="X420" s="5"/>
      <c r="Y420" s="5"/>
      <c r="Z420" s="5"/>
      <c r="AA420" s="5"/>
      <c r="AB420" s="5"/>
      <c r="AC420" s="5"/>
      <c r="AD420" s="5"/>
      <c r="AE420" s="5"/>
      <c r="AF420" s="5"/>
      <c r="AG420" s="5"/>
      <c r="AH420" s="5"/>
      <c r="AI420" s="5"/>
      <c r="AJ420" s="5"/>
      <c r="AK420" s="22"/>
      <c r="AS420"/>
    </row>
    <row r="421" spans="2:45" hidden="1">
      <c r="B421" s="1023" t="s">
        <v>926</v>
      </c>
      <c r="C421" s="723"/>
      <c r="E421" s="395" t="s">
        <v>933</v>
      </c>
      <c r="F421" s="396"/>
      <c r="G421" s="395" t="s">
        <v>166</v>
      </c>
      <c r="H421" s="408"/>
      <c r="I421" s="409">
        <v>60</v>
      </c>
      <c r="J421" s="409">
        <v>43</v>
      </c>
      <c r="K421" s="409">
        <v>95</v>
      </c>
      <c r="L421" s="409">
        <v>45</v>
      </c>
      <c r="M421" s="408"/>
      <c r="N421" s="20"/>
      <c r="O421" s="16"/>
      <c r="P421" s="16"/>
      <c r="Q421" s="20"/>
      <c r="R421" s="5"/>
      <c r="S421" s="5"/>
      <c r="T421" s="5"/>
      <c r="U421" s="5"/>
      <c r="V421" s="5"/>
      <c r="W421" s="5"/>
      <c r="X421" s="5"/>
      <c r="Y421" s="5"/>
      <c r="Z421" s="5"/>
      <c r="AA421" s="5"/>
      <c r="AB421" s="5"/>
      <c r="AC421" s="5"/>
      <c r="AD421" s="5"/>
      <c r="AE421" s="5"/>
      <c r="AF421" s="5"/>
      <c r="AG421" s="5"/>
      <c r="AH421" s="5"/>
      <c r="AI421" s="5"/>
      <c r="AJ421" s="5"/>
      <c r="AK421" s="22"/>
      <c r="AS421"/>
    </row>
    <row r="422" spans="2:45" ht="18.75" hidden="1">
      <c r="B422" s="1023" t="s">
        <v>926</v>
      </c>
      <c r="C422" s="723"/>
      <c r="E422" s="403" t="s">
        <v>934</v>
      </c>
      <c r="F422" s="404"/>
      <c r="G422" s="405"/>
      <c r="H422" s="406"/>
      <c r="I422" s="406"/>
      <c r="J422" s="406"/>
      <c r="K422" s="406"/>
      <c r="L422" s="406"/>
      <c r="M422" s="406"/>
      <c r="N422" s="20"/>
      <c r="O422" s="16"/>
      <c r="P422" s="16"/>
      <c r="Q422" s="20"/>
      <c r="R422" s="5"/>
      <c r="S422" s="5"/>
      <c r="T422" s="5"/>
      <c r="U422" s="5"/>
      <c r="V422" s="5"/>
      <c r="W422" s="5"/>
      <c r="X422" s="5"/>
      <c r="Y422" s="5"/>
      <c r="Z422" s="5"/>
      <c r="AA422" s="5"/>
      <c r="AB422" s="5"/>
      <c r="AC422" s="5"/>
      <c r="AD422" s="5"/>
      <c r="AE422" s="5"/>
      <c r="AF422" s="5"/>
      <c r="AG422" s="5"/>
      <c r="AH422" s="5"/>
      <c r="AI422" s="5"/>
      <c r="AJ422" s="5"/>
      <c r="AK422" s="22"/>
      <c r="AS422"/>
    </row>
    <row r="423" spans="2:45" hidden="1">
      <c r="B423" s="1023" t="s">
        <v>926</v>
      </c>
      <c r="C423" s="723"/>
      <c r="E423" s="395" t="s">
        <v>935</v>
      </c>
      <c r="F423" s="396"/>
      <c r="G423" s="395" t="s">
        <v>137</v>
      </c>
      <c r="H423" s="408"/>
      <c r="I423" s="494">
        <v>1</v>
      </c>
      <c r="J423" s="494">
        <v>1</v>
      </c>
      <c r="K423" s="494">
        <v>1</v>
      </c>
      <c r="L423" s="494">
        <v>1</v>
      </c>
      <c r="M423" s="408"/>
      <c r="N423" s="20"/>
      <c r="O423" s="16"/>
      <c r="P423" s="16"/>
      <c r="Q423" s="20"/>
      <c r="R423" s="5"/>
      <c r="S423" s="5"/>
      <c r="T423" s="5"/>
      <c r="U423" s="5"/>
      <c r="V423" s="5"/>
      <c r="W423" s="5"/>
      <c r="X423" s="5"/>
      <c r="Y423" s="5"/>
      <c r="Z423" s="5"/>
      <c r="AA423" s="5"/>
      <c r="AB423" s="5"/>
      <c r="AC423" s="5"/>
      <c r="AD423" s="5"/>
      <c r="AE423" s="5"/>
      <c r="AF423" s="5"/>
      <c r="AG423" s="5"/>
      <c r="AH423" s="5"/>
      <c r="AI423" s="5"/>
      <c r="AJ423" s="5"/>
      <c r="AK423" s="22"/>
      <c r="AS423"/>
    </row>
    <row r="424" spans="2:45" hidden="1">
      <c r="B424" s="1023" t="s">
        <v>926</v>
      </c>
      <c r="C424" s="723"/>
      <c r="E424" s="395" t="s">
        <v>936</v>
      </c>
      <c r="F424" s="396"/>
      <c r="G424" s="395" t="s">
        <v>166</v>
      </c>
      <c r="H424" s="408"/>
      <c r="I424" s="518">
        <v>105</v>
      </c>
      <c r="J424" s="518">
        <v>40</v>
      </c>
      <c r="K424" s="518">
        <v>70</v>
      </c>
      <c r="L424" s="518">
        <v>45</v>
      </c>
      <c r="M424" s="408"/>
      <c r="N424" s="20"/>
      <c r="O424" s="16"/>
      <c r="P424" s="16"/>
      <c r="Q424" s="20"/>
      <c r="R424" s="5"/>
      <c r="S424" s="5"/>
      <c r="T424" s="5"/>
      <c r="U424" s="5"/>
      <c r="V424" s="5"/>
      <c r="W424" s="5"/>
      <c r="X424" s="5"/>
      <c r="Y424" s="5"/>
      <c r="Z424" s="5"/>
      <c r="AA424" s="5"/>
      <c r="AB424" s="5"/>
      <c r="AC424" s="5"/>
      <c r="AD424" s="5"/>
      <c r="AE424" s="5"/>
      <c r="AF424" s="5"/>
      <c r="AG424" s="5"/>
      <c r="AH424" s="5"/>
      <c r="AI424" s="5"/>
      <c r="AJ424" s="5"/>
      <c r="AK424" s="22"/>
      <c r="AS424"/>
    </row>
    <row r="425" spans="2:45" hidden="1">
      <c r="B425" s="1023" t="s">
        <v>926</v>
      </c>
      <c r="C425" s="723"/>
      <c r="E425" s="391" t="s">
        <v>937</v>
      </c>
      <c r="F425" s="396"/>
      <c r="G425" s="395"/>
      <c r="H425" s="408"/>
      <c r="I425" s="407"/>
      <c r="J425" s="407"/>
      <c r="K425" s="407"/>
      <c r="L425" s="407"/>
      <c r="M425" s="408"/>
      <c r="N425" s="20"/>
      <c r="O425" s="16"/>
      <c r="P425" s="16"/>
      <c r="Q425" s="20"/>
      <c r="R425" s="5"/>
      <c r="S425" s="5"/>
      <c r="T425" s="5"/>
      <c r="U425" s="5"/>
      <c r="V425" s="5"/>
      <c r="W425" s="5"/>
      <c r="X425" s="5"/>
      <c r="Y425" s="5"/>
      <c r="Z425" s="5"/>
      <c r="AA425" s="5"/>
      <c r="AB425" s="5"/>
      <c r="AC425" s="5"/>
      <c r="AD425" s="5"/>
      <c r="AE425" s="5"/>
      <c r="AF425" s="5"/>
      <c r="AG425" s="5"/>
      <c r="AH425" s="5"/>
      <c r="AI425" s="5"/>
      <c r="AJ425" s="5"/>
      <c r="AK425" s="22"/>
      <c r="AS425"/>
    </row>
    <row r="426" spans="2:45" hidden="1">
      <c r="B426" s="1023" t="s">
        <v>926</v>
      </c>
      <c r="C426" s="723"/>
      <c r="E426" s="785" t="s">
        <v>938</v>
      </c>
      <c r="F426" s="391"/>
      <c r="G426" s="391"/>
      <c r="H426" s="391"/>
      <c r="I426" s="544"/>
      <c r="J426" s="544"/>
      <c r="K426" s="544"/>
      <c r="L426" s="544"/>
      <c r="M426" s="544"/>
      <c r="N426" s="20"/>
      <c r="O426" s="20"/>
      <c r="P426" s="20"/>
      <c r="Q426" s="20"/>
      <c r="R426" s="20"/>
      <c r="S426" s="20"/>
      <c r="T426" s="20"/>
      <c r="U426" s="20"/>
      <c r="V426" s="14"/>
      <c r="W426" s="14"/>
      <c r="X426" s="14"/>
      <c r="Y426" s="377"/>
      <c r="Z426" s="14"/>
      <c r="AA426" s="18"/>
      <c r="AB426" s="18"/>
      <c r="AC426" s="18"/>
      <c r="AD426" s="18"/>
      <c r="AE426" s="18"/>
      <c r="AF426" s="18"/>
      <c r="AG426" s="18"/>
      <c r="AH426" s="18"/>
      <c r="AI426" s="18"/>
      <c r="AJ426" s="18"/>
      <c r="AK426" s="18"/>
      <c r="AL426" s="18"/>
      <c r="AM426" s="18"/>
      <c r="AN426" s="18"/>
      <c r="AO426" s="18"/>
      <c r="AP426" s="18"/>
      <c r="AQ426" s="18"/>
      <c r="AR426" s="18"/>
      <c r="AS426" s="22"/>
    </row>
    <row r="427" spans="2:45" hidden="1">
      <c r="B427" s="1023" t="s">
        <v>926</v>
      </c>
      <c r="C427" s="723"/>
      <c r="E427" s="5"/>
      <c r="F427" s="5"/>
      <c r="G427" s="5"/>
      <c r="H427" s="16"/>
      <c r="I427" s="16"/>
      <c r="J427" s="16"/>
      <c r="K427" s="16"/>
      <c r="L427" s="16"/>
      <c r="M427" s="16"/>
      <c r="N427" s="16"/>
      <c r="O427" s="16"/>
      <c r="P427" s="16"/>
      <c r="Q427" s="16"/>
      <c r="R427" s="16"/>
      <c r="S427" s="16"/>
      <c r="T427" s="16"/>
      <c r="U427" s="16"/>
      <c r="V427" s="16"/>
      <c r="X427" s="16"/>
      <c r="Y427" s="20"/>
      <c r="Z427" s="16"/>
      <c r="AA427" s="16"/>
      <c r="AB427" s="5"/>
      <c r="AC427" s="5"/>
      <c r="AD427" s="5"/>
      <c r="AE427" s="5"/>
      <c r="AF427" s="5"/>
      <c r="AG427" s="5"/>
      <c r="AH427" s="5"/>
      <c r="AI427" s="5"/>
      <c r="AJ427" s="5"/>
      <c r="AK427" s="5"/>
      <c r="AL427" s="5"/>
      <c r="AM427" s="5"/>
      <c r="AN427" s="5"/>
      <c r="AO427" s="5"/>
      <c r="AP427" s="5"/>
      <c r="AQ427" s="5"/>
      <c r="AR427" s="5"/>
      <c r="AS427" s="22"/>
    </row>
    <row r="428" spans="2:45" hidden="1">
      <c r="B428" s="1023" t="s">
        <v>939</v>
      </c>
      <c r="C428" s="723"/>
      <c r="E428" s="5"/>
      <c r="F428" s="5"/>
      <c r="G428" s="5"/>
      <c r="H428" s="16"/>
      <c r="I428" s="16"/>
      <c r="J428" s="16"/>
      <c r="K428" s="16"/>
      <c r="L428" s="16"/>
      <c r="M428" s="16"/>
      <c r="N428" s="16"/>
      <c r="O428" s="16"/>
      <c r="P428" s="16"/>
      <c r="Q428" s="16"/>
      <c r="R428" s="16"/>
      <c r="S428" s="16"/>
      <c r="T428" s="16"/>
      <c r="U428" s="16"/>
      <c r="V428" s="16"/>
      <c r="X428" s="16"/>
      <c r="Y428" s="20"/>
      <c r="Z428" s="16"/>
      <c r="AA428" s="16"/>
      <c r="AB428" s="5"/>
      <c r="AC428" s="5"/>
      <c r="AD428" s="5"/>
      <c r="AE428" s="5"/>
      <c r="AF428" s="5"/>
      <c r="AG428" s="5"/>
      <c r="AH428" s="5"/>
      <c r="AI428" s="5"/>
      <c r="AJ428" s="5"/>
      <c r="AK428" s="5"/>
      <c r="AL428" s="5"/>
      <c r="AM428" s="5"/>
      <c r="AN428" s="5"/>
      <c r="AO428" s="5"/>
      <c r="AP428" s="5"/>
      <c r="AQ428" s="5"/>
      <c r="AR428" s="5"/>
      <c r="AS428" s="22"/>
    </row>
    <row r="429" spans="2:45" ht="21" hidden="1">
      <c r="B429" s="1023" t="s">
        <v>939</v>
      </c>
      <c r="C429" s="723"/>
      <c r="E429" s="240" t="s">
        <v>939</v>
      </c>
      <c r="F429" s="240"/>
      <c r="G429" s="240"/>
      <c r="H429" s="240"/>
      <c r="I429" s="240"/>
      <c r="J429" s="240"/>
      <c r="K429" s="240"/>
      <c r="L429" s="240"/>
      <c r="M429" s="240"/>
      <c r="N429" s="240"/>
      <c r="O429" s="240"/>
      <c r="P429" s="240"/>
      <c r="Q429" s="240"/>
      <c r="R429" s="240"/>
      <c r="S429" s="240"/>
      <c r="T429" s="240"/>
      <c r="U429" s="240"/>
      <c r="V429" s="61"/>
      <c r="X429" s="61"/>
      <c r="Y429" s="20"/>
      <c r="Z429" s="5"/>
      <c r="AA429" s="5"/>
      <c r="AB429" s="5"/>
      <c r="AC429" s="5"/>
      <c r="AD429" s="5"/>
      <c r="AE429" s="5"/>
      <c r="AF429" s="5"/>
      <c r="AG429" s="5"/>
      <c r="AH429" s="5"/>
      <c r="AI429" s="5"/>
      <c r="AJ429" s="5"/>
      <c r="AK429" s="5"/>
      <c r="AL429" s="5"/>
      <c r="AM429" s="5"/>
      <c r="AN429" s="5"/>
      <c r="AO429" s="5"/>
      <c r="AP429" s="5"/>
      <c r="AQ429" s="5"/>
      <c r="AR429" s="5"/>
      <c r="AS429" s="22"/>
    </row>
    <row r="430" spans="2:45" hidden="1">
      <c r="B430" s="1023" t="s">
        <v>939</v>
      </c>
      <c r="C430" s="723"/>
      <c r="D430" s="859"/>
      <c r="E430" s="386" t="s">
        <v>483</v>
      </c>
      <c r="F430" s="386"/>
      <c r="G430" s="386" t="s">
        <v>420</v>
      </c>
      <c r="H430" s="387"/>
      <c r="I430" s="387">
        <f t="shared" ref="I430:T430" ca="1" si="97">OFFSET(I430,0,-1)+1</f>
        <v>1</v>
      </c>
      <c r="J430" s="387">
        <f t="shared" ca="1" si="97"/>
        <v>2</v>
      </c>
      <c r="K430" s="387">
        <f t="shared" ca="1" si="97"/>
        <v>3</v>
      </c>
      <c r="L430" s="387">
        <f t="shared" ca="1" si="97"/>
        <v>4</v>
      </c>
      <c r="M430" s="387">
        <f t="shared" ca="1" si="97"/>
        <v>5</v>
      </c>
      <c r="N430" s="387">
        <f t="shared" ca="1" si="97"/>
        <v>6</v>
      </c>
      <c r="O430" s="387">
        <f t="shared" ca="1" si="97"/>
        <v>7</v>
      </c>
      <c r="P430" s="387">
        <f t="shared" ca="1" si="97"/>
        <v>8</v>
      </c>
      <c r="Q430" s="387">
        <f t="shared" ca="1" si="97"/>
        <v>9</v>
      </c>
      <c r="R430" s="387">
        <f t="shared" ca="1" si="97"/>
        <v>10</v>
      </c>
      <c r="S430" s="387">
        <f t="shared" ca="1" si="97"/>
        <v>11</v>
      </c>
      <c r="T430" s="387">
        <f t="shared" ca="1" si="97"/>
        <v>12</v>
      </c>
      <c r="U430" s="387"/>
      <c r="V430" s="61"/>
      <c r="W430" s="61"/>
      <c r="X430" s="5"/>
      <c r="Y430" s="20"/>
      <c r="Z430" s="5"/>
      <c r="AA430" s="5"/>
      <c r="AB430" s="5"/>
      <c r="AC430" s="5"/>
      <c r="AD430" s="5"/>
      <c r="AE430" s="5"/>
      <c r="AF430" s="5"/>
      <c r="AG430" s="5"/>
      <c r="AH430" s="5"/>
      <c r="AI430" s="5"/>
      <c r="AJ430" s="5"/>
      <c r="AK430" s="5"/>
      <c r="AL430" s="5"/>
      <c r="AM430" s="5"/>
      <c r="AN430" s="5"/>
      <c r="AO430" s="5"/>
      <c r="AP430" s="5"/>
      <c r="AQ430" s="5"/>
      <c r="AR430" s="5"/>
      <c r="AS430" s="22"/>
    </row>
    <row r="431" spans="2:45" ht="18.75" hidden="1">
      <c r="B431" s="1023" t="s">
        <v>939</v>
      </c>
      <c r="C431" s="723"/>
      <c r="E431" s="403" t="s">
        <v>122</v>
      </c>
      <c r="F431" s="404"/>
      <c r="G431" s="405"/>
      <c r="H431" s="406"/>
      <c r="I431" s="406"/>
      <c r="J431" s="406"/>
      <c r="K431" s="406"/>
      <c r="L431" s="406"/>
      <c r="M431" s="406"/>
      <c r="N431" s="406"/>
      <c r="O431" s="406"/>
      <c r="P431" s="406"/>
      <c r="Q431" s="406"/>
      <c r="R431" s="406"/>
      <c r="S431" s="406"/>
      <c r="T431" s="406"/>
      <c r="U431" s="406"/>
      <c r="V431" s="20"/>
      <c r="W431" s="16"/>
      <c r="X431" s="16"/>
      <c r="Y431" s="16"/>
      <c r="Z431" s="16"/>
      <c r="AA431" s="16"/>
      <c r="AB431" s="16"/>
      <c r="AC431" s="16"/>
      <c r="AD431" s="16"/>
      <c r="AE431" s="16"/>
      <c r="AF431" s="16"/>
      <c r="AG431" s="16"/>
      <c r="AH431" s="16"/>
      <c r="AI431" s="16"/>
      <c r="AJ431" s="16"/>
      <c r="AK431" s="16"/>
      <c r="AL431" s="16"/>
      <c r="AM431" s="16"/>
      <c r="AN431" s="5"/>
      <c r="AO431" s="5"/>
      <c r="AP431" s="5"/>
      <c r="AQ431" s="5"/>
      <c r="AR431" s="5"/>
      <c r="AS431" s="22"/>
    </row>
    <row r="432" spans="2:45" hidden="1">
      <c r="B432" s="1023" t="s">
        <v>939</v>
      </c>
      <c r="C432" s="723"/>
      <c r="E432" s="395" t="s">
        <v>940</v>
      </c>
      <c r="F432" s="396"/>
      <c r="G432" s="395" t="s">
        <v>68</v>
      </c>
      <c r="H432" s="395"/>
      <c r="I432" s="522" t="str">
        <f>I$268</f>
        <v>kantoor</v>
      </c>
      <c r="J432" s="522" t="str">
        <f t="shared" ref="J432:T432" si="98">J$268</f>
        <v>bijeenkomst</v>
      </c>
      <c r="K432" s="522" t="str">
        <f t="shared" si="98"/>
        <v>kinderopvang</v>
      </c>
      <c r="L432" s="522" t="str">
        <f t="shared" si="98"/>
        <v>onderwijs</v>
      </c>
      <c r="M432" s="522" t="str">
        <f t="shared" si="98"/>
        <v>zorg overig</v>
      </c>
      <c r="N432" s="522" t="str">
        <f t="shared" si="98"/>
        <v>zorg met bed</v>
      </c>
      <c r="O432" s="522" t="str">
        <f t="shared" si="98"/>
        <v>winkel</v>
      </c>
      <c r="P432" s="522" t="str">
        <f t="shared" si="98"/>
        <v>sport</v>
      </c>
      <c r="Q432" s="522" t="str">
        <f t="shared" si="98"/>
        <v>logies</v>
      </c>
      <c r="R432" s="522" t="str">
        <f t="shared" si="98"/>
        <v>cel</v>
      </c>
      <c r="S432" s="522" t="str">
        <f t="shared" si="98"/>
        <v>woning</v>
      </c>
      <c r="T432" s="522" t="str">
        <f t="shared" si="98"/>
        <v>woongebouw</v>
      </c>
      <c r="U432" s="408"/>
      <c r="V432" s="20"/>
      <c r="W432" s="16"/>
      <c r="X432" s="16"/>
      <c r="Y432" s="16"/>
      <c r="Z432" s="16"/>
      <c r="AA432" s="16"/>
      <c r="AB432" s="16"/>
      <c r="AC432" s="16"/>
      <c r="AD432" s="16"/>
      <c r="AE432" s="16"/>
      <c r="AF432" s="16"/>
      <c r="AG432" s="16"/>
      <c r="AH432" s="16"/>
      <c r="AI432" s="16"/>
      <c r="AJ432" s="16"/>
      <c r="AK432" s="16"/>
      <c r="AL432" s="16"/>
      <c r="AM432" s="16"/>
      <c r="AN432" s="5"/>
      <c r="AO432" s="5"/>
      <c r="AP432" s="5"/>
      <c r="AQ432" s="5"/>
      <c r="AR432" s="5"/>
      <c r="AS432" s="22"/>
    </row>
    <row r="433" spans="2:45" ht="18.75" hidden="1">
      <c r="B433" s="1023" t="s">
        <v>939</v>
      </c>
      <c r="C433" s="723"/>
      <c r="E433" s="403" t="s">
        <v>941</v>
      </c>
      <c r="F433" s="404"/>
      <c r="G433" s="405"/>
      <c r="H433" s="406"/>
      <c r="I433" s="406"/>
      <c r="J433" s="406"/>
      <c r="K433" s="406"/>
      <c r="L433" s="406"/>
      <c r="M433" s="406"/>
      <c r="N433" s="406"/>
      <c r="O433" s="406"/>
      <c r="P433" s="406"/>
      <c r="Q433" s="406"/>
      <c r="R433" s="406"/>
      <c r="S433" s="406"/>
      <c r="T433" s="406"/>
      <c r="U433" s="406"/>
      <c r="V433" s="20"/>
      <c r="W433" s="16"/>
      <c r="X433" s="16"/>
      <c r="Y433" s="16"/>
      <c r="Z433" s="16"/>
      <c r="AA433" s="16"/>
      <c r="AB433" s="16"/>
      <c r="AC433" s="16"/>
      <c r="AD433" s="16"/>
      <c r="AE433" s="16"/>
      <c r="AF433" s="16"/>
      <c r="AG433" s="16"/>
      <c r="AH433" s="16"/>
      <c r="AI433" s="16"/>
      <c r="AJ433" s="16"/>
      <c r="AK433" s="16"/>
      <c r="AL433" s="16"/>
      <c r="AM433" s="16"/>
      <c r="AN433" s="5"/>
      <c r="AO433" s="5"/>
      <c r="AP433" s="5"/>
      <c r="AQ433" s="5"/>
      <c r="AR433" s="5"/>
      <c r="AS433" s="22"/>
    </row>
    <row r="434" spans="2:45" hidden="1">
      <c r="B434" s="1023" t="s">
        <v>939</v>
      </c>
      <c r="C434" s="723"/>
      <c r="E434" s="395" t="s">
        <v>942</v>
      </c>
      <c r="F434" s="396"/>
      <c r="G434" s="395" t="s">
        <v>166</v>
      </c>
      <c r="H434" s="408"/>
      <c r="I434" s="518">
        <v>10000</v>
      </c>
      <c r="J434" s="518">
        <v>10000</v>
      </c>
      <c r="K434" s="518">
        <v>10000</v>
      </c>
      <c r="L434" s="518">
        <v>10000</v>
      </c>
      <c r="M434" s="518">
        <v>10000</v>
      </c>
      <c r="N434" s="518">
        <v>10000</v>
      </c>
      <c r="O434" s="518">
        <v>10000</v>
      </c>
      <c r="P434" s="518">
        <v>10000</v>
      </c>
      <c r="Q434" s="518">
        <v>10000</v>
      </c>
      <c r="R434" s="518">
        <v>10000</v>
      </c>
      <c r="S434" s="518">
        <v>10000</v>
      </c>
      <c r="T434" s="518">
        <v>10000</v>
      </c>
      <c r="U434" s="408"/>
      <c r="V434" s="20"/>
      <c r="W434" s="16"/>
      <c r="X434" s="16"/>
      <c r="Y434" s="16"/>
      <c r="Z434" s="16"/>
      <c r="AA434" s="16"/>
      <c r="AB434" s="16"/>
      <c r="AC434" s="16"/>
      <c r="AD434" s="16"/>
      <c r="AE434" s="16"/>
      <c r="AF434" s="16"/>
      <c r="AG434" s="16"/>
      <c r="AH434" s="16"/>
      <c r="AI434" s="16"/>
      <c r="AJ434" s="16"/>
      <c r="AK434" s="16"/>
      <c r="AL434" s="16"/>
      <c r="AM434" s="16"/>
      <c r="AN434" s="5"/>
      <c r="AO434" s="5"/>
      <c r="AP434" s="5"/>
      <c r="AQ434" s="5"/>
      <c r="AR434" s="5"/>
      <c r="AS434" s="22"/>
    </row>
    <row r="435" spans="2:45" hidden="1">
      <c r="B435" s="1023" t="s">
        <v>939</v>
      </c>
      <c r="C435" s="723"/>
      <c r="E435" s="395" t="s">
        <v>943</v>
      </c>
      <c r="F435" s="396"/>
      <c r="G435" s="395" t="s">
        <v>166</v>
      </c>
      <c r="H435" s="408"/>
      <c r="I435" s="518">
        <v>300</v>
      </c>
      <c r="J435" s="518">
        <v>385</v>
      </c>
      <c r="K435" s="518">
        <v>445</v>
      </c>
      <c r="L435" s="518">
        <v>395</v>
      </c>
      <c r="M435" s="518">
        <v>355</v>
      </c>
      <c r="N435" s="518">
        <v>715</v>
      </c>
      <c r="O435" s="518">
        <v>475</v>
      </c>
      <c r="P435" s="518">
        <v>260</v>
      </c>
      <c r="Q435" s="518">
        <v>385</v>
      </c>
      <c r="R435" s="518">
        <v>500</v>
      </c>
      <c r="S435" s="518">
        <v>380</v>
      </c>
      <c r="T435" s="518">
        <v>380</v>
      </c>
      <c r="U435" s="408"/>
      <c r="V435" s="20"/>
      <c r="W435" s="16"/>
      <c r="X435" s="16"/>
      <c r="Y435" s="16"/>
      <c r="Z435" s="16"/>
      <c r="AA435" s="16"/>
      <c r="AB435" s="16"/>
      <c r="AC435" s="16"/>
      <c r="AD435" s="16"/>
      <c r="AE435" s="16"/>
      <c r="AF435" s="16"/>
      <c r="AG435" s="16"/>
      <c r="AH435" s="16"/>
      <c r="AI435" s="16"/>
      <c r="AJ435" s="16"/>
      <c r="AK435" s="16"/>
      <c r="AL435" s="16"/>
      <c r="AM435" s="16"/>
      <c r="AN435" s="5"/>
      <c r="AO435" s="5"/>
      <c r="AP435" s="5"/>
      <c r="AQ435" s="5"/>
      <c r="AR435" s="5"/>
      <c r="AS435" s="22"/>
    </row>
    <row r="436" spans="2:45" hidden="1">
      <c r="B436" s="1023" t="s">
        <v>939</v>
      </c>
      <c r="C436" s="723"/>
      <c r="E436" s="395" t="s">
        <v>944</v>
      </c>
      <c r="F436" s="396"/>
      <c r="G436" s="395" t="s">
        <v>166</v>
      </c>
      <c r="H436" s="408"/>
      <c r="I436" s="518">
        <v>275</v>
      </c>
      <c r="J436" s="518">
        <v>355</v>
      </c>
      <c r="K436" s="518">
        <v>405</v>
      </c>
      <c r="L436" s="518">
        <v>360</v>
      </c>
      <c r="M436" s="518">
        <v>325</v>
      </c>
      <c r="N436" s="518">
        <v>655</v>
      </c>
      <c r="O436" s="518">
        <v>435</v>
      </c>
      <c r="P436" s="518">
        <v>240</v>
      </c>
      <c r="Q436" s="518">
        <v>355</v>
      </c>
      <c r="R436" s="518">
        <v>455</v>
      </c>
      <c r="S436" s="518">
        <v>335</v>
      </c>
      <c r="T436" s="518">
        <v>335</v>
      </c>
      <c r="U436" s="408"/>
      <c r="V436" s="20"/>
      <c r="W436" s="16"/>
      <c r="X436" s="16"/>
      <c r="Y436" s="16"/>
      <c r="Z436" s="16"/>
      <c r="AA436" s="16"/>
      <c r="AB436" s="16"/>
      <c r="AC436" s="16"/>
      <c r="AD436" s="16"/>
      <c r="AE436" s="16"/>
      <c r="AF436" s="16"/>
      <c r="AG436" s="16"/>
      <c r="AH436" s="16"/>
      <c r="AI436" s="16"/>
      <c r="AJ436" s="16"/>
      <c r="AK436" s="16"/>
      <c r="AL436" s="16"/>
      <c r="AM436" s="16"/>
      <c r="AN436" s="5"/>
      <c r="AO436" s="5"/>
      <c r="AP436" s="5"/>
      <c r="AQ436" s="5"/>
      <c r="AR436" s="5"/>
      <c r="AS436" s="22"/>
    </row>
    <row r="437" spans="2:45" hidden="1">
      <c r="B437" s="1023" t="s">
        <v>939</v>
      </c>
      <c r="C437" s="723"/>
      <c r="E437" s="395" t="s">
        <v>531</v>
      </c>
      <c r="F437" s="396"/>
      <c r="G437" s="395" t="s">
        <v>166</v>
      </c>
      <c r="H437" s="408"/>
      <c r="I437" s="518">
        <v>250</v>
      </c>
      <c r="J437" s="518">
        <v>320</v>
      </c>
      <c r="K437" s="518">
        <v>365</v>
      </c>
      <c r="L437" s="518">
        <v>330</v>
      </c>
      <c r="M437" s="518">
        <v>295</v>
      </c>
      <c r="N437" s="518">
        <v>595</v>
      </c>
      <c r="O437" s="518">
        <v>395</v>
      </c>
      <c r="P437" s="518">
        <v>215</v>
      </c>
      <c r="Q437" s="518">
        <v>320</v>
      </c>
      <c r="R437" s="518">
        <v>415</v>
      </c>
      <c r="S437" s="518">
        <v>290</v>
      </c>
      <c r="T437" s="518">
        <v>290</v>
      </c>
      <c r="U437" s="408"/>
      <c r="V437" s="20"/>
      <c r="W437" s="16"/>
      <c r="X437" s="16"/>
      <c r="Y437" s="16"/>
      <c r="Z437" s="16"/>
      <c r="AA437" s="16"/>
      <c r="AB437" s="16"/>
      <c r="AC437" s="16"/>
      <c r="AD437" s="16"/>
      <c r="AE437" s="16"/>
      <c r="AF437" s="16"/>
      <c r="AG437" s="16"/>
      <c r="AH437" s="16"/>
      <c r="AI437" s="16"/>
      <c r="AJ437" s="16"/>
      <c r="AK437" s="16"/>
      <c r="AL437" s="16"/>
      <c r="AM437" s="16"/>
      <c r="AN437" s="5"/>
      <c r="AO437" s="5"/>
      <c r="AP437" s="5"/>
      <c r="AQ437" s="5"/>
      <c r="AR437" s="5"/>
      <c r="AS437" s="22"/>
    </row>
    <row r="438" spans="2:45" hidden="1">
      <c r="B438" s="1023" t="s">
        <v>939</v>
      </c>
      <c r="C438" s="723"/>
      <c r="E438" s="395" t="s">
        <v>529</v>
      </c>
      <c r="F438" s="396"/>
      <c r="G438" s="395" t="s">
        <v>166</v>
      </c>
      <c r="H438" s="408"/>
      <c r="I438" s="518">
        <v>225</v>
      </c>
      <c r="J438" s="518">
        <v>285</v>
      </c>
      <c r="K438" s="518">
        <v>330</v>
      </c>
      <c r="L438" s="518">
        <v>295</v>
      </c>
      <c r="M438" s="518">
        <v>260</v>
      </c>
      <c r="N438" s="518">
        <v>530</v>
      </c>
      <c r="O438" s="518">
        <v>355</v>
      </c>
      <c r="P438" s="518">
        <v>195</v>
      </c>
      <c r="Q438" s="518">
        <v>285</v>
      </c>
      <c r="R438" s="518">
        <v>370</v>
      </c>
      <c r="S438" s="518">
        <v>250</v>
      </c>
      <c r="T438" s="518">
        <v>250</v>
      </c>
      <c r="U438" s="408"/>
      <c r="V438" s="20"/>
      <c r="W438" s="16"/>
      <c r="X438" s="16"/>
      <c r="Y438" s="16"/>
      <c r="Z438" s="16"/>
      <c r="AA438" s="16"/>
      <c r="AB438" s="16"/>
      <c r="AC438" s="16"/>
      <c r="AD438" s="16"/>
      <c r="AE438" s="16"/>
      <c r="AF438" s="16"/>
      <c r="AG438" s="16"/>
      <c r="AH438" s="16"/>
      <c r="AI438" s="16"/>
      <c r="AJ438" s="16"/>
      <c r="AK438" s="16"/>
      <c r="AL438" s="16"/>
      <c r="AM438" s="16"/>
      <c r="AN438" s="5"/>
      <c r="AO438" s="5"/>
      <c r="AP438" s="5"/>
      <c r="AQ438" s="5"/>
      <c r="AR438" s="5"/>
      <c r="AS438" s="22"/>
    </row>
    <row r="439" spans="2:45" hidden="1">
      <c r="B439" s="1023" t="s">
        <v>939</v>
      </c>
      <c r="C439" s="723"/>
      <c r="E439" s="395" t="s">
        <v>526</v>
      </c>
      <c r="F439" s="396"/>
      <c r="G439" s="395" t="s">
        <v>166</v>
      </c>
      <c r="H439" s="408"/>
      <c r="I439" s="518">
        <v>200</v>
      </c>
      <c r="J439" s="518">
        <v>255</v>
      </c>
      <c r="K439" s="518">
        <v>290</v>
      </c>
      <c r="L439" s="518">
        <v>260</v>
      </c>
      <c r="M439" s="518">
        <v>230</v>
      </c>
      <c r="N439" s="518">
        <v>470</v>
      </c>
      <c r="O439" s="518">
        <v>315</v>
      </c>
      <c r="P439" s="518">
        <v>170</v>
      </c>
      <c r="Q439" s="518">
        <v>255</v>
      </c>
      <c r="R439" s="518">
        <v>330</v>
      </c>
      <c r="S439" s="518">
        <v>190</v>
      </c>
      <c r="T439" s="518">
        <v>190</v>
      </c>
      <c r="U439" s="408"/>
      <c r="V439" s="20"/>
      <c r="W439" s="16"/>
      <c r="X439" s="16"/>
      <c r="Y439" s="16"/>
      <c r="Z439" s="16"/>
      <c r="AA439" s="16"/>
      <c r="AB439" s="16"/>
      <c r="AC439" s="16"/>
      <c r="AD439" s="16"/>
      <c r="AE439" s="16"/>
      <c r="AF439" s="16"/>
      <c r="AG439" s="16"/>
      <c r="AH439" s="16"/>
      <c r="AI439" s="16"/>
      <c r="AJ439" s="16"/>
      <c r="AK439" s="16"/>
      <c r="AL439" s="16"/>
      <c r="AM439" s="16"/>
      <c r="AN439" s="5"/>
      <c r="AO439" s="5"/>
      <c r="AP439" s="5"/>
      <c r="AQ439" s="5"/>
      <c r="AR439" s="5"/>
      <c r="AS439" s="22"/>
    </row>
    <row r="440" spans="2:45" hidden="1">
      <c r="B440" s="1023" t="s">
        <v>939</v>
      </c>
      <c r="C440" s="723"/>
      <c r="E440" s="395" t="s">
        <v>525</v>
      </c>
      <c r="F440" s="396"/>
      <c r="G440" s="395" t="s">
        <v>166</v>
      </c>
      <c r="H440" s="408"/>
      <c r="I440" s="518">
        <v>180</v>
      </c>
      <c r="J440" s="518">
        <v>230</v>
      </c>
      <c r="K440" s="518">
        <v>265</v>
      </c>
      <c r="L440" s="518">
        <v>235</v>
      </c>
      <c r="M440" s="518">
        <v>210</v>
      </c>
      <c r="N440" s="518">
        <v>430</v>
      </c>
      <c r="O440" s="518">
        <v>285</v>
      </c>
      <c r="P440" s="518">
        <v>155</v>
      </c>
      <c r="Q440" s="518">
        <v>230</v>
      </c>
      <c r="R440" s="518">
        <v>300</v>
      </c>
      <c r="S440" s="518">
        <v>160</v>
      </c>
      <c r="T440" s="518">
        <v>160</v>
      </c>
      <c r="U440" s="408"/>
      <c r="V440" s="20"/>
      <c r="W440" s="16"/>
      <c r="X440" s="16"/>
      <c r="Y440" s="16"/>
      <c r="Z440" s="16"/>
      <c r="AA440" s="16"/>
      <c r="AB440" s="16"/>
      <c r="AC440" s="16"/>
      <c r="AD440" s="16"/>
      <c r="AE440" s="16"/>
      <c r="AF440" s="16"/>
      <c r="AG440" s="16"/>
      <c r="AH440" s="16"/>
      <c r="AI440" s="16"/>
      <c r="AJ440" s="16"/>
      <c r="AK440" s="16"/>
      <c r="AL440" s="16"/>
      <c r="AM440" s="16"/>
      <c r="AN440" s="5"/>
      <c r="AO440" s="5"/>
      <c r="AP440" s="5"/>
      <c r="AQ440" s="5"/>
      <c r="AR440" s="5"/>
      <c r="AS440" s="22"/>
    </row>
    <row r="441" spans="2:45" hidden="1">
      <c r="B441" s="1023" t="s">
        <v>939</v>
      </c>
      <c r="C441" s="723"/>
      <c r="E441" s="395" t="s">
        <v>945</v>
      </c>
      <c r="F441" s="396"/>
      <c r="G441" s="395" t="s">
        <v>166</v>
      </c>
      <c r="H441" s="408"/>
      <c r="I441" s="518">
        <v>160</v>
      </c>
      <c r="J441" s="518">
        <v>200</v>
      </c>
      <c r="K441" s="518">
        <v>220</v>
      </c>
      <c r="L441" s="518">
        <v>200</v>
      </c>
      <c r="M441" s="518">
        <v>180</v>
      </c>
      <c r="N441" s="518">
        <v>360</v>
      </c>
      <c r="O441" s="518">
        <v>240</v>
      </c>
      <c r="P441" s="518">
        <v>140</v>
      </c>
      <c r="Q441" s="518">
        <v>200</v>
      </c>
      <c r="R441" s="518">
        <v>240</v>
      </c>
      <c r="S441" s="518">
        <v>105</v>
      </c>
      <c r="T441" s="518">
        <v>105</v>
      </c>
      <c r="U441" s="408"/>
      <c r="V441" s="20"/>
      <c r="W441" s="16"/>
      <c r="X441" s="16"/>
      <c r="Y441" s="16"/>
      <c r="Z441" s="16"/>
      <c r="AA441" s="16"/>
      <c r="AB441" s="16"/>
      <c r="AC441" s="16"/>
      <c r="AD441" s="16"/>
      <c r="AE441" s="16"/>
      <c r="AF441" s="16"/>
      <c r="AG441" s="16"/>
      <c r="AH441" s="16"/>
      <c r="AI441" s="16"/>
      <c r="AJ441" s="16"/>
      <c r="AK441" s="16"/>
      <c r="AL441" s="16"/>
      <c r="AM441" s="16"/>
      <c r="AN441" s="5"/>
      <c r="AO441" s="5"/>
      <c r="AP441" s="5"/>
      <c r="AQ441" s="5"/>
      <c r="AR441" s="5"/>
      <c r="AS441" s="22"/>
    </row>
    <row r="442" spans="2:45" hidden="1">
      <c r="B442" s="1023" t="s">
        <v>939</v>
      </c>
      <c r="C442" s="723"/>
      <c r="E442" s="395" t="s">
        <v>946</v>
      </c>
      <c r="F442" s="396"/>
      <c r="G442" s="395" t="s">
        <v>166</v>
      </c>
      <c r="H442" s="408"/>
      <c r="I442" s="518">
        <v>120</v>
      </c>
      <c r="J442" s="518">
        <v>150</v>
      </c>
      <c r="K442" s="518">
        <v>165</v>
      </c>
      <c r="L442" s="518">
        <v>150</v>
      </c>
      <c r="M442" s="518">
        <v>135</v>
      </c>
      <c r="N442" s="518">
        <v>270</v>
      </c>
      <c r="O442" s="518">
        <v>180</v>
      </c>
      <c r="P442" s="518">
        <v>105</v>
      </c>
      <c r="Q442" s="518">
        <v>150</v>
      </c>
      <c r="R442" s="518">
        <v>180</v>
      </c>
      <c r="S442" s="518">
        <v>75</v>
      </c>
      <c r="T442" s="518">
        <v>75</v>
      </c>
      <c r="U442" s="408"/>
      <c r="V442" s="20"/>
      <c r="W442" s="16"/>
      <c r="X442" s="16"/>
      <c r="Y442" s="16"/>
      <c r="Z442" s="16"/>
      <c r="AA442" s="16"/>
      <c r="AB442" s="16"/>
      <c r="AC442" s="16"/>
      <c r="AD442" s="16"/>
      <c r="AE442" s="16"/>
      <c r="AF442" s="16"/>
      <c r="AG442" s="16"/>
      <c r="AH442" s="16"/>
      <c r="AI442" s="16"/>
      <c r="AJ442" s="16"/>
      <c r="AK442" s="16"/>
      <c r="AL442" s="16"/>
      <c r="AM442" s="16"/>
      <c r="AN442" s="5"/>
      <c r="AO442" s="5"/>
      <c r="AP442" s="5"/>
      <c r="AQ442" s="5"/>
      <c r="AR442" s="5"/>
      <c r="AS442" s="22"/>
    </row>
    <row r="443" spans="2:45" hidden="1">
      <c r="B443" s="1023" t="s">
        <v>939</v>
      </c>
      <c r="C443" s="723"/>
      <c r="E443" s="395" t="s">
        <v>947</v>
      </c>
      <c r="F443" s="396"/>
      <c r="G443" s="395" t="s">
        <v>166</v>
      </c>
      <c r="H443" s="408"/>
      <c r="I443" s="518">
        <v>80</v>
      </c>
      <c r="J443" s="518">
        <v>100</v>
      </c>
      <c r="K443" s="518">
        <v>110</v>
      </c>
      <c r="L443" s="518">
        <v>100</v>
      </c>
      <c r="M443" s="518">
        <v>90</v>
      </c>
      <c r="N443" s="518">
        <v>180</v>
      </c>
      <c r="O443" s="518">
        <v>120</v>
      </c>
      <c r="P443" s="518">
        <v>70</v>
      </c>
      <c r="Q443" s="518">
        <v>100</v>
      </c>
      <c r="R443" s="518">
        <v>120</v>
      </c>
      <c r="S443" s="518">
        <v>50</v>
      </c>
      <c r="T443" s="518">
        <v>50</v>
      </c>
      <c r="U443" s="408"/>
      <c r="V443" s="20"/>
      <c r="W443" s="16"/>
      <c r="X443" s="16"/>
      <c r="Y443" s="16"/>
      <c r="Z443" s="16"/>
      <c r="AA443" s="16"/>
      <c r="AB443" s="16"/>
      <c r="AC443" s="16"/>
      <c r="AD443" s="16"/>
      <c r="AE443" s="16"/>
      <c r="AF443" s="16"/>
      <c r="AG443" s="16"/>
      <c r="AH443" s="16"/>
      <c r="AI443" s="16"/>
      <c r="AJ443" s="16"/>
      <c r="AK443" s="16"/>
      <c r="AL443" s="16"/>
      <c r="AM443" s="16"/>
      <c r="AN443" s="5"/>
      <c r="AO443" s="5"/>
      <c r="AP443" s="5"/>
      <c r="AQ443" s="5"/>
      <c r="AR443" s="5"/>
      <c r="AS443" s="22"/>
    </row>
    <row r="444" spans="2:45" hidden="1">
      <c r="B444" s="1023" t="s">
        <v>939</v>
      </c>
      <c r="C444" s="723"/>
      <c r="E444" s="395" t="s">
        <v>948</v>
      </c>
      <c r="F444" s="396"/>
      <c r="G444" s="395" t="s">
        <v>166</v>
      </c>
      <c r="H444" s="408"/>
      <c r="I444" s="518">
        <v>40</v>
      </c>
      <c r="J444" s="518">
        <v>50</v>
      </c>
      <c r="K444" s="518">
        <v>55</v>
      </c>
      <c r="L444" s="518">
        <v>50</v>
      </c>
      <c r="M444" s="518">
        <v>45</v>
      </c>
      <c r="N444" s="518">
        <v>90</v>
      </c>
      <c r="O444" s="518">
        <v>60</v>
      </c>
      <c r="P444" s="518">
        <v>35</v>
      </c>
      <c r="Q444" s="518">
        <v>50</v>
      </c>
      <c r="R444" s="518">
        <v>60</v>
      </c>
      <c r="S444" s="518">
        <v>0</v>
      </c>
      <c r="T444" s="518">
        <v>0</v>
      </c>
      <c r="U444" s="408"/>
      <c r="V444" s="20"/>
      <c r="W444" s="16"/>
      <c r="X444" s="16"/>
      <c r="Y444" s="16"/>
      <c r="Z444" s="16"/>
      <c r="AA444" s="16"/>
      <c r="AB444" s="16"/>
      <c r="AC444" s="16"/>
      <c r="AD444" s="16"/>
      <c r="AE444" s="16"/>
      <c r="AF444" s="16"/>
      <c r="AG444" s="16"/>
      <c r="AH444" s="16"/>
      <c r="AI444" s="16"/>
      <c r="AJ444" s="16"/>
      <c r="AK444" s="16"/>
      <c r="AL444" s="16"/>
      <c r="AM444" s="16"/>
      <c r="AN444" s="5"/>
      <c r="AO444" s="5"/>
      <c r="AP444" s="5"/>
      <c r="AQ444" s="5"/>
      <c r="AR444" s="5"/>
      <c r="AS444" s="22"/>
    </row>
    <row r="445" spans="2:45" hidden="1">
      <c r="B445" s="1023" t="s">
        <v>939</v>
      </c>
      <c r="C445" s="723"/>
      <c r="E445" s="395" t="s">
        <v>949</v>
      </c>
      <c r="F445" s="396"/>
      <c r="G445" s="395" t="s">
        <v>166</v>
      </c>
      <c r="H445" s="408"/>
      <c r="I445" s="518">
        <v>0</v>
      </c>
      <c r="J445" s="518">
        <v>0</v>
      </c>
      <c r="K445" s="518">
        <v>0</v>
      </c>
      <c r="L445" s="518">
        <v>0</v>
      </c>
      <c r="M445" s="518">
        <v>0</v>
      </c>
      <c r="N445" s="518">
        <v>0</v>
      </c>
      <c r="O445" s="518">
        <v>0</v>
      </c>
      <c r="P445" s="518">
        <v>0</v>
      </c>
      <c r="Q445" s="518">
        <v>0</v>
      </c>
      <c r="R445" s="518">
        <v>0</v>
      </c>
      <c r="S445" s="518"/>
      <c r="T445" s="518"/>
      <c r="U445" s="408"/>
      <c r="V445" s="20"/>
      <c r="W445" s="16"/>
      <c r="X445" s="16"/>
      <c r="Y445" s="16"/>
      <c r="Z445" s="16"/>
      <c r="AA445" s="16"/>
      <c r="AB445" s="16"/>
      <c r="AC445" s="16"/>
      <c r="AD445" s="16"/>
      <c r="AE445" s="16"/>
      <c r="AF445" s="16"/>
      <c r="AG445" s="16"/>
      <c r="AH445" s="16"/>
      <c r="AI445" s="16"/>
      <c r="AJ445" s="16"/>
      <c r="AK445" s="16"/>
      <c r="AL445" s="16"/>
      <c r="AM445" s="16"/>
      <c r="AN445" s="5"/>
      <c r="AO445" s="5"/>
      <c r="AP445" s="5"/>
      <c r="AQ445" s="5"/>
      <c r="AR445" s="5"/>
      <c r="AS445" s="22"/>
    </row>
    <row r="446" spans="2:45" hidden="1">
      <c r="B446" s="1023" t="s">
        <v>939</v>
      </c>
      <c r="C446" s="723"/>
      <c r="E446" s="785" t="s">
        <v>950</v>
      </c>
      <c r="F446" s="391"/>
      <c r="G446" s="391"/>
      <c r="H446" s="391"/>
      <c r="I446" s="544"/>
      <c r="J446" s="544"/>
      <c r="K446" s="544"/>
      <c r="L446" s="544"/>
      <c r="M446" s="544"/>
      <c r="N446" s="544"/>
      <c r="O446" s="544"/>
      <c r="P446" s="544"/>
      <c r="Q446" s="544"/>
      <c r="R446" s="544"/>
      <c r="S446" s="544"/>
      <c r="T446" s="544"/>
      <c r="U446" s="544"/>
      <c r="V446" s="14"/>
      <c r="W446" s="14"/>
      <c r="X446" s="14"/>
      <c r="Y446" s="14"/>
      <c r="Z446" s="14"/>
      <c r="AA446" s="14"/>
      <c r="AB446" s="14"/>
      <c r="AC446" s="14"/>
      <c r="AD446" s="14"/>
      <c r="AE446" s="14"/>
      <c r="AF446" s="14"/>
      <c r="AG446" s="14"/>
      <c r="AH446" s="14"/>
      <c r="AI446" s="14"/>
      <c r="AJ446" s="14"/>
      <c r="AK446" s="14"/>
      <c r="AL446" s="14"/>
      <c r="AM446" s="14"/>
      <c r="AN446" s="18"/>
      <c r="AO446" s="18"/>
      <c r="AP446" s="18"/>
      <c r="AQ446" s="18"/>
      <c r="AR446" s="18"/>
      <c r="AS446" s="22"/>
    </row>
    <row r="447" spans="2:45" hidden="1">
      <c r="B447" s="1023" t="s">
        <v>939</v>
      </c>
      <c r="C447" s="723"/>
      <c r="E447" s="5"/>
      <c r="F447" s="5"/>
      <c r="G447" s="5"/>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5"/>
      <c r="AO447" s="5"/>
      <c r="AP447" s="5"/>
      <c r="AQ447" s="5"/>
      <c r="AR447" s="5"/>
      <c r="AS447" s="22"/>
    </row>
    <row r="448" spans="2:45" hidden="1">
      <c r="B448" s="1023" t="s">
        <v>951</v>
      </c>
      <c r="C448" s="723"/>
      <c r="E448" s="5"/>
      <c r="F448" s="5"/>
      <c r="G448" s="5"/>
      <c r="H448" s="16"/>
      <c r="I448" s="16"/>
      <c r="J448" s="16"/>
      <c r="K448" s="16"/>
      <c r="L448" s="16"/>
      <c r="M448" s="16"/>
      <c r="N448" s="16"/>
      <c r="O448" s="16"/>
      <c r="P448" s="16"/>
      <c r="Q448" s="16"/>
      <c r="R448" s="16"/>
      <c r="S448" s="16"/>
      <c r="T448" s="16"/>
      <c r="U448" s="16"/>
      <c r="V448" s="16"/>
      <c r="W448" s="16"/>
      <c r="X448" s="16"/>
      <c r="Y448" s="20"/>
      <c r="Z448" s="5"/>
      <c r="AA448" s="5"/>
      <c r="AB448" s="5"/>
      <c r="AC448" s="5"/>
      <c r="AD448" s="5"/>
      <c r="AE448" s="5"/>
      <c r="AF448" s="5"/>
      <c r="AG448" s="5"/>
      <c r="AH448" s="5"/>
      <c r="AI448" s="5"/>
      <c r="AJ448" s="5"/>
      <c r="AK448" s="5"/>
      <c r="AL448" s="5"/>
      <c r="AM448" s="5"/>
      <c r="AN448" s="5"/>
      <c r="AO448" s="5"/>
      <c r="AP448" s="5"/>
      <c r="AQ448" s="5"/>
      <c r="AR448" s="5"/>
      <c r="AS448" s="22"/>
    </row>
    <row r="449" spans="2:46" ht="21" hidden="1">
      <c r="B449" s="1023" t="s">
        <v>951</v>
      </c>
      <c r="C449" s="723"/>
      <c r="E449" s="240" t="s">
        <v>951</v>
      </c>
      <c r="F449" s="240"/>
      <c r="G449" s="240"/>
      <c r="H449" s="240"/>
      <c r="I449" s="240"/>
      <c r="J449" s="240"/>
      <c r="K449" s="5"/>
      <c r="L449" s="30"/>
      <c r="M449" s="5"/>
      <c r="N449" s="27"/>
      <c r="O449" s="5"/>
      <c r="P449" s="5"/>
      <c r="Q449" s="5"/>
      <c r="R449" s="5"/>
      <c r="S449" s="5"/>
      <c r="T449" s="5"/>
      <c r="U449" s="5"/>
      <c r="V449" s="5"/>
      <c r="W449" s="5"/>
      <c r="X449" s="5"/>
      <c r="Y449" s="20"/>
      <c r="Z449" s="5"/>
      <c r="AA449" s="5"/>
      <c r="AB449" s="5"/>
      <c r="AC449" s="5"/>
      <c r="AD449" s="5"/>
      <c r="AE449" s="5"/>
      <c r="AF449" s="5"/>
      <c r="AG449" s="5"/>
      <c r="AH449" s="5"/>
      <c r="AI449" s="5"/>
      <c r="AJ449" s="5"/>
      <c r="AK449" s="5"/>
      <c r="AL449" s="5"/>
      <c r="AM449" s="5"/>
      <c r="AN449" s="5"/>
      <c r="AO449" s="5"/>
      <c r="AP449" s="5"/>
      <c r="AQ449" s="5"/>
      <c r="AR449" s="5"/>
      <c r="AS449" s="22"/>
    </row>
    <row r="450" spans="2:46" hidden="1">
      <c r="B450" s="1023" t="s">
        <v>951</v>
      </c>
      <c r="C450" s="723"/>
      <c r="E450" s="386" t="s">
        <v>483</v>
      </c>
      <c r="F450" s="386"/>
      <c r="G450" s="386" t="s">
        <v>420</v>
      </c>
      <c r="H450" s="387"/>
      <c r="I450" s="387">
        <f ca="1">OFFSET(I450,0,-1)+1</f>
        <v>1</v>
      </c>
      <c r="J450" s="387"/>
      <c r="K450" s="20"/>
      <c r="L450" s="31"/>
      <c r="M450" s="16"/>
      <c r="N450" s="24"/>
      <c r="O450" s="24"/>
      <c r="P450" s="24"/>
      <c r="Q450" s="16"/>
      <c r="R450" s="16"/>
      <c r="S450" s="16"/>
      <c r="T450" s="16"/>
      <c r="U450" s="16"/>
      <c r="V450" s="16"/>
      <c r="W450" s="16"/>
      <c r="X450" s="16"/>
      <c r="Y450" s="20"/>
      <c r="Z450" s="5"/>
      <c r="AA450" s="5"/>
      <c r="AB450" s="5"/>
      <c r="AC450" s="5"/>
      <c r="AD450" s="5"/>
      <c r="AE450" s="5"/>
      <c r="AF450" s="5"/>
      <c r="AG450" s="5"/>
      <c r="AH450" s="5"/>
      <c r="AI450" s="5"/>
      <c r="AJ450" s="5"/>
      <c r="AK450" s="5"/>
      <c r="AL450" s="5"/>
      <c r="AM450" s="5"/>
      <c r="AN450" s="5"/>
      <c r="AO450" s="5"/>
      <c r="AP450" s="5"/>
      <c r="AQ450" s="5"/>
      <c r="AR450" s="5"/>
      <c r="AS450" s="22"/>
    </row>
    <row r="451" spans="2:46" ht="18.75" hidden="1">
      <c r="B451" s="1023" t="s">
        <v>951</v>
      </c>
      <c r="C451" s="723"/>
      <c r="E451" s="403" t="s">
        <v>951</v>
      </c>
      <c r="F451" s="404"/>
      <c r="G451" s="405"/>
      <c r="H451" s="406"/>
      <c r="I451" s="406"/>
      <c r="J451" s="406"/>
      <c r="K451" s="20"/>
      <c r="L451" s="20"/>
      <c r="M451" s="20"/>
      <c r="N451" s="16"/>
      <c r="O451" s="16"/>
      <c r="P451" s="16"/>
      <c r="Q451" s="16"/>
      <c r="R451" s="16"/>
      <c r="S451" s="16"/>
      <c r="T451" s="16"/>
      <c r="U451" s="16"/>
      <c r="V451" s="16"/>
      <c r="W451" s="16"/>
      <c r="X451" s="16"/>
      <c r="Y451" s="20"/>
      <c r="Z451" s="16"/>
      <c r="AA451" s="5"/>
      <c r="AB451" s="5"/>
      <c r="AC451" s="5"/>
      <c r="AD451" s="5"/>
      <c r="AE451" s="5"/>
      <c r="AF451" s="5"/>
      <c r="AG451" s="5"/>
      <c r="AH451" s="5"/>
      <c r="AI451" s="5"/>
      <c r="AJ451" s="5"/>
      <c r="AK451" s="5"/>
      <c r="AL451" s="5"/>
      <c r="AM451" s="5"/>
      <c r="AN451" s="5"/>
      <c r="AO451" s="5"/>
      <c r="AP451" s="5"/>
      <c r="AQ451" s="5"/>
      <c r="AR451" s="5"/>
      <c r="AS451" s="22"/>
    </row>
    <row r="452" spans="2:46" hidden="1">
      <c r="B452" s="1023" t="s">
        <v>951</v>
      </c>
      <c r="C452" s="723"/>
      <c r="E452" s="395" t="s">
        <v>952</v>
      </c>
      <c r="F452" s="396"/>
      <c r="G452" s="395" t="s">
        <v>953</v>
      </c>
      <c r="H452" s="408"/>
      <c r="I452" s="547">
        <f>35.17/3.6</f>
        <v>9.7694444444444439</v>
      </c>
      <c r="J452" s="408"/>
      <c r="K452" s="16"/>
      <c r="L452" s="31"/>
      <c r="M452" s="16"/>
      <c r="N452" s="24"/>
      <c r="O452" s="24"/>
      <c r="P452" s="24"/>
      <c r="Q452" s="16"/>
      <c r="R452" s="16"/>
      <c r="S452" s="16"/>
      <c r="T452" s="16"/>
      <c r="U452" s="16"/>
      <c r="V452" s="16"/>
      <c r="W452" s="16"/>
      <c r="X452" s="16"/>
      <c r="Y452" s="20"/>
      <c r="Z452" s="5"/>
      <c r="AA452" s="5"/>
      <c r="AB452" s="5"/>
      <c r="AC452" s="5"/>
      <c r="AD452" s="5"/>
      <c r="AE452" s="5"/>
      <c r="AF452" s="5"/>
      <c r="AG452" s="5"/>
      <c r="AH452" s="5"/>
      <c r="AI452" s="5"/>
      <c r="AJ452" s="5"/>
      <c r="AK452" s="5"/>
      <c r="AL452" s="5"/>
      <c r="AM452" s="5"/>
      <c r="AN452" s="5"/>
      <c r="AO452" s="5"/>
      <c r="AP452" s="5"/>
      <c r="AQ452" s="5"/>
      <c r="AR452" s="5"/>
      <c r="AS452" s="22"/>
    </row>
    <row r="453" spans="2:46" hidden="1">
      <c r="B453" s="1023" t="s">
        <v>1126</v>
      </c>
      <c r="C453" s="723"/>
      <c r="E453" s="5"/>
      <c r="F453" s="5"/>
      <c r="G453" s="5"/>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5"/>
      <c r="AO453" s="5"/>
      <c r="AP453" s="5"/>
      <c r="AQ453" s="5"/>
      <c r="AR453" s="5"/>
      <c r="AS453" s="22"/>
    </row>
    <row r="454" spans="2:46" hidden="1">
      <c r="B454" s="1023" t="s">
        <v>1126</v>
      </c>
      <c r="C454" s="723"/>
      <c r="E454" s="5"/>
      <c r="F454" s="5"/>
      <c r="G454" s="5"/>
      <c r="H454" s="16"/>
      <c r="I454" s="16"/>
      <c r="J454" s="16"/>
      <c r="K454" s="16"/>
      <c r="L454" s="16"/>
      <c r="M454" s="16"/>
      <c r="N454" s="16"/>
      <c r="O454" s="16"/>
      <c r="P454" s="16"/>
      <c r="Q454" s="16"/>
      <c r="R454" s="16"/>
      <c r="S454" s="16"/>
      <c r="T454" s="16"/>
      <c r="U454" s="16"/>
      <c r="V454" s="16"/>
      <c r="W454" s="16"/>
      <c r="X454" s="16"/>
      <c r="Y454" s="20"/>
      <c r="Z454" s="5"/>
      <c r="AA454" s="5"/>
      <c r="AB454" s="5"/>
      <c r="AC454" s="5"/>
      <c r="AD454" s="5"/>
      <c r="AE454" s="5"/>
      <c r="AF454" s="5"/>
      <c r="AG454" s="5"/>
      <c r="AH454" s="5"/>
      <c r="AI454" s="5"/>
      <c r="AJ454" s="5"/>
      <c r="AK454" s="5"/>
      <c r="AL454" s="5"/>
      <c r="AM454" s="5"/>
      <c r="AN454" s="5"/>
      <c r="AO454" s="5"/>
      <c r="AP454" s="5"/>
      <c r="AQ454" s="5"/>
      <c r="AR454" s="5"/>
      <c r="AS454" s="22"/>
    </row>
    <row r="455" spans="2:46" ht="21" hidden="1">
      <c r="B455" s="1023" t="s">
        <v>1126</v>
      </c>
      <c r="C455" s="723"/>
      <c r="E455" s="240" t="s">
        <v>1873</v>
      </c>
      <c r="F455" s="240"/>
      <c r="G455" s="240"/>
      <c r="H455" s="240"/>
      <c r="I455" s="240"/>
      <c r="J455" s="240"/>
      <c r="K455" s="240"/>
      <c r="L455" s="5"/>
      <c r="M455" s="30"/>
      <c r="N455" s="5"/>
      <c r="O455" s="27"/>
      <c r="P455" s="5"/>
      <c r="Q455" s="5"/>
      <c r="R455" s="5"/>
      <c r="S455" s="5"/>
      <c r="T455" s="5"/>
      <c r="U455" s="5"/>
      <c r="V455" s="5"/>
      <c r="W455" s="5"/>
      <c r="X455" s="5"/>
      <c r="Y455" s="5"/>
      <c r="Z455" s="20"/>
      <c r="AA455" s="5"/>
      <c r="AB455" s="5"/>
      <c r="AC455" s="5"/>
      <c r="AD455" s="5"/>
      <c r="AE455" s="5"/>
      <c r="AF455" s="5"/>
      <c r="AG455" s="5"/>
      <c r="AH455" s="5"/>
      <c r="AI455" s="5"/>
      <c r="AJ455" s="5"/>
      <c r="AK455" s="5"/>
      <c r="AL455" s="5"/>
      <c r="AM455" s="5"/>
      <c r="AN455" s="5"/>
      <c r="AO455" s="5"/>
      <c r="AP455" s="5"/>
      <c r="AQ455" s="5"/>
      <c r="AR455" s="5"/>
      <c r="AS455" s="5"/>
      <c r="AT455" s="22"/>
    </row>
    <row r="456" spans="2:46" hidden="1">
      <c r="B456" s="1023" t="s">
        <v>1126</v>
      </c>
      <c r="C456" s="723"/>
      <c r="E456" s="386" t="s">
        <v>483</v>
      </c>
      <c r="F456" s="386"/>
      <c r="G456" s="386" t="s">
        <v>420</v>
      </c>
      <c r="H456" s="387"/>
      <c r="I456" s="387">
        <f ca="1">OFFSET(I456,0,-1)+1</f>
        <v>1</v>
      </c>
      <c r="J456" s="387">
        <f ca="1">OFFSET(J456,0,-1)+1</f>
        <v>2</v>
      </c>
      <c r="K456" s="387"/>
      <c r="L456" s="20"/>
      <c r="M456" s="31"/>
      <c r="N456" s="16"/>
      <c r="O456" s="24"/>
      <c r="P456" s="24"/>
      <c r="Q456" s="24"/>
      <c r="R456" s="16"/>
      <c r="S456" s="16"/>
      <c r="T456" s="16"/>
      <c r="U456" s="16"/>
      <c r="V456" s="16"/>
      <c r="W456" s="16"/>
      <c r="X456" s="16"/>
      <c r="Y456" s="16"/>
      <c r="Z456" s="20"/>
      <c r="AA456" s="5"/>
      <c r="AB456" s="5"/>
      <c r="AC456" s="5"/>
      <c r="AD456" s="5"/>
      <c r="AE456" s="5"/>
      <c r="AF456" s="5"/>
      <c r="AG456" s="5"/>
      <c r="AH456" s="5"/>
      <c r="AI456" s="5"/>
      <c r="AJ456" s="5"/>
      <c r="AK456" s="5"/>
      <c r="AL456" s="5"/>
      <c r="AM456" s="5"/>
      <c r="AN456" s="5"/>
      <c r="AO456" s="5"/>
      <c r="AP456" s="5"/>
      <c r="AQ456" s="5"/>
      <c r="AR456" s="5"/>
      <c r="AS456" s="5"/>
      <c r="AT456" s="22"/>
    </row>
    <row r="457" spans="2:46" ht="18.75" hidden="1">
      <c r="B457" s="1023" t="s">
        <v>1126</v>
      </c>
      <c r="C457" s="723"/>
      <c r="E457" s="1050" t="str">
        <f>E455</f>
        <v>specifieke interne warmtecapaciteit</v>
      </c>
      <c r="F457" s="404"/>
      <c r="G457" s="405"/>
      <c r="H457" s="406"/>
      <c r="I457" s="406"/>
      <c r="J457" s="406"/>
      <c r="K457" s="406"/>
      <c r="L457" s="20"/>
      <c r="M457" s="20"/>
      <c r="N457" s="20"/>
      <c r="O457" s="16"/>
      <c r="P457" s="16"/>
      <c r="Q457" s="16"/>
      <c r="R457" s="16"/>
      <c r="S457" s="16"/>
      <c r="T457" s="16"/>
      <c r="U457" s="16"/>
      <c r="V457" s="16"/>
      <c r="W457" s="16"/>
      <c r="X457" s="16"/>
      <c r="Y457" s="16"/>
      <c r="Z457" s="20"/>
      <c r="AA457" s="16"/>
      <c r="AB457" s="5"/>
      <c r="AC457" s="5"/>
      <c r="AD457" s="5"/>
      <c r="AE457" s="5"/>
      <c r="AF457" s="5"/>
      <c r="AG457" s="5"/>
      <c r="AH457" s="5"/>
      <c r="AI457" s="5"/>
      <c r="AJ457" s="5"/>
      <c r="AK457" s="5"/>
      <c r="AL457" s="5"/>
      <c r="AM457" s="5"/>
      <c r="AN457" s="5"/>
      <c r="AO457" s="5"/>
      <c r="AP457" s="5"/>
      <c r="AQ457" s="5"/>
      <c r="AR457" s="5"/>
      <c r="AS457" s="5"/>
      <c r="AT457" s="22"/>
    </row>
    <row r="458" spans="2:46" hidden="1">
      <c r="B458" s="1023" t="s">
        <v>1126</v>
      </c>
      <c r="C458" s="723"/>
      <c r="E458" s="1051" t="str">
        <f>E457</f>
        <v>specifieke interne warmtecapaciteit</v>
      </c>
      <c r="F458" s="396"/>
      <c r="G458" s="395" t="s">
        <v>1874</v>
      </c>
      <c r="H458" s="408"/>
      <c r="I458" s="1052">
        <v>180</v>
      </c>
      <c r="J458" s="1052">
        <v>450</v>
      </c>
      <c r="K458" s="408"/>
      <c r="L458" s="16"/>
      <c r="M458" s="31"/>
      <c r="N458" s="16"/>
      <c r="O458" s="24"/>
      <c r="P458" s="24"/>
      <c r="Q458" s="24"/>
      <c r="R458" s="16"/>
      <c r="S458" s="16"/>
      <c r="T458" s="16"/>
      <c r="U458" s="16"/>
      <c r="V458" s="16"/>
      <c r="W458" s="16"/>
      <c r="X458" s="16"/>
      <c r="Y458" s="16"/>
      <c r="Z458" s="20"/>
      <c r="AA458" s="5"/>
      <c r="AB458" s="5"/>
      <c r="AC458" s="5"/>
      <c r="AD458" s="5"/>
      <c r="AE458" s="5"/>
      <c r="AF458" s="5"/>
      <c r="AG458" s="5"/>
      <c r="AH458" s="5"/>
      <c r="AI458" s="5"/>
      <c r="AJ458" s="5"/>
      <c r="AK458" s="5"/>
      <c r="AL458" s="5"/>
      <c r="AM458" s="5"/>
      <c r="AN458" s="5"/>
      <c r="AO458" s="5"/>
      <c r="AP458" s="5"/>
      <c r="AQ458" s="5"/>
      <c r="AR458" s="5"/>
      <c r="AS458" s="5"/>
      <c r="AT458" s="22"/>
    </row>
    <row r="459" spans="2:46" hidden="1">
      <c r="B459" s="1023" t="s">
        <v>1126</v>
      </c>
      <c r="C459" s="723"/>
      <c r="E459" s="5"/>
      <c r="F459" s="5"/>
      <c r="G459" s="5"/>
      <c r="H459" s="16"/>
      <c r="I459" s="16"/>
      <c r="J459" s="16"/>
      <c r="K459" s="16"/>
      <c r="L459" s="16"/>
      <c r="M459" s="16"/>
      <c r="N459" s="16"/>
      <c r="O459" s="16"/>
      <c r="P459" s="16"/>
      <c r="Q459" s="16"/>
      <c r="R459" s="16"/>
      <c r="S459" s="16"/>
      <c r="T459" s="16"/>
      <c r="U459" s="16"/>
      <c r="V459" s="16"/>
      <c r="W459" s="16"/>
      <c r="X459" s="16"/>
      <c r="Y459" s="20"/>
      <c r="Z459" s="5"/>
      <c r="AA459" s="5"/>
      <c r="AB459" s="5"/>
      <c r="AC459" s="5"/>
      <c r="AD459" s="5"/>
      <c r="AE459" s="5"/>
      <c r="AF459" s="5"/>
      <c r="AG459" s="5"/>
      <c r="AH459" s="5"/>
      <c r="AI459" s="5"/>
      <c r="AJ459" s="5"/>
      <c r="AK459" s="5"/>
      <c r="AL459" s="5"/>
      <c r="AM459" s="5"/>
      <c r="AN459" s="5"/>
      <c r="AO459" s="5"/>
      <c r="AP459" s="5"/>
      <c r="AQ459" s="5"/>
      <c r="AR459" s="5"/>
      <c r="AS459" s="22"/>
    </row>
    <row r="460" spans="2:46" hidden="1">
      <c r="B460" s="1023" t="s">
        <v>954</v>
      </c>
      <c r="C460" s="723"/>
      <c r="E460" s="5"/>
      <c r="F460" s="5"/>
      <c r="G460" s="5"/>
      <c r="H460" s="16"/>
      <c r="I460" s="16"/>
      <c r="J460" s="16"/>
      <c r="K460" s="20"/>
      <c r="L460" s="16"/>
      <c r="M460" s="16"/>
      <c r="N460" s="16"/>
      <c r="O460" s="16"/>
      <c r="P460" s="16"/>
      <c r="Q460" s="16"/>
      <c r="R460" s="16"/>
      <c r="S460" s="16"/>
      <c r="T460" s="16"/>
      <c r="U460" s="16"/>
      <c r="V460" s="16"/>
      <c r="W460" s="16"/>
      <c r="X460" s="16"/>
      <c r="Y460" s="20"/>
      <c r="Z460" s="5"/>
      <c r="AA460" s="5"/>
      <c r="AB460" s="5"/>
      <c r="AC460" s="5"/>
      <c r="AD460" s="5"/>
      <c r="AE460" s="5"/>
      <c r="AF460" s="5"/>
      <c r="AG460" s="5"/>
      <c r="AH460" s="5"/>
      <c r="AI460" s="5"/>
      <c r="AJ460" s="5"/>
      <c r="AK460" s="5"/>
      <c r="AL460" s="5"/>
      <c r="AM460" s="5"/>
      <c r="AN460" s="5"/>
      <c r="AO460" s="5"/>
      <c r="AP460" s="5"/>
      <c r="AQ460" s="5"/>
      <c r="AR460" s="5"/>
      <c r="AS460" s="22"/>
    </row>
    <row r="461" spans="2:46" ht="21" hidden="1">
      <c r="B461" s="1023" t="s">
        <v>954</v>
      </c>
      <c r="C461" s="723"/>
      <c r="E461" s="240" t="s">
        <v>954</v>
      </c>
      <c r="F461" s="240"/>
      <c r="G461" s="240"/>
      <c r="H461" s="240"/>
      <c r="I461" s="240"/>
      <c r="J461" s="240"/>
      <c r="K461" s="240"/>
      <c r="L461" s="240"/>
      <c r="M461" s="240"/>
      <c r="N461" s="5"/>
      <c r="O461" s="27"/>
      <c r="P461" s="16"/>
      <c r="Q461" s="5"/>
      <c r="R461" s="5"/>
      <c r="S461" s="5"/>
      <c r="T461" s="5"/>
      <c r="U461" s="5"/>
      <c r="V461" s="5"/>
      <c r="W461" s="5"/>
      <c r="X461" s="5"/>
      <c r="Y461" s="20"/>
      <c r="Z461" s="5"/>
      <c r="AA461" s="5"/>
      <c r="AB461" s="5"/>
      <c r="AC461" s="5"/>
      <c r="AD461" s="5"/>
      <c r="AE461" s="5"/>
      <c r="AF461" s="5"/>
      <c r="AG461" s="5"/>
      <c r="AH461" s="5"/>
      <c r="AI461" s="5"/>
      <c r="AJ461" s="5"/>
      <c r="AK461" s="5"/>
      <c r="AL461" s="5"/>
      <c r="AM461" s="5"/>
      <c r="AN461" s="5"/>
      <c r="AO461" s="5"/>
      <c r="AP461" s="5"/>
      <c r="AQ461" s="5"/>
      <c r="AR461" s="5"/>
      <c r="AS461" s="22"/>
    </row>
    <row r="462" spans="2:46" hidden="1">
      <c r="B462" s="1023" t="s">
        <v>954</v>
      </c>
      <c r="C462" s="723"/>
      <c r="E462" s="386" t="s">
        <v>483</v>
      </c>
      <c r="F462" s="386"/>
      <c r="G462" s="386" t="s">
        <v>420</v>
      </c>
      <c r="H462" s="387"/>
      <c r="I462" s="387">
        <f ca="1">OFFSET(I462,0,-1)+1</f>
        <v>1</v>
      </c>
      <c r="J462" s="387">
        <f ca="1">OFFSET(J462,0,-1)+1</f>
        <v>2</v>
      </c>
      <c r="K462" s="387">
        <f ca="1">OFFSET(K462,0,-1)+1</f>
        <v>3</v>
      </c>
      <c r="L462" s="387">
        <f ca="1">OFFSET(L462,0,-1)+1</f>
        <v>4</v>
      </c>
      <c r="M462" s="387"/>
      <c r="N462" s="5"/>
      <c r="O462" s="27"/>
      <c r="P462" s="16"/>
      <c r="Q462" s="5"/>
      <c r="R462" s="5"/>
      <c r="S462" s="5"/>
      <c r="T462" s="5"/>
      <c r="U462" s="5"/>
      <c r="V462" s="16"/>
      <c r="W462" s="16"/>
      <c r="X462" s="16"/>
      <c r="Y462" s="20"/>
      <c r="Z462" s="5"/>
      <c r="AA462" s="5"/>
      <c r="AB462" s="5"/>
      <c r="AC462" s="5"/>
      <c r="AD462" s="5"/>
      <c r="AE462" s="5"/>
      <c r="AF462" s="5"/>
      <c r="AG462" s="5"/>
      <c r="AH462" s="5"/>
      <c r="AI462" s="5"/>
      <c r="AJ462" s="5"/>
      <c r="AK462" s="5"/>
      <c r="AL462" s="5"/>
      <c r="AM462" s="5"/>
      <c r="AN462" s="5"/>
      <c r="AO462" s="5"/>
      <c r="AP462" s="5"/>
      <c r="AQ462" s="5"/>
      <c r="AR462" s="5"/>
      <c r="AS462" s="22"/>
    </row>
    <row r="463" spans="2:46" ht="18.75" hidden="1">
      <c r="B463" s="1023" t="s">
        <v>954</v>
      </c>
      <c r="C463" s="723"/>
      <c r="E463" s="403" t="s">
        <v>955</v>
      </c>
      <c r="F463" s="404"/>
      <c r="G463" s="405"/>
      <c r="H463" s="405"/>
      <c r="I463" s="405"/>
      <c r="J463" s="405"/>
      <c r="K463" s="405"/>
      <c r="L463" s="405"/>
      <c r="M463" s="405"/>
      <c r="N463" s="5"/>
      <c r="O463" s="27"/>
      <c r="P463" s="16"/>
      <c r="Q463" s="5"/>
      <c r="R463" s="5"/>
      <c r="S463" s="5"/>
      <c r="T463" s="5"/>
      <c r="U463" s="5"/>
      <c r="V463" s="20"/>
      <c r="W463" s="16"/>
      <c r="X463" s="16"/>
      <c r="Y463" s="20"/>
      <c r="Z463" s="5"/>
      <c r="AA463" s="5"/>
      <c r="AB463" s="5"/>
      <c r="AC463" s="5"/>
      <c r="AD463" s="5"/>
      <c r="AE463" s="5"/>
      <c r="AF463" s="5"/>
      <c r="AG463" s="5"/>
      <c r="AH463" s="5"/>
      <c r="AI463" s="5"/>
      <c r="AJ463" s="5"/>
      <c r="AK463" s="5"/>
      <c r="AL463" s="5"/>
      <c r="AM463" s="5"/>
      <c r="AN463" s="5"/>
      <c r="AO463" s="5"/>
      <c r="AP463" s="5"/>
      <c r="AQ463" s="5"/>
      <c r="AR463" s="5"/>
    </row>
    <row r="464" spans="2:46" hidden="1">
      <c r="B464" s="1023" t="s">
        <v>954</v>
      </c>
      <c r="C464" s="723"/>
      <c r="E464" s="395" t="s">
        <v>956</v>
      </c>
      <c r="F464" s="396"/>
      <c r="G464" s="395" t="s">
        <v>68</v>
      </c>
      <c r="H464" s="408"/>
      <c r="I464" s="547" t="s">
        <v>755</v>
      </c>
      <c r="J464" s="547" t="s">
        <v>754</v>
      </c>
      <c r="K464" s="547" t="s">
        <v>756</v>
      </c>
      <c r="L464" s="547" t="s">
        <v>611</v>
      </c>
      <c r="M464" s="408"/>
      <c r="N464" s="5"/>
      <c r="O464" s="27"/>
      <c r="P464" s="16"/>
      <c r="Q464" s="5"/>
      <c r="R464" s="5"/>
      <c r="S464" s="5"/>
      <c r="T464" s="5"/>
      <c r="U464" s="5"/>
      <c r="V464" s="16"/>
      <c r="W464" s="16"/>
      <c r="X464" s="16"/>
      <c r="Y464" s="20"/>
      <c r="Z464" s="5"/>
      <c r="AA464" s="5"/>
      <c r="AB464" s="5"/>
      <c r="AC464" s="5"/>
      <c r="AD464" s="5"/>
      <c r="AE464" s="5"/>
      <c r="AF464" s="5"/>
      <c r="AG464" s="5"/>
      <c r="AH464" s="5"/>
      <c r="AI464" s="5"/>
      <c r="AJ464" s="5"/>
      <c r="AK464" s="5"/>
      <c r="AL464" s="5"/>
      <c r="AM464" s="5"/>
      <c r="AN464" s="5"/>
      <c r="AO464" s="5"/>
      <c r="AP464" s="5"/>
      <c r="AQ464" s="5"/>
      <c r="AR464" s="5"/>
      <c r="AS464" s="22"/>
    </row>
    <row r="465" spans="1:103" ht="18.75" hidden="1">
      <c r="B465" s="1023" t="s">
        <v>954</v>
      </c>
      <c r="C465" s="723"/>
      <c r="E465" s="403" t="s">
        <v>957</v>
      </c>
      <c r="F465" s="404"/>
      <c r="G465" s="405"/>
      <c r="H465" s="405"/>
      <c r="I465" s="405"/>
      <c r="J465" s="405"/>
      <c r="K465" s="405"/>
      <c r="L465" s="405"/>
      <c r="M465" s="405"/>
      <c r="N465" s="5"/>
      <c r="O465" s="27"/>
      <c r="P465" s="16"/>
      <c r="Q465" s="5"/>
      <c r="R465" s="5"/>
      <c r="S465" s="5"/>
      <c r="T465" s="5"/>
      <c r="U465" s="5"/>
      <c r="V465" s="20"/>
      <c r="W465" s="16"/>
      <c r="X465" s="16"/>
      <c r="Y465" s="20"/>
      <c r="Z465" s="5"/>
      <c r="AA465" s="5"/>
      <c r="AB465" s="5"/>
      <c r="AC465" s="5"/>
      <c r="AD465" s="5"/>
      <c r="AE465" s="5"/>
      <c r="AF465" s="5"/>
      <c r="AG465" s="5"/>
      <c r="AH465" s="5"/>
      <c r="AI465" s="5"/>
      <c r="AJ465" s="5"/>
      <c r="AK465" s="5"/>
      <c r="AL465" s="5"/>
      <c r="AM465" s="5"/>
      <c r="AN465" s="5"/>
      <c r="AO465" s="5"/>
      <c r="AP465" s="5"/>
      <c r="AQ465" s="5"/>
      <c r="AR465" s="5"/>
    </row>
    <row r="466" spans="1:103" s="2" customFormat="1" hidden="1">
      <c r="A466" s="309"/>
      <c r="B466" s="1023" t="s">
        <v>954</v>
      </c>
      <c r="C466" s="723"/>
      <c r="D466" s="860"/>
      <c r="E466" s="246" t="s">
        <v>958</v>
      </c>
      <c r="F466" s="548"/>
      <c r="G466" s="246" t="s">
        <v>68</v>
      </c>
      <c r="H466" s="549"/>
      <c r="I466" s="551" t="s">
        <v>574</v>
      </c>
      <c r="J466" s="551" t="s">
        <v>667</v>
      </c>
      <c r="K466" s="551" t="s">
        <v>575</v>
      </c>
      <c r="L466" s="549"/>
      <c r="M466" s="549"/>
      <c r="N466" s="5"/>
      <c r="O466" s="27"/>
      <c r="P466" s="16"/>
      <c r="Q466" s="5"/>
      <c r="R466" s="5"/>
      <c r="S466" s="5"/>
      <c r="T466" s="5"/>
      <c r="U466" s="5"/>
      <c r="V466" s="9"/>
      <c r="W466" s="9"/>
      <c r="X466" s="9"/>
      <c r="Y466" s="8"/>
      <c r="Z466" s="4"/>
      <c r="AA466" s="4"/>
      <c r="AB466" s="4"/>
      <c r="AC466" s="4"/>
      <c r="AD466" s="4"/>
      <c r="AE466" s="4"/>
      <c r="AF466" s="4"/>
      <c r="AG466" s="4"/>
      <c r="AH466" s="4"/>
      <c r="AI466" s="4"/>
      <c r="AJ466" s="4"/>
      <c r="AK466" s="4"/>
      <c r="AL466" s="4"/>
      <c r="AM466" s="4"/>
      <c r="AN466" s="4"/>
      <c r="AO466" s="4"/>
      <c r="AP466" s="4"/>
      <c r="AQ466" s="4"/>
      <c r="AR466" s="4"/>
      <c r="AS466" s="22"/>
    </row>
    <row r="467" spans="1:103" ht="51" hidden="1">
      <c r="B467" s="1023" t="s">
        <v>954</v>
      </c>
      <c r="C467" s="723"/>
      <c r="E467" s="395" t="s">
        <v>959</v>
      </c>
      <c r="F467" s="396"/>
      <c r="G467" s="395" t="s">
        <v>68</v>
      </c>
      <c r="H467" s="408"/>
      <c r="I467" s="407" t="s">
        <v>960</v>
      </c>
      <c r="J467" s="407" t="s">
        <v>961</v>
      </c>
      <c r="K467" s="407" t="s">
        <v>962</v>
      </c>
      <c r="L467" s="408"/>
      <c r="M467" s="408"/>
      <c r="N467" s="5"/>
      <c r="O467" s="27"/>
      <c r="P467" s="16"/>
      <c r="Q467" s="5"/>
      <c r="R467" s="5"/>
      <c r="S467" s="5"/>
      <c r="T467" s="5"/>
      <c r="U467" s="5"/>
      <c r="V467" s="16"/>
      <c r="W467" s="16"/>
      <c r="X467" s="16"/>
      <c r="Y467" s="20"/>
      <c r="Z467" s="5"/>
      <c r="AA467" s="5"/>
      <c r="AB467" s="5"/>
      <c r="AC467" s="5"/>
      <c r="AD467" s="5"/>
      <c r="AE467" s="5"/>
      <c r="AF467" s="5"/>
      <c r="AG467" s="5"/>
      <c r="AH467" s="5"/>
      <c r="AI467" s="5"/>
      <c r="AJ467" s="5"/>
      <c r="AK467" s="5"/>
      <c r="AL467" s="5"/>
      <c r="AM467" s="5"/>
      <c r="AN467" s="5"/>
      <c r="AO467" s="5"/>
      <c r="AP467" s="5"/>
      <c r="AQ467" s="5"/>
      <c r="AR467" s="5"/>
      <c r="AS467" s="22"/>
    </row>
    <row r="468" spans="1:103" ht="18.75" hidden="1">
      <c r="B468" s="1023" t="s">
        <v>954</v>
      </c>
      <c r="C468" s="723"/>
      <c r="E468" s="403" t="s">
        <v>963</v>
      </c>
      <c r="F468" s="404"/>
      <c r="G468" s="405"/>
      <c r="H468" s="405"/>
      <c r="I468" s="405"/>
      <c r="J468" s="405"/>
      <c r="K468" s="405"/>
      <c r="L468" s="405"/>
      <c r="M468" s="405"/>
      <c r="N468" s="5"/>
      <c r="O468" s="27"/>
      <c r="P468" s="16"/>
      <c r="Q468" s="5"/>
      <c r="R468" s="5"/>
      <c r="S468" s="5"/>
      <c r="T468" s="5"/>
      <c r="U468" s="5"/>
      <c r="V468" s="20"/>
      <c r="W468" s="16"/>
      <c r="X468" s="16"/>
      <c r="Y468" s="20"/>
      <c r="Z468" s="5"/>
      <c r="AA468" s="5"/>
      <c r="AB468" s="5"/>
      <c r="AC468" s="5"/>
      <c r="AD468" s="5"/>
      <c r="AE468" s="5"/>
      <c r="AF468" s="5"/>
      <c r="AG468" s="5"/>
      <c r="AH468" s="5"/>
      <c r="AI468" s="5"/>
      <c r="AJ468" s="5"/>
      <c r="AK468" s="5"/>
      <c r="AL468" s="5"/>
      <c r="AM468" s="5"/>
      <c r="AN468" s="5"/>
      <c r="AO468" s="5"/>
      <c r="AP468" s="5"/>
      <c r="AQ468" s="5"/>
      <c r="AR468" s="5"/>
    </row>
    <row r="469" spans="1:103" s="2" customFormat="1" hidden="1">
      <c r="A469" s="309"/>
      <c r="B469" s="1023" t="s">
        <v>954</v>
      </c>
      <c r="C469" s="723"/>
      <c r="D469" s="860"/>
      <c r="E469" s="246" t="s">
        <v>964</v>
      </c>
      <c r="F469" s="548"/>
      <c r="G469" s="246" t="s">
        <v>68</v>
      </c>
      <c r="H469" s="549"/>
      <c r="I469" s="551" t="s">
        <v>965</v>
      </c>
      <c r="J469" s="549"/>
      <c r="K469" s="549"/>
      <c r="L469" s="549"/>
      <c r="M469" s="549"/>
      <c r="N469" s="5"/>
      <c r="O469" s="27"/>
      <c r="P469" s="16"/>
      <c r="Q469" s="5"/>
      <c r="R469" s="5"/>
      <c r="S469" s="5"/>
      <c r="T469" s="5"/>
      <c r="U469" s="5"/>
      <c r="V469" s="9"/>
      <c r="W469" s="9"/>
      <c r="X469" s="9"/>
      <c r="Y469" s="8"/>
      <c r="Z469" s="4"/>
      <c r="AA469" s="4"/>
      <c r="AB469" s="4"/>
      <c r="AC469" s="4"/>
      <c r="AD469" s="4"/>
      <c r="AE469" s="4"/>
      <c r="AF469" s="4"/>
      <c r="AG469" s="4"/>
      <c r="AH469" s="4"/>
      <c r="AI469" s="4"/>
      <c r="AJ469" s="4"/>
      <c r="AK469" s="4"/>
      <c r="AL469" s="4"/>
      <c r="AM469" s="4"/>
      <c r="AN469" s="4"/>
      <c r="AO469" s="4"/>
      <c r="AP469" s="4"/>
      <c r="AQ469" s="4"/>
      <c r="AR469" s="4"/>
      <c r="AS469" s="22"/>
    </row>
    <row r="470" spans="1:103" s="2" customFormat="1" hidden="1">
      <c r="A470" s="309"/>
      <c r="B470" s="1023" t="s">
        <v>954</v>
      </c>
      <c r="C470" s="723"/>
      <c r="D470" s="860"/>
      <c r="E470" s="246" t="s">
        <v>966</v>
      </c>
      <c r="F470" s="548"/>
      <c r="G470" s="246" t="s">
        <v>68</v>
      </c>
      <c r="H470" s="549"/>
      <c r="I470" s="551" t="s">
        <v>967</v>
      </c>
      <c r="J470" s="549"/>
      <c r="K470" s="549"/>
      <c r="L470" s="549"/>
      <c r="M470" s="549"/>
      <c r="N470" s="5"/>
      <c r="O470" s="27"/>
      <c r="P470" s="16"/>
      <c r="Q470" s="5"/>
      <c r="R470" s="5"/>
      <c r="S470" s="5"/>
      <c r="T470" s="5"/>
      <c r="U470" s="5"/>
      <c r="V470" s="9"/>
      <c r="W470" s="9"/>
      <c r="X470" s="9"/>
      <c r="Y470" s="8"/>
      <c r="Z470" s="4"/>
      <c r="AA470" s="4"/>
      <c r="AB470" s="4"/>
      <c r="AC470" s="4"/>
      <c r="AD470" s="4"/>
      <c r="AE470" s="4"/>
      <c r="AF470" s="4"/>
      <c r="AG470" s="4"/>
      <c r="AH470" s="4"/>
      <c r="AI470" s="4"/>
      <c r="AJ470" s="4"/>
      <c r="AK470" s="4"/>
      <c r="AL470" s="4"/>
      <c r="AM470" s="4"/>
      <c r="AN470" s="4"/>
      <c r="AO470" s="4"/>
      <c r="AP470" s="4"/>
      <c r="AQ470" s="4"/>
      <c r="AR470" s="4"/>
      <c r="AS470" s="22"/>
    </row>
    <row r="471" spans="1:103" ht="18.75" hidden="1">
      <c r="B471" s="1023" t="s">
        <v>954</v>
      </c>
      <c r="C471" s="723"/>
      <c r="E471" s="403" t="s">
        <v>968</v>
      </c>
      <c r="F471" s="404"/>
      <c r="G471" s="405"/>
      <c r="H471" s="405"/>
      <c r="I471" s="405"/>
      <c r="J471" s="405"/>
      <c r="K471" s="405"/>
      <c r="L471" s="405"/>
      <c r="M471" s="405"/>
      <c r="N471" s="5"/>
      <c r="O471" s="27"/>
      <c r="P471" s="16"/>
      <c r="Q471" s="5"/>
      <c r="R471" s="5"/>
      <c r="S471" s="5"/>
      <c r="T471" s="5"/>
      <c r="U471" s="5"/>
      <c r="V471" s="20"/>
      <c r="W471" s="16"/>
      <c r="X471" s="16"/>
      <c r="Y471" s="20"/>
      <c r="Z471" s="5"/>
      <c r="AA471" s="5"/>
      <c r="AB471" s="5"/>
      <c r="AC471" s="5"/>
      <c r="AD471" s="5"/>
      <c r="AE471" s="5"/>
      <c r="AF471" s="5"/>
      <c r="AG471" s="5"/>
      <c r="AH471" s="5"/>
      <c r="AI471" s="5"/>
      <c r="AJ471" s="5"/>
      <c r="AK471" s="5"/>
      <c r="AL471" s="5"/>
      <c r="AM471" s="5"/>
      <c r="AN471" s="5"/>
      <c r="AO471" s="5"/>
      <c r="AP471" s="5"/>
      <c r="AQ471" s="5"/>
      <c r="AR471" s="5"/>
    </row>
    <row r="472" spans="1:103" hidden="1">
      <c r="B472" s="1023" t="s">
        <v>954</v>
      </c>
      <c r="C472" s="723"/>
      <c r="E472" s="548" t="s">
        <v>969</v>
      </c>
      <c r="F472" s="548"/>
      <c r="G472" s="246" t="s">
        <v>68</v>
      </c>
      <c r="H472" s="549"/>
      <c r="I472" s="552" t="s">
        <v>970</v>
      </c>
      <c r="J472" s="552" t="s">
        <v>971</v>
      </c>
      <c r="K472" s="549"/>
      <c r="L472" s="549"/>
      <c r="M472" s="549"/>
      <c r="N472" s="5"/>
      <c r="O472" s="27"/>
      <c r="P472" s="16"/>
      <c r="Q472" s="5"/>
      <c r="R472" s="5"/>
      <c r="S472" s="5"/>
      <c r="T472" s="5"/>
      <c r="U472" s="5"/>
      <c r="V472" s="5"/>
      <c r="W472" s="5"/>
      <c r="X472" s="5"/>
      <c r="Y472" s="20"/>
      <c r="Z472" s="5"/>
      <c r="AA472" s="5"/>
      <c r="AB472" s="5"/>
      <c r="AC472" s="5"/>
      <c r="AD472" s="5"/>
      <c r="AE472" s="5"/>
      <c r="AF472" s="5"/>
      <c r="AG472" s="5"/>
      <c r="AH472" s="5"/>
      <c r="AI472" s="5"/>
      <c r="AJ472" s="5"/>
      <c r="AK472" s="5"/>
      <c r="AL472" s="5"/>
      <c r="AM472" s="5"/>
      <c r="AN472" s="5"/>
      <c r="AO472" s="5"/>
      <c r="AP472" s="5"/>
      <c r="AQ472" s="5"/>
      <c r="AR472" s="5"/>
      <c r="AS472" s="22"/>
    </row>
    <row r="473" spans="1:103" hidden="1">
      <c r="B473" s="1023" t="s">
        <v>954</v>
      </c>
      <c r="C473" s="723"/>
      <c r="E473" s="548" t="s">
        <v>972</v>
      </c>
      <c r="F473" s="548"/>
      <c r="G473" s="246" t="s">
        <v>68</v>
      </c>
      <c r="H473" s="549"/>
      <c r="I473" s="552">
        <v>0</v>
      </c>
      <c r="J473" s="552">
        <v>1</v>
      </c>
      <c r="K473" s="549"/>
      <c r="L473" s="549"/>
      <c r="M473" s="549"/>
      <c r="N473" s="5"/>
      <c r="O473" s="5"/>
      <c r="P473" s="5"/>
      <c r="Q473" s="5"/>
      <c r="R473" s="5"/>
      <c r="S473" s="5"/>
      <c r="T473" s="5"/>
      <c r="U473" s="5"/>
      <c r="V473" s="5"/>
      <c r="W473" s="5"/>
      <c r="X473" s="5"/>
      <c r="Y473" s="20"/>
      <c r="Z473" s="5"/>
      <c r="AA473" s="5"/>
      <c r="AB473" s="5"/>
      <c r="AC473" s="5"/>
      <c r="AD473" s="5"/>
      <c r="AE473" s="5"/>
      <c r="AF473" s="5"/>
      <c r="AG473" s="5"/>
      <c r="AH473" s="5"/>
      <c r="AI473" s="5"/>
      <c r="AJ473" s="5"/>
      <c r="AK473" s="5"/>
      <c r="AL473" s="5"/>
      <c r="AM473" s="5"/>
      <c r="AN473" s="5"/>
      <c r="AO473" s="5"/>
      <c r="AP473" s="5"/>
      <c r="AQ473" s="5"/>
      <c r="AR473" s="5"/>
      <c r="AS473" s="22"/>
    </row>
    <row r="474" spans="1:103" hidden="1">
      <c r="B474" s="1023" t="s">
        <v>954</v>
      </c>
      <c r="C474" s="723"/>
      <c r="E474" s="246" t="s">
        <v>973</v>
      </c>
      <c r="F474" s="548"/>
      <c r="G474" s="246" t="s">
        <v>68</v>
      </c>
      <c r="H474" s="549"/>
      <c r="I474" s="552" t="s">
        <v>180</v>
      </c>
      <c r="J474" s="552"/>
      <c r="K474" s="549"/>
      <c r="L474" s="549"/>
      <c r="M474" s="549"/>
      <c r="N474" s="5"/>
      <c r="O474" s="5"/>
      <c r="P474" s="5"/>
      <c r="Q474" s="5"/>
      <c r="R474" s="5"/>
      <c r="S474" s="5"/>
      <c r="T474" s="5"/>
      <c r="U474" s="5"/>
      <c r="V474" s="5"/>
      <c r="W474" s="5"/>
      <c r="X474" s="5"/>
      <c r="Y474" s="20"/>
      <c r="Z474" s="5"/>
      <c r="AA474" s="5"/>
      <c r="AB474" s="5"/>
      <c r="AC474" s="5"/>
      <c r="AD474" s="5"/>
      <c r="AE474" s="5"/>
      <c r="AF474" s="5"/>
      <c r="AG474" s="5"/>
      <c r="AH474" s="5"/>
      <c r="AI474" s="5"/>
      <c r="AJ474" s="5"/>
      <c r="AK474" s="5"/>
      <c r="AL474" s="5"/>
      <c r="AM474" s="5"/>
      <c r="AN474" s="5"/>
      <c r="AO474" s="5"/>
      <c r="AP474" s="5"/>
      <c r="AQ474" s="5"/>
      <c r="AR474" s="5"/>
      <c r="AS474" s="22"/>
    </row>
    <row r="475" spans="1:103" hidden="1">
      <c r="B475" s="1023" t="s">
        <v>954</v>
      </c>
      <c r="C475" s="723"/>
      <c r="E475" s="548" t="s">
        <v>974</v>
      </c>
      <c r="F475" s="548"/>
      <c r="G475" s="246" t="s">
        <v>68</v>
      </c>
      <c r="H475" s="549"/>
      <c r="I475" s="552" t="b">
        <v>0</v>
      </c>
      <c r="J475" s="552" t="b">
        <v>1</v>
      </c>
      <c r="K475" s="549"/>
      <c r="L475" s="549"/>
      <c r="M475" s="549"/>
      <c r="N475" s="5"/>
      <c r="O475" s="5"/>
      <c r="P475" s="5"/>
      <c r="Q475" s="5"/>
      <c r="R475" s="5"/>
      <c r="S475" s="5"/>
      <c r="T475" s="5"/>
      <c r="U475" s="5"/>
      <c r="V475" s="5"/>
      <c r="W475" s="5"/>
      <c r="X475" s="5"/>
      <c r="Y475" s="20"/>
      <c r="Z475" s="5"/>
      <c r="AA475" s="5"/>
      <c r="AB475" s="5"/>
      <c r="AC475" s="5"/>
      <c r="AD475" s="5"/>
      <c r="AE475" s="5"/>
      <c r="AF475" s="5"/>
      <c r="AG475" s="5"/>
      <c r="AH475" s="5"/>
      <c r="AI475" s="5"/>
      <c r="AJ475" s="5"/>
      <c r="AK475" s="5"/>
      <c r="AL475" s="5"/>
      <c r="AM475" s="5"/>
      <c r="AN475" s="5"/>
      <c r="AO475" s="5"/>
      <c r="AP475" s="5"/>
      <c r="AQ475" s="5"/>
      <c r="AR475" s="5"/>
      <c r="AS475" s="22"/>
    </row>
    <row r="476" spans="1:103" s="38" customFormat="1" hidden="1">
      <c r="A476" s="233"/>
      <c r="B476" s="1023" t="s">
        <v>954</v>
      </c>
      <c r="C476" s="723"/>
      <c r="D476" s="858"/>
      <c r="E476" s="396" t="s">
        <v>975</v>
      </c>
      <c r="F476" s="396"/>
      <c r="G476" s="534" t="s">
        <v>68</v>
      </c>
      <c r="H476" s="408"/>
      <c r="I476" s="522" t="s">
        <v>976</v>
      </c>
      <c r="J476" s="522" t="s">
        <v>977</v>
      </c>
      <c r="K476" s="408"/>
      <c r="L476" s="408"/>
      <c r="M476" s="408"/>
      <c r="N476" s="76"/>
      <c r="O476" s="76"/>
      <c r="P476" s="76"/>
      <c r="Q476" s="76"/>
      <c r="R476" s="76"/>
      <c r="S476" s="76"/>
      <c r="T476" s="76"/>
      <c r="U476" s="76"/>
      <c r="V476" s="76"/>
      <c r="W476" s="76"/>
      <c r="X476" s="76"/>
      <c r="Y476" s="20"/>
      <c r="Z476" s="76"/>
      <c r="AA476" s="76"/>
      <c r="AB476" s="76"/>
      <c r="AC476" s="76"/>
      <c r="AD476" s="76"/>
      <c r="AE476" s="76"/>
      <c r="AF476" s="76"/>
      <c r="AG476" s="76"/>
      <c r="AH476" s="76"/>
      <c r="AI476" s="76"/>
      <c r="AJ476" s="76"/>
      <c r="AK476" s="76"/>
      <c r="AL476" s="76"/>
      <c r="AM476" s="76"/>
      <c r="AN476" s="76"/>
      <c r="AO476" s="76"/>
      <c r="AP476" s="76"/>
      <c r="AQ476" s="76"/>
      <c r="AR476" s="76"/>
      <c r="AS476" s="22"/>
    </row>
    <row r="477" spans="1:103" s="38" customFormat="1" ht="38.25" hidden="1">
      <c r="A477" s="233"/>
      <c r="B477" s="1023" t="s">
        <v>954</v>
      </c>
      <c r="C477" s="723"/>
      <c r="D477" s="858"/>
      <c r="E477" s="534" t="s">
        <v>978</v>
      </c>
      <c r="F477" s="396"/>
      <c r="G477" s="534" t="s">
        <v>68</v>
      </c>
      <c r="H477" s="408"/>
      <c r="I477" s="522" t="s">
        <v>979</v>
      </c>
      <c r="J477" s="522" t="s">
        <v>980</v>
      </c>
      <c r="K477" s="408"/>
      <c r="L477" s="408"/>
      <c r="M477" s="408"/>
      <c r="N477" s="76"/>
      <c r="O477" s="76"/>
      <c r="P477" s="76"/>
      <c r="Q477" s="76"/>
      <c r="R477" s="76"/>
      <c r="S477" s="76"/>
      <c r="T477" s="76"/>
      <c r="U477" s="76"/>
      <c r="V477" s="76"/>
      <c r="W477" s="76"/>
      <c r="X477" s="76"/>
      <c r="Y477" s="20"/>
      <c r="Z477" s="76"/>
      <c r="AA477" s="76"/>
      <c r="AB477" s="76"/>
      <c r="AC477" s="76"/>
      <c r="AD477" s="76"/>
      <c r="AE477" s="76"/>
      <c r="AF477" s="76"/>
      <c r="AG477" s="76"/>
      <c r="AH477" s="76"/>
      <c r="AI477" s="76"/>
      <c r="AJ477" s="76"/>
      <c r="AK477" s="76"/>
      <c r="AL477" s="76"/>
      <c r="AM477" s="76"/>
      <c r="AN477" s="76"/>
      <c r="AO477" s="76"/>
      <c r="AP477" s="76"/>
      <c r="AQ477" s="76"/>
      <c r="AR477" s="76"/>
      <c r="AS477" s="22"/>
    </row>
    <row r="478" spans="1:103" hidden="1">
      <c r="B478" s="1023" t="s">
        <v>954</v>
      </c>
      <c r="C478" s="723"/>
      <c r="E478" s="5"/>
      <c r="F478" s="5"/>
      <c r="G478" s="5"/>
      <c r="H478" s="16"/>
      <c r="I478" s="85"/>
      <c r="J478" s="16"/>
      <c r="K478" s="16"/>
      <c r="L478" s="16"/>
      <c r="M478" s="16"/>
      <c r="N478" s="16"/>
      <c r="O478" s="16"/>
      <c r="P478" s="16"/>
      <c r="Q478" s="16"/>
      <c r="R478" s="16"/>
      <c r="S478" s="16"/>
      <c r="T478" s="16"/>
      <c r="U478" s="16"/>
      <c r="V478" s="16"/>
      <c r="W478" s="16"/>
      <c r="X478" s="16"/>
      <c r="Y478" s="20"/>
      <c r="Z478" s="5"/>
      <c r="AA478" s="5"/>
      <c r="AB478" s="5"/>
      <c r="AC478" s="5"/>
      <c r="AD478" s="5"/>
      <c r="AE478" s="5"/>
      <c r="AF478" s="5"/>
      <c r="AG478" s="5"/>
      <c r="AH478" s="5"/>
      <c r="AI478" s="5"/>
      <c r="AJ478" s="5"/>
      <c r="AK478" s="5"/>
      <c r="AL478" s="5"/>
      <c r="AM478" s="5"/>
      <c r="AN478" s="5"/>
      <c r="AO478" s="5"/>
      <c r="AP478" s="5"/>
      <c r="AQ478" s="5"/>
      <c r="AR478" s="5"/>
      <c r="AS478" s="22"/>
    </row>
    <row r="479" spans="1:103" ht="21">
      <c r="A479" s="553" t="s">
        <v>85</v>
      </c>
      <c r="B479" s="1097" t="s">
        <v>85</v>
      </c>
      <c r="C479" s="553" t="s">
        <v>85</v>
      </c>
      <c r="D479" s="861" t="s">
        <v>85</v>
      </c>
      <c r="E479" s="553" t="s">
        <v>85</v>
      </c>
      <c r="F479" s="553" t="s">
        <v>85</v>
      </c>
      <c r="G479" s="553" t="s">
        <v>85</v>
      </c>
      <c r="H479" s="553" t="s">
        <v>85</v>
      </c>
      <c r="I479" s="553" t="s">
        <v>85</v>
      </c>
      <c r="J479" s="553" t="s">
        <v>85</v>
      </c>
      <c r="K479" s="553" t="s">
        <v>85</v>
      </c>
      <c r="L479" s="553" t="s">
        <v>85</v>
      </c>
      <c r="M479" s="553" t="s">
        <v>85</v>
      </c>
      <c r="N479" s="553" t="s">
        <v>85</v>
      </c>
      <c r="O479" s="553" t="s">
        <v>85</v>
      </c>
      <c r="P479" s="553" t="s">
        <v>85</v>
      </c>
      <c r="Q479" s="553" t="s">
        <v>85</v>
      </c>
      <c r="R479" s="553" t="s">
        <v>85</v>
      </c>
      <c r="S479" s="553" t="s">
        <v>85</v>
      </c>
      <c r="T479" s="553" t="s">
        <v>85</v>
      </c>
      <c r="U479" s="553" t="s">
        <v>85</v>
      </c>
      <c r="V479" s="553" t="s">
        <v>85</v>
      </c>
      <c r="W479" s="553" t="s">
        <v>85</v>
      </c>
      <c r="X479" s="553" t="s">
        <v>85</v>
      </c>
      <c r="Y479" s="553" t="s">
        <v>85</v>
      </c>
      <c r="Z479" s="553" t="s">
        <v>85</v>
      </c>
      <c r="AA479" s="553" t="s">
        <v>85</v>
      </c>
      <c r="AB479" s="553" t="s">
        <v>85</v>
      </c>
      <c r="AC479" s="553" t="s">
        <v>85</v>
      </c>
      <c r="AD479" s="553" t="s">
        <v>85</v>
      </c>
      <c r="AE479" s="553" t="s">
        <v>85</v>
      </c>
      <c r="AF479" s="553" t="s">
        <v>85</v>
      </c>
      <c r="AG479" s="553" t="s">
        <v>85</v>
      </c>
      <c r="AH479" s="553" t="s">
        <v>85</v>
      </c>
      <c r="AI479" s="553" t="s">
        <v>85</v>
      </c>
      <c r="AJ479" s="553" t="s">
        <v>85</v>
      </c>
      <c r="AK479" s="553" t="s">
        <v>85</v>
      </c>
      <c r="AL479" s="553" t="s">
        <v>85</v>
      </c>
      <c r="AM479" s="553" t="s">
        <v>85</v>
      </c>
      <c r="AN479" s="553" t="s">
        <v>85</v>
      </c>
      <c r="AO479" s="553" t="s">
        <v>85</v>
      </c>
      <c r="AP479" s="553" t="s">
        <v>85</v>
      </c>
      <c r="AQ479" s="553" t="s">
        <v>85</v>
      </c>
      <c r="AR479" s="553" t="s">
        <v>85</v>
      </c>
      <c r="AS479" s="553" t="s">
        <v>85</v>
      </c>
      <c r="AT479" s="553" t="s">
        <v>85</v>
      </c>
      <c r="AU479" s="553" t="s">
        <v>85</v>
      </c>
      <c r="AV479" s="553" t="s">
        <v>85</v>
      </c>
      <c r="AW479" s="553" t="s">
        <v>85</v>
      </c>
      <c r="AX479" s="553" t="s">
        <v>85</v>
      </c>
      <c r="AY479" s="553" t="s">
        <v>85</v>
      </c>
      <c r="AZ479" s="553" t="s">
        <v>85</v>
      </c>
      <c r="BA479" s="553" t="s">
        <v>85</v>
      </c>
      <c r="BB479" s="553" t="s">
        <v>85</v>
      </c>
      <c r="BC479" s="553" t="s">
        <v>85</v>
      </c>
      <c r="BD479" s="553" t="s">
        <v>85</v>
      </c>
      <c r="BE479" s="553" t="s">
        <v>85</v>
      </c>
      <c r="BF479" s="553" t="s">
        <v>85</v>
      </c>
      <c r="BG479" s="553" t="s">
        <v>85</v>
      </c>
      <c r="BH479" s="553" t="s">
        <v>85</v>
      </c>
      <c r="BI479" s="553" t="s">
        <v>85</v>
      </c>
      <c r="BJ479" s="553" t="s">
        <v>85</v>
      </c>
      <c r="BK479" s="553" t="s">
        <v>85</v>
      </c>
      <c r="BL479" s="553" t="s">
        <v>85</v>
      </c>
      <c r="BM479" s="553" t="s">
        <v>85</v>
      </c>
      <c r="BN479" s="553" t="s">
        <v>85</v>
      </c>
      <c r="BO479" s="553" t="s">
        <v>85</v>
      </c>
      <c r="BP479" s="553" t="s">
        <v>85</v>
      </c>
      <c r="BQ479" s="553" t="s">
        <v>85</v>
      </c>
      <c r="BR479" s="553" t="s">
        <v>85</v>
      </c>
      <c r="BS479" s="553" t="s">
        <v>85</v>
      </c>
      <c r="BT479" s="553" t="s">
        <v>85</v>
      </c>
      <c r="BU479" s="553" t="s">
        <v>85</v>
      </c>
      <c r="BV479" s="553" t="s">
        <v>85</v>
      </c>
      <c r="BW479" s="553" t="s">
        <v>85</v>
      </c>
      <c r="BX479" s="553" t="s">
        <v>85</v>
      </c>
      <c r="BY479" s="553" t="s">
        <v>85</v>
      </c>
      <c r="BZ479" s="553" t="s">
        <v>85</v>
      </c>
      <c r="CA479" s="553" t="s">
        <v>85</v>
      </c>
      <c r="CB479" s="553" t="s">
        <v>85</v>
      </c>
      <c r="CC479" s="553" t="s">
        <v>85</v>
      </c>
      <c r="CD479" s="553" t="s">
        <v>85</v>
      </c>
      <c r="CE479" s="553" t="s">
        <v>85</v>
      </c>
      <c r="CF479" s="553" t="s">
        <v>85</v>
      </c>
      <c r="CG479" s="553" t="s">
        <v>85</v>
      </c>
      <c r="CH479" s="553" t="s">
        <v>85</v>
      </c>
      <c r="CI479" s="553" t="s">
        <v>85</v>
      </c>
      <c r="CJ479" s="553" t="s">
        <v>85</v>
      </c>
      <c r="CK479" s="553" t="s">
        <v>85</v>
      </c>
      <c r="CL479" s="553" t="s">
        <v>85</v>
      </c>
      <c r="CM479" s="553" t="s">
        <v>85</v>
      </c>
      <c r="CN479" s="553" t="s">
        <v>85</v>
      </c>
      <c r="CO479" s="553" t="s">
        <v>85</v>
      </c>
      <c r="CP479" s="553" t="s">
        <v>85</v>
      </c>
      <c r="CQ479" s="553" t="s">
        <v>85</v>
      </c>
      <c r="CR479" s="553" t="s">
        <v>85</v>
      </c>
      <c r="CS479" s="553" t="s">
        <v>85</v>
      </c>
      <c r="CT479" s="553" t="s">
        <v>85</v>
      </c>
      <c r="CU479" s="553" t="s">
        <v>85</v>
      </c>
      <c r="CV479" s="553" t="s">
        <v>85</v>
      </c>
      <c r="CW479" s="553" t="s">
        <v>85</v>
      </c>
      <c r="CX479" s="553" t="s">
        <v>85</v>
      </c>
      <c r="CY479" s="553" t="s">
        <v>85</v>
      </c>
    </row>
    <row r="481" spans="15:16">
      <c r="O481" s="61"/>
      <c r="P481" s="61"/>
    </row>
  </sheetData>
  <sheetProtection algorithmName="SHA-512" hashValue="7sqb5XjKXuAKMKiu41bwL3DG67zydpglDfoxMn4249P4ubsnmJttyQ4prTBn6Dnns3Lu/vgGv8Qt7xGHfl1+qg==" saltValue="bGR9KMYQ6pTz+7+8/tVW9Q==" spinCount="100000" sheet="1" objects="1" scenarios="1" formatColumns="0" autoFilter="0"/>
  <autoFilter ref="B8:B479" xr:uid="{00000000-0009-0000-0000-00000A000000}">
    <filterColumn colId="0">
      <filters>
        <filter val="EINDE"/>
        <filter val="installaties koeling"/>
        <filter val="installaties ruimteverwarming"/>
        <filter val="installaties warmtapwater"/>
        <filter val="woningen|utiliteitsgebouwen"/>
      </filters>
    </filterColumn>
  </autoFilter>
  <sortState xmlns:xlrd2="http://schemas.microsoft.com/office/spreadsheetml/2017/richdata2" ref="K436:AA447">
    <sortCondition descending="1" ref="K436:K447"/>
  </sortState>
  <mergeCells count="4">
    <mergeCell ref="F4:G4"/>
    <mergeCell ref="F5:G5"/>
    <mergeCell ref="F3:G3"/>
    <mergeCell ref="B4:B7"/>
  </mergeCells>
  <phoneticPr fontId="0" type="noConversion"/>
  <conditionalFormatting sqref="D90:D91 D93:D94 D146:D147">
    <cfRule type="expression" dxfId="113" priority="5668">
      <formula>SUMPRODUCT($H$93:$BB$93,$H$94:$BB$94)&gt;0</formula>
    </cfRule>
  </conditionalFormatting>
  <conditionalFormatting sqref="D149:D150">
    <cfRule type="expression" dxfId="112" priority="5475">
      <formula>SUMPRODUCT($H$149:$AY$149,$H$150:$AY$150)&gt;0</formula>
    </cfRule>
  </conditionalFormatting>
  <conditionalFormatting sqref="F5">
    <cfRule type="expression" dxfId="111" priority="417">
      <formula>F5=""</formula>
    </cfRule>
  </conditionalFormatting>
  <conditionalFormatting sqref="I321">
    <cfRule type="expression" dxfId="110" priority="452">
      <formula>I$82=0</formula>
    </cfRule>
    <cfRule type="expression" dxfId="109" priority="454">
      <formula>AND(I$82&gt;0,I321="")</formula>
    </cfRule>
  </conditionalFormatting>
  <conditionalFormatting sqref="I76:N76 P76 R76 T76:AT76 AQ76:BA77 I77:AT77 I79:BA80 I82:BA82 I84:BA86 I88:BA94 I96:BA97 I99:BA99 I101:BA107 I109:BA111">
    <cfRule type="expression" dxfId="108" priority="68">
      <formula>I$75=""</formula>
    </cfRule>
  </conditionalFormatting>
  <conditionalFormatting sqref="I385:N385">
    <cfRule type="dataBar" priority="389">
      <dataBar>
        <cfvo type="min"/>
        <cfvo type="max"/>
        <color rgb="FF638EC6"/>
      </dataBar>
      <extLst>
        <ext xmlns:x14="http://schemas.microsoft.com/office/spreadsheetml/2009/9/main" uri="{B025F937-C7B1-47D3-B67F-A62EFF666E3E}">
          <x14:id>{AE131E70-2231-4B09-9066-E04D54D89432}</x14:id>
        </ext>
      </extLst>
    </cfRule>
  </conditionalFormatting>
  <conditionalFormatting sqref="I133:T133 V133:AD133 AF133:AL133">
    <cfRule type="expression" dxfId="107" priority="535">
      <formula>AND(I$131&lt;&gt;"",I133&lt;&gt;"",ISERROR(MATCH(I133,geografische_niveaus_installaties,0))=TRUE)</formula>
    </cfRule>
  </conditionalFormatting>
  <conditionalFormatting sqref="I375:T375">
    <cfRule type="dataBar" priority="390">
      <dataBar>
        <cfvo type="min"/>
        <cfvo type="max"/>
        <color rgb="FF638EC6"/>
      </dataBar>
      <extLst>
        <ext xmlns:x14="http://schemas.microsoft.com/office/spreadsheetml/2009/9/main" uri="{B025F937-C7B1-47D3-B67F-A62EFF666E3E}">
          <x14:id>{030D5D8A-7B40-4792-A2BB-75EF26F48F80}</x14:id>
        </ext>
      </extLst>
    </cfRule>
  </conditionalFormatting>
  <conditionalFormatting sqref="I34:V34">
    <cfRule type="expression" dxfId="106" priority="567">
      <formula>COUNTIF($H34:$W34,I34)&gt;1</formula>
    </cfRule>
  </conditionalFormatting>
  <conditionalFormatting sqref="I165:AB165">
    <cfRule type="expression" dxfId="105" priority="486">
      <formula>COUNTIF(toestellen_KOEL_invoer,I165)&gt;1</formula>
    </cfRule>
  </conditionalFormatting>
  <conditionalFormatting sqref="I172:AB172">
    <cfRule type="expression" dxfId="104" priority="479">
      <formula>ISERROR(MATCH(I172,energiedragers_geschikt_voor_KOEL,0))=TRUE</formula>
    </cfRule>
  </conditionalFormatting>
  <conditionalFormatting sqref="I179:AB179 I181:AB181">
    <cfRule type="expression" dxfId="103" priority="396">
      <formula>OR(I$174=1,I$174="")</formula>
    </cfRule>
  </conditionalFormatting>
  <conditionalFormatting sqref="I179:AB179">
    <cfRule type="expression" dxfId="102" priority="475">
      <formula>AND(I179="",ISERROR(MATCH(I179,energiedragers_geschikt_voor_KOEL,0))=TRUE)</formula>
    </cfRule>
  </conditionalFormatting>
  <conditionalFormatting sqref="I218:AB220">
    <cfRule type="expression" dxfId="101" priority="43">
      <formula>AND(I$216&lt;&gt;"",I218="")</formula>
    </cfRule>
  </conditionalFormatting>
  <conditionalFormatting sqref="I220:AB220">
    <cfRule type="expression" dxfId="100" priority="159">
      <formula>ISERROR(MATCH(I220,energiedragers_gebouwaansluiting,0))=TRUE</formula>
    </cfRule>
  </conditionalFormatting>
  <conditionalFormatting sqref="I223:AB223">
    <cfRule type="expression" dxfId="99" priority="162">
      <formula>ISERROR(MATCH(I223,hernieuwbare_energiebron_namen,0))=TRUE</formula>
    </cfRule>
  </conditionalFormatting>
  <conditionalFormatting sqref="I226:AB226 I228:AB228 I230:AB232">
    <cfRule type="expression" dxfId="98" priority="517">
      <formula>AND(INDEX(hernieuwbare_energiebron_getalswaarde_bij_toestellen,MATCH(I$223,hernieuwbare_energiebron_namen,0))=1,I$216&lt;&gt;"",I226="")</formula>
    </cfRule>
  </conditionalFormatting>
  <conditionalFormatting sqref="I230:AB232">
    <cfRule type="expression" dxfId="97" priority="223">
      <formula>AND(I$216&lt;&gt;"",OR(I230="",AND(I230&lt;&gt;0,I230&lt;&gt;1)))</formula>
    </cfRule>
  </conditionalFormatting>
  <conditionalFormatting sqref="I134:AL134">
    <cfRule type="expression" dxfId="96" priority="440">
      <formula>IF(I$133=centraal,AND(I134&lt;&gt;0,I134&lt;&gt;1),I134&lt;&gt;0)</formula>
    </cfRule>
  </conditionalFormatting>
  <conditionalFormatting sqref="I144:AL144">
    <cfRule type="expression" dxfId="95" priority="583">
      <formula>AND(I144&lt;&gt;"",ISERROR(MATCH(I144,energiedragers_geschikt_voor_TAP,FALSE)))</formula>
    </cfRule>
  </conditionalFormatting>
  <conditionalFormatting sqref="I149:AL150">
    <cfRule type="expression" dxfId="94" priority="214">
      <formula>AND(I$149&gt;0,I$150&gt;0)</formula>
    </cfRule>
  </conditionalFormatting>
  <conditionalFormatting sqref="I216:AM217 I221:AM221 I228:AM228">
    <cfRule type="expression" dxfId="93" priority="34">
      <formula>I216=""</formula>
    </cfRule>
  </conditionalFormatting>
  <conditionalFormatting sqref="I217:AM221 I223:AB223 I224:AM228 I230:AM236">
    <cfRule type="expression" dxfId="92" priority="33">
      <formula>I$216=""</formula>
    </cfRule>
  </conditionalFormatting>
  <conditionalFormatting sqref="I226:AM226 I228:AM228">
    <cfRule type="expression" dxfId="91" priority="35">
      <formula>AND(I$216&lt;&gt;"",I226="",INDEX(hernieuwbare_energiebron_getalswaarde_bij_toestellen,MATCH(I$223,hernieuwbare_energiebron_namen,0))=1)</formula>
    </cfRule>
  </conditionalFormatting>
  <conditionalFormatting sqref="I135:AO136 I140:AX142 I148:AX150 I157:AL158 AM158:AO158">
    <cfRule type="expression" dxfId="90" priority="107">
      <formula>AND(I$131&lt;&gt;"",I$134=1,I135&lt;&gt;0)</formula>
    </cfRule>
  </conditionalFormatting>
  <conditionalFormatting sqref="I131:AX131">
    <cfRule type="expression" dxfId="89" priority="110">
      <formula>COUNTIF(toestellen_TAP_invoer,I131)&gt;1</formula>
    </cfRule>
  </conditionalFormatting>
  <conditionalFormatting sqref="I144:AX146 AF133:AX133 I134:AX142 I148:AX150 I157:AL158 AM158:AO159 I133:T133 V133:AD133 I147:T147 V147:AX147 I152:AX155 I132:AX132 I159:N159 P159:T159 V159:AB159 AF159:AJ159">
    <cfRule type="expression" dxfId="88" priority="126">
      <formula>I$131=""</formula>
    </cfRule>
  </conditionalFormatting>
  <conditionalFormatting sqref="I152:AX152">
    <cfRule type="expression" dxfId="87" priority="5236">
      <formula>AND(I$131&lt;&gt;"",I$146=1,I$152&lt;&gt;geen)</formula>
    </cfRule>
  </conditionalFormatting>
  <conditionalFormatting sqref="I152:AX155 AF133:AO133 I134:AO136 I133:T133 V133:AD133 I138:AX138 I140:AX142 I144:AX146 I147:T147 V147:AX147 I148:AX150 I157:AL158 AM158:AO158">
    <cfRule type="expression" dxfId="86" priority="106">
      <formula>AND(I$131&lt;&gt;"",I133="")</formula>
    </cfRule>
  </conditionalFormatting>
  <conditionalFormatting sqref="I153:AX153">
    <cfRule type="expression" dxfId="85" priority="67">
      <formula>AND(I153&lt;&gt;"",ISERROR(MATCH(I153,energiedragers_geschikt_voor_TAP,0))=TRUE)</formula>
    </cfRule>
  </conditionalFormatting>
  <conditionalFormatting sqref="I153:AX155">
    <cfRule type="expression" dxfId="84" priority="105">
      <formula>OR(I$146=1,I$146="")</formula>
    </cfRule>
  </conditionalFormatting>
  <conditionalFormatting sqref="I77:BA77">
    <cfRule type="expression" dxfId="83" priority="548">
      <formula>AND(I77&lt;&gt;"",ISERROR(MATCH(I77,geografische_niveaus_installaties,0))=TRUE)</formula>
    </cfRule>
  </conditionalFormatting>
  <conditionalFormatting sqref="I78:BA78">
    <cfRule type="expression" dxfId="82" priority="190">
      <formula>IF(I$77=centraal,AND(I78&lt;&gt;0,I78&lt;&gt;1),I78&lt;&gt;0)</formula>
    </cfRule>
  </conditionalFormatting>
  <conditionalFormatting sqref="I79:BA80 I84:BA86 I92:BA94 I101:BA107 I109:BA110">
    <cfRule type="expression" dxfId="81" priority="538">
      <formula>AND(I$75&lt;&gt;"",I$78=1,I79&lt;&gt;0)</formula>
    </cfRule>
  </conditionalFormatting>
  <conditionalFormatting sqref="I88:BA88">
    <cfRule type="expression" dxfId="80" priority="185">
      <formula>AND(I88&lt;&gt;"",ISERROR(MATCH(I88,energiedragers_geschikt_voor_RV,0)))=TRUE</formula>
    </cfRule>
  </conditionalFormatting>
  <conditionalFormatting sqref="I89:BA89">
    <cfRule type="expression" dxfId="79" priority="155">
      <formula>AND(I$75&lt;&gt;"",I$77="")</formula>
    </cfRule>
  </conditionalFormatting>
  <conditionalFormatting sqref="I93:BA94">
    <cfRule type="expression" dxfId="78" priority="413">
      <formula>AND(I$93&gt;0,I$94&gt;0)</formula>
    </cfRule>
  </conditionalFormatting>
  <conditionalFormatting sqref="I96:BA96">
    <cfRule type="expression" dxfId="77" priority="441">
      <formula>AND(I$75&lt;&gt;"",I$90=1,I$96&lt;&gt;geen)</formula>
    </cfRule>
  </conditionalFormatting>
  <conditionalFormatting sqref="I96:BA97 I99:BA99 I77:BA77 I79:BA80 I82:BA82 I84:BA86 I88:BA88 I90:BA94 I101:BA107 I109:BA110">
    <cfRule type="expression" dxfId="76" priority="217">
      <formula>AND(I$75&lt;&gt;"",I77="")</formula>
    </cfRule>
  </conditionalFormatting>
  <conditionalFormatting sqref="I97:BA97 I99:BA99">
    <cfRule type="expression" dxfId="75" priority="187">
      <formula>OR(I$90="",I$90=1)</formula>
    </cfRule>
  </conditionalFormatting>
  <conditionalFormatting sqref="I97:BA97">
    <cfRule type="expression" dxfId="74" priority="556">
      <formula>AND(I97&lt;&gt;"",ISERROR(MATCH(I97,energiedragers_geschikt_voor_RV,0)))</formula>
    </cfRule>
  </conditionalFormatting>
  <conditionalFormatting sqref="I242:DD250">
    <cfRule type="expression" dxfId="73" priority="76">
      <formula>I242=""</formula>
    </cfRule>
  </conditionalFormatting>
  <conditionalFormatting sqref="I243:DD245">
    <cfRule type="expression" dxfId="72" priority="75">
      <formula>AND(I243&lt;&gt;0,I243&lt;&gt;1)</formula>
    </cfRule>
  </conditionalFormatting>
  <conditionalFormatting sqref="I243:DD250">
    <cfRule type="expression" dxfId="71" priority="74">
      <formula>AND(I$242&lt;&gt;"",I243="")</formula>
    </cfRule>
  </conditionalFormatting>
  <conditionalFormatting sqref="I12:DT12">
    <cfRule type="cellIs" dxfId="70" priority="26" operator="equal">
      <formula>16</formula>
    </cfRule>
  </conditionalFormatting>
  <conditionalFormatting sqref="I13:EB13">
    <cfRule type="expression" dxfId="69" priority="572">
      <formula>OR(COUNTIF(woningen_gebouwen_namen,I13)&gt;1,LEN(I13)&gt;20)</formula>
    </cfRule>
  </conditionalFormatting>
  <conditionalFormatting sqref="I14:EB14">
    <cfRule type="expression" dxfId="68" priority="355">
      <formula>AND(I14&lt;&gt;"",ISERROR(MATCH(I14,gebruiksfuncties_namen,0))=TRUE)</formula>
    </cfRule>
  </conditionalFormatting>
  <conditionalFormatting sqref="I15:EB15">
    <cfRule type="expression" dxfId="67" priority="286">
      <formula>AND(I$14&lt;&gt;woning,I$14&lt;&gt;woongebouw)</formula>
    </cfRule>
    <cfRule type="expression" dxfId="66" priority="512">
      <formula>ISERROR(MATCH(I15,NulEen,0))=TRUE</formula>
    </cfRule>
  </conditionalFormatting>
  <conditionalFormatting sqref="I17:EB17">
    <cfRule type="expression" dxfId="65" priority="506">
      <formula>ISERROR(MATCH(I17,isolatiepakketten_gebouwschil_namen,0))=TRUE</formula>
    </cfRule>
  </conditionalFormatting>
  <conditionalFormatting sqref="J258:M261 L258:R262">
    <cfRule type="expression" dxfId="64" priority="429">
      <formula>J$257=""</formula>
    </cfRule>
  </conditionalFormatting>
  <conditionalFormatting sqref="J258:R261">
    <cfRule type="expression" dxfId="63" priority="430">
      <formula>AND(J$257&lt;&gt;"",J258="")</formula>
    </cfRule>
  </conditionalFormatting>
  <conditionalFormatting sqref="L262:R262 J257:R257">
    <cfRule type="expression" dxfId="62" priority="431">
      <formula>J257=""</formula>
    </cfRule>
  </conditionalFormatting>
  <conditionalFormatting sqref="O76">
    <cfRule type="expression" dxfId="61" priority="28">
      <formula>O$131=""</formula>
    </cfRule>
  </conditionalFormatting>
  <conditionalFormatting sqref="O159">
    <cfRule type="expression" dxfId="60" priority="27">
      <formula>O$75=""</formula>
    </cfRule>
  </conditionalFormatting>
  <conditionalFormatting sqref="P34:V34">
    <cfRule type="expression" dxfId="59" priority="504">
      <formula>P34=""</formula>
    </cfRule>
  </conditionalFormatting>
  <conditionalFormatting sqref="P35:V38 P44:V45">
    <cfRule type="expression" dxfId="58" priority="503">
      <formula>AND(P$34&lt;&gt;"",P35="")</formula>
    </cfRule>
  </conditionalFormatting>
  <conditionalFormatting sqref="P35:V45">
    <cfRule type="expression" dxfId="57" priority="502">
      <formula>P$34=""</formula>
    </cfRule>
  </conditionalFormatting>
  <conditionalFormatting sqref="Q76">
    <cfRule type="expression" dxfId="56" priority="29">
      <formula>Q$131=""</formula>
    </cfRule>
  </conditionalFormatting>
  <conditionalFormatting sqref="S76">
    <cfRule type="expression" dxfId="55" priority="30">
      <formula>S$131=""</formula>
    </cfRule>
  </conditionalFormatting>
  <conditionalFormatting sqref="T165:AB165">
    <cfRule type="expression" dxfId="54" priority="2923">
      <formula>T165=""</formula>
    </cfRule>
  </conditionalFormatting>
  <conditionalFormatting sqref="T166:AB166 T185:AC185">
    <cfRule type="expression" dxfId="53" priority="395">
      <formula>AND(T$165&lt;&gt;"",T166="")</formula>
    </cfRule>
  </conditionalFormatting>
  <conditionalFormatting sqref="T166:AB170 T172:AB172 T174:AB176 T178:AB179 T181:AB181 T183:AB185">
    <cfRule type="expression" dxfId="52" priority="66">
      <formula>T$165=""</formula>
    </cfRule>
  </conditionalFormatting>
  <conditionalFormatting sqref="T167:AB167">
    <cfRule type="expression" dxfId="51" priority="478">
      <formula>AND(T167&lt;&gt;"",ISERROR(MATCH(T167,geografische_niveaus_installaties,0))=TRUE)</formula>
    </cfRule>
  </conditionalFormatting>
  <conditionalFormatting sqref="T178:AB179 T181:AB181 T167:AB170 T172:AB172 T174:AB176 T183:AB184">
    <cfRule type="expression" dxfId="50" priority="550">
      <formula>T167=""</formula>
    </cfRule>
  </conditionalFormatting>
  <conditionalFormatting sqref="U133">
    <cfRule type="expression" dxfId="49" priority="9">
      <formula>U$75=""</formula>
    </cfRule>
    <cfRule type="expression" dxfId="48" priority="10">
      <formula>AND(U$75&lt;&gt;"",U133="")</formula>
    </cfRule>
    <cfRule type="expression" dxfId="47" priority="11">
      <formula>AND(U133&lt;&gt;"",ISERROR(MATCH(U133,geografische_niveaus_installaties,0))=TRUE)</formula>
    </cfRule>
  </conditionalFormatting>
  <conditionalFormatting sqref="U147">
    <cfRule type="expression" dxfId="46" priority="5">
      <formula>AND(U$75&lt;&gt;"",U147="")</formula>
    </cfRule>
    <cfRule type="expression" dxfId="45" priority="4">
      <formula>U$75=""</formula>
    </cfRule>
  </conditionalFormatting>
  <conditionalFormatting sqref="U159">
    <cfRule type="expression" dxfId="44" priority="3">
      <formula>U$75=""</formula>
    </cfRule>
  </conditionalFormatting>
  <conditionalFormatting sqref="AC159:AE159">
    <cfRule type="expression" dxfId="43" priority="2">
      <formula>AC$75=""</formula>
    </cfRule>
  </conditionalFormatting>
  <conditionalFormatting sqref="AE133">
    <cfRule type="expression" dxfId="42" priority="6">
      <formula>AE$75=""</formula>
    </cfRule>
    <cfRule type="expression" dxfId="41" priority="7">
      <formula>AND(AE$75&lt;&gt;"",AE133="")</formula>
    </cfRule>
    <cfRule type="expression" dxfId="40" priority="8">
      <formula>AND(AE133&lt;&gt;"",ISERROR(MATCH(AE133,geografische_niveaus_installaties,0))=TRUE)</formula>
    </cfRule>
  </conditionalFormatting>
  <conditionalFormatting sqref="AK152:AL152">
    <cfRule type="expression" dxfId="39" priority="174">
      <formula>AND(AK$146=1,AK152&lt;&gt;"geen")</formula>
    </cfRule>
  </conditionalFormatting>
  <conditionalFormatting sqref="AK159:AL159">
    <cfRule type="expression" dxfId="38" priority="1">
      <formula>AK$75=""</formula>
    </cfRule>
  </conditionalFormatting>
  <conditionalFormatting sqref="AM157:AN157">
    <cfRule type="expression" dxfId="37" priority="100">
      <formula>AND(AM$131&lt;&gt;"",AM$134=1,AM157&lt;&gt;0)</formula>
    </cfRule>
    <cfRule type="expression" dxfId="36" priority="98">
      <formula>AM$131=""</formula>
    </cfRule>
    <cfRule type="expression" dxfId="35" priority="99">
      <formula>AND(AM$131&lt;&gt;"",AM157="")</formula>
    </cfRule>
  </conditionalFormatting>
  <conditionalFormatting sqref="AM132:AO136">
    <cfRule type="expression" dxfId="34" priority="104">
      <formula>AM$131=""</formula>
    </cfRule>
  </conditionalFormatting>
  <conditionalFormatting sqref="AM133:AO133">
    <cfRule type="expression" dxfId="33" priority="113">
      <formula>AND(AM$131&lt;&gt;"",AM133&lt;&gt;"",ISERROR(MATCH(AM133,geografische_niveaus_installaties,0))=TRUE)</formula>
    </cfRule>
  </conditionalFormatting>
  <conditionalFormatting sqref="AM134:AO134">
    <cfRule type="expression" dxfId="32" priority="111">
      <formula>IF(AM$133=centraal,AND(AM134&lt;&gt;0,AM134&lt;&gt;1),AM134&lt;&gt;0)</formula>
    </cfRule>
  </conditionalFormatting>
  <conditionalFormatting sqref="AM144:AQ144">
    <cfRule type="expression" dxfId="31" priority="114">
      <formula>AND(AM144&lt;&gt;"",ISERROR(MATCH(AM144,energiedragers_geschikt_voor_TAP,FALSE)))</formula>
    </cfRule>
  </conditionalFormatting>
  <conditionalFormatting sqref="AM149:AQ150">
    <cfRule type="expression" dxfId="30" priority="109">
      <formula>AND(AM$149&gt;0,AM$150&gt;0)</formula>
    </cfRule>
  </conditionalFormatting>
  <conditionalFormatting sqref="AM75:BA75">
    <cfRule type="expression" dxfId="29" priority="420">
      <formula>AM75=""</formula>
    </cfRule>
  </conditionalFormatting>
  <conditionalFormatting sqref="AM76:BA76">
    <cfRule type="expression" dxfId="28" priority="555">
      <formula>AND(AM$75&lt;&gt;"",AM76="")</formula>
    </cfRule>
  </conditionalFormatting>
  <conditionalFormatting sqref="AM78:BA78">
    <cfRule type="expression" dxfId="27" priority="189">
      <formula>AND(AM$75&lt;&gt;"",AM78="")</formula>
    </cfRule>
    <cfRule type="expression" dxfId="26" priority="188">
      <formula>AM$75=""</formula>
    </cfRule>
  </conditionalFormatting>
  <conditionalFormatting sqref="AM111:BA111">
    <cfRule type="expression" dxfId="25" priority="263">
      <formula>AND(AM$75&lt;&gt;"",AM111="")</formula>
    </cfRule>
  </conditionalFormatting>
  <conditionalFormatting sqref="AP131:AX131 AP159:AX159">
    <cfRule type="expression" dxfId="24" priority="139">
      <formula>AP131=""</formula>
    </cfRule>
  </conditionalFormatting>
  <conditionalFormatting sqref="AP132:AX132">
    <cfRule type="expression" dxfId="23" priority="132">
      <formula>AND(AP$131&lt;&gt;"",AP132="")</formula>
    </cfRule>
  </conditionalFormatting>
  <conditionalFormatting sqref="AP133:AX133">
    <cfRule type="expression" dxfId="22" priority="137">
      <formula>AND(AP$131&lt;&gt;"",AP133&lt;&gt;"",ISERROR(MATCH(AP133,geografische_niveaus_installaties,0))=TRUE)</formula>
    </cfRule>
  </conditionalFormatting>
  <conditionalFormatting sqref="AP133:AX136">
    <cfRule type="expression" dxfId="21" priority="129">
      <formula>AND(AP$131&lt;&gt;"",AP133="")</formula>
    </cfRule>
  </conditionalFormatting>
  <conditionalFormatting sqref="AP134:AX134">
    <cfRule type="expression" dxfId="20" priority="135">
      <formula>IF(AP$133=centraal,AND(AP134&lt;&gt;0,AP134&lt;&gt;1),AP134&lt;&gt;0)</formula>
    </cfRule>
  </conditionalFormatting>
  <conditionalFormatting sqref="AP135:AX136">
    <cfRule type="expression" dxfId="19" priority="130">
      <formula>AND(AP$131&lt;&gt;"",AP$134=1,AP135&lt;&gt;0)</formula>
    </cfRule>
  </conditionalFormatting>
  <conditionalFormatting sqref="AP152:AX152">
    <cfRule type="expression" dxfId="18" priority="128">
      <formula>AND(AP$146=1,AP152&lt;&gt;"geen")</formula>
    </cfRule>
  </conditionalFormatting>
  <conditionalFormatting sqref="AP157:AX158">
    <cfRule type="expression" dxfId="17" priority="178">
      <formula>AND(AP$131&lt;&gt;"",AP$134=1,AP157&lt;&gt;0)</formula>
    </cfRule>
    <cfRule type="expression" dxfId="16" priority="175">
      <formula>AND(AP$131&lt;&gt;"",AP157="")</formula>
    </cfRule>
  </conditionalFormatting>
  <conditionalFormatting sqref="AP157:AX159">
    <cfRule type="expression" dxfId="15" priority="172">
      <formula>AP$131=""</formula>
    </cfRule>
  </conditionalFormatting>
  <conditionalFormatting sqref="AR159:AS159">
    <cfRule type="expression" dxfId="14" priority="2712">
      <formula>AR159=""</formula>
    </cfRule>
  </conditionalFormatting>
  <conditionalFormatting sqref="AR144:AX144">
    <cfRule type="expression" dxfId="13" priority="152">
      <formula>AND(AR144&lt;&gt;"",ISERROR(MATCH(AR144,energiedragers_geschikt_voor_TAP,FALSE)))</formula>
    </cfRule>
  </conditionalFormatting>
  <conditionalFormatting sqref="AR149:AX150">
    <cfRule type="expression" dxfId="12" priority="147">
      <formula>AND(AR$149&gt;0,AR$150&gt;0)</formula>
    </cfRule>
  </conditionalFormatting>
  <conditionalFormatting sqref="DU14:EB17 DU19:EB24">
    <cfRule type="expression" dxfId="11" priority="507">
      <formula>AND(DU$13&lt;&gt;"",DU14="")</formula>
    </cfRule>
  </conditionalFormatting>
  <conditionalFormatting sqref="DU14:EB17 DU19:EB28">
    <cfRule type="expression" dxfId="10" priority="31">
      <formula>DU$13=""</formula>
    </cfRule>
  </conditionalFormatting>
  <dataValidations xWindow="1256" yWindow="738" count="113">
    <dataValidation type="decimal" allowBlank="1" showInputMessage="1" showErrorMessage="1" sqref="N174:P174" xr:uid="{00000000-0002-0000-0A00-000002000000}">
      <formula1>0</formula1>
      <formula2>1</formula2>
    </dataValidation>
    <dataValidation type="decimal" allowBlank="1" showInputMessage="1" showErrorMessage="1" sqref="N175:S176 N181:S181 Q174:S174" xr:uid="{00000000-0002-0000-0A00-000004000000}">
      <formula1>0</formula1>
      <formula2>25</formula2>
    </dataValidation>
    <dataValidation allowBlank="1" showErrorMessage="1" sqref="K219 I209:Q209 I207:J207 I228:AB228 AC225:AC226 I226:AB226 I230:AM235 AD226:AM226 I258:I260 AC227:AM227 AC218:AM220 I224:AM224 AC223:AM223" xr:uid="{00000000-0002-0000-0A00-000008000000}"/>
    <dataValidation allowBlank="1" showInputMessage="1" showErrorMessage="1" prompt="Klik op de naam van het toestel voor meer informatie." sqref="G76 G132 G166" xr:uid="{00000000-0002-0000-0A00-00000A000000}"/>
    <dataValidation allowBlank="1" showInputMessage="1" showErrorMessage="1" promptTitle="ind WP, coll grondw, elek bijsto" prompt="individuele warmtepomp met collectieve bron op grondwater, Tsup 45-50 °C, elektrische bijstook, met regeneratie van de bron" sqref="K76" xr:uid="{D3DDC8D6-FA11-470A-9658-3FF52C63FFBB}"/>
    <dataValidation allowBlank="1" showInputMessage="1" showErrorMessage="1" promptTitle="ind WP, coll grondw, gas bijstoo" prompt="individuele warmtepomp met collectieve bron op grondwater, Tsup 45-50 °C, bijstook met gas, met regeneratie van de bron" sqref="M76" xr:uid="{C855820D-89FA-42E3-A2B9-CB24C0F4A2FB}"/>
    <dataValidation allowBlank="1" showInputMessage="1" showErrorMessage="1" promptTitle="ind WP, ind bodem, elek bijstook" prompt="individuele warmtepomp met individuele bodembron, Tsup 45-50 °C, elektrische bijstook, met regeneratie van de bron" sqref="L76" xr:uid="{5DE753EC-3456-44D1-85A9-18991CB9D77E}"/>
    <dataValidation allowBlank="1" showInputMessage="1" showErrorMessage="1" promptTitle="coll WP | grond, gas bijstook" prompt="collectieve warmtepomp met collectieve bron grondwater, Tsup 45-50 °C, bijstook met collectieve gasgestookte hulpketel, met regeneratie van de bron" sqref="R76" xr:uid="{00000000-0002-0000-0A00-00000F000000}"/>
    <dataValidation allowBlank="1" showInputMessage="1" showErrorMessage="1" promptTitle="Biomassa verbranding, tot 10 MWe" prompt="Centrale voor het verbranden van biomassa, tot een elektrisch vermogen van 10 MW" sqref="AA76 Z132" xr:uid="{00000000-0002-0000-0A00-000014000000}"/>
    <dataValidation allowBlank="1" showInputMessage="1" showErrorMessage="1" promptTitle="Biomassa verbranding, 10-50 MWe" prompt="Centrale voor het verbranden van biomassa, elektrisch vermogen van 10 tot 50 MW" sqref="AB76 AA132" xr:uid="{00000000-0002-0000-0A00-000015000000}"/>
    <dataValidation allowBlank="1" showInputMessage="1" showErrorMessage="1" promptTitle="ind WP, coll grondw, elek bijsto" prompt="individuele combi-warmtepomp met collectieve bron op grondwater, Tsup 45-50 °C, elektrische bijstook, met regeneratie van de bron" sqref="K132" xr:uid="{00000000-0002-0000-0A00-000016000000}"/>
    <dataValidation allowBlank="1" showInputMessage="1" showErrorMessage="1" promptTitle="ind WP, ind bodem, elek bijstook" prompt="individuele combi-warmtepomp met individuele bodembron, Tsup 45-50 °C, elektrische bijstook, met regeneratie van de bron" sqref="L132" xr:uid="{00000000-0002-0000-0A00-000017000000}"/>
    <dataValidation allowBlank="1" showInputMessage="1" showErrorMessage="1" promptTitle="ind WP, coll grondw, gas bijstoo" prompt="individuele combi-warmtepomp met collectieve bron op grondwater, Tsup 45-50 °C, bijstook met gas, met regeneratie van de bron" sqref="M132" xr:uid="{00000000-0002-0000-0A00-000018000000}"/>
    <dataValidation allowBlank="1" showInputMessage="1" showErrorMessage="1" promptTitle="ind WP, ind bodem, gas bijstook" prompt="individuele combi-warmtepomp met individuele bodembron, Tsup 45-50 °C, bijstook op gas, met regeneratie van de bron" sqref="N132" xr:uid="{00000000-0002-0000-0A00-000019000000}"/>
    <dataValidation allowBlank="1" showInputMessage="1" showErrorMessage="1" promptTitle="ind wp buitenlucht, elek bijstoo" prompt="individuele combi-warmtepomp, bron buitenlucht, elektrische bijstook" sqref="P132" xr:uid="{00000000-0002-0000-0A00-00001A000000}"/>
    <dataValidation allowBlank="1" showInputMessage="1" showErrorMessage="1" promptTitle="Afgifterendement" prompt="1,00 bij verwarming of_x000a_        LT-radiatoren in_x000a_        geïsoleerd gebouw_x000a_        (Rc &gt; 2,5 m2K/W);_x000a_0,90 bij HT-systemen;_x000a_0,95 in overige situaties." sqref="D82" xr:uid="{00000000-0002-0000-0A00-000028000000}"/>
    <dataValidation type="textLength" allowBlank="1" showInputMessage="1" showErrorMessage="1" errorTitle="Maximaal 65 karakters" error="Maximaal 65 karakters" sqref="F5" xr:uid="{00000000-0002-0000-0A00-000033000000}">
      <formula1>0</formula1>
      <formula2>65</formula2>
    </dataValidation>
    <dataValidation type="textLength" errorStyle="warning" allowBlank="1" showInputMessage="1" showErrorMessage="1" errorTitle="Maximaal 30 karakters" error="Maximaal 30 karakters" sqref="F3:F4" xr:uid="{00000000-0002-0000-0A00-000034000000}">
      <formula1>0</formula1>
      <formula2>30</formula2>
    </dataValidation>
    <dataValidation allowBlank="1" showInputMessage="1" showErrorMessage="1" promptTitle="Gegevensfilter (links)" prompt="Het pijltje links geeft toegang tot het gegevensfilter, waarmee informatie zichtbaar/onzichtbaar gemaakt kan worden." sqref="D478" xr:uid="{00000000-0002-0000-0A00-000032000000}"/>
    <dataValidation allowBlank="1" showInputMessage="1" showErrorMessage="1" promptTitle="ind wp buitenlucht, el. bijstook" prompt="individuele warmtepomp, bron buitenlucht, elektrische bijstook" sqref="T76 P76" xr:uid="{BBBD7C22-9B70-4C36-8EBC-0728B28237A8}"/>
    <dataValidation allowBlank="1" showInputMessage="1" showErrorMessage="1" prompt="_x000a_" sqref="E169:E170" xr:uid="{2F881783-DB4C-4160-B0D8-E79DA785B6CE}"/>
    <dataValidation allowBlank="1" showErrorMessage="1" prompt="_x000a_" sqref="E135 E168" xr:uid="{41192548-A091-41DC-B3CD-961ED33B28C1}"/>
    <dataValidation type="list" allowBlank="1" showInputMessage="1" showErrorMessage="1" sqref="T167:AB167 I77:BA77 U133 AE133" xr:uid="{E2CE6FBB-0373-4567-A5B7-73008EDE858D}">
      <formula1>geografische_niveaus_installaties</formula1>
    </dataValidation>
    <dataValidation allowBlank="1" showInputMessage="1" showErrorMessage="1" promptTitle="alleen cf. bijlage P uit NTA8800" prompt="Getalswaarden voor de primaire energiefactor mogen uitsluitend gebruikt worden bij een berekening volgens bijlage P (NTA8800); aanvulling op tabel 5.2 (NTA8800)." sqref="R217:T217" xr:uid="{30311724-01A7-4160-BD1B-2224EBF501F4}"/>
    <dataValidation allowBlank="1" showInputMessage="1" showErrorMessage="1" promptTitle="bm. Activiteitenbesluit [bmA]" prompt="Biomassa voor met vaste biomassa gestookte kachels en ketels (&gt;100 kW thermisch vermogen) die vallen onder het Activiteitenbesluit._x000a_(NTA8800 tabel 5.2/5.3)" sqref="M217" xr:uid="{300F30B6-BD18-4C19-B40E-02F4CF5F7161}"/>
    <dataValidation allowBlank="1" showInputMessage="1" showErrorMessage="1" promptTitle="biomassa cf bijlage R [bmB]" prompt="Biomassa voor met vaste biomassa gestookte kachels en ketels (&lt;100 kW thermisch vermogen) die voldoen aan een minimale verbrandingskwaliteit en een maximaal emissieniveau, zoals in bijlage R._x000a_(NTA8800 tabel 5.2/5.3, bijage R)" sqref="N217" xr:uid="{F50A77FD-D6D9-4528-8613-A6B6EF5B9EE8}"/>
    <dataValidation allowBlank="1" showInputMessage="1" showErrorMessage="1" promptTitle="biomassa overig [bmC]" prompt="Biomassa voor met vaste biomassa gestookte kachels en ketels die niet voldoen aan de criteria van biomassa bmA en bmB._x000a_(NTA8800 tabel 5.2/5.3)" sqref="O217" xr:uid="{5C2635F0-EFAF-43AB-ABFD-BC750FF82636}"/>
    <dataValidation allowBlank="1" showInputMessage="1" showErrorMessage="1" promptTitle="elektriciteit hernieuwbaar" prompt="Hernieuwbaar opgewekte elektriciteit." sqref="J206" xr:uid="{196F2A43-BF5C-4726-A2D2-0CC840FA7506}"/>
    <dataValidation allowBlank="1" showInputMessage="1" showErrorMessage="1" promptTitle="Biomassa (bmA)" prompt="Biomassa voor op een vaste biomassa gestookte kachels en ketels die vallen onder het Activiteitenbesluit" sqref="M206" xr:uid="{62CDB3D3-E90D-4380-A5AB-AF3F530FBB68}"/>
    <dataValidation allowBlank="1" showInputMessage="1" showErrorMessage="1" promptTitle="Biomassa (bmB)" prompt="Biomassa voor op een vaste biomassa gestookte kachels en ketels die voldoen aan een minimale verbrandingskwaliteit en een maximaal emissieniveau, zoals aangegeven in bijlage R." sqref="N206" xr:uid="{005A43AC-0403-497B-9B2C-DFE65C3AD82F}"/>
    <dataValidation allowBlank="1" showInputMessage="1" showErrorMessage="1" promptTitle="Biomassa (bmC)" prompt="Biomassa voor op een vaste biomassa gestookte kachels en ketels die niet aan de hierboven criteria voldoen." sqref="O206" xr:uid="{D5844B97-9D82-44F4-B49A-D6DDAF2F0730}"/>
    <dataValidation allowBlank="1" showInputMessage="1" showErrorMessage="1" promptTitle="Externe warmte of koude (forf)" prompt="Externe warmte- of koudelevering waarvoor geen kwaliteitsverklaring op basis van NEN 7125 beschikbaar is." sqref="P206" xr:uid="{E813DF6B-2350-445B-8895-22CDFE98D61D}"/>
    <dataValidation allowBlank="1" showInputMessage="1" showErrorMessage="1" promptTitle="Externe warmte/koude (kwal)" prompt="Externe warmte- of koudelevering waarvoor een kwaliteitsverklaring op basis van NEN 7125 beschikbaar is." sqref="Q206" xr:uid="{A16AD7EF-B50F-418B-88C5-81A45DA7E899}"/>
    <dataValidation allowBlank="1" showInputMessage="1" showErrorMessage="1" promptTitle="heeft toestel hernieuwbare bron?" prompt="Nodig voor bepalen bijdrage warmtepomp aan BENG-indicator hernieuwbare energie." sqref="D79" xr:uid="{1A7D99ED-06BD-4E28-8851-A423266F3082}"/>
    <dataValidation type="list" allowBlank="1" showInputMessage="1" showErrorMessage="1" sqref="AY79:BA80 I168:S170 AU79:AW80 I243:DD245" xr:uid="{49E50999-05B7-4E62-8117-FFD65A8BA711}">
      <formula1>"0,1"</formula1>
    </dataValidation>
    <dataValidation type="decimal" showInputMessage="1" showErrorMessage="1" errorTitle="Bereik 0,1-15,0" error="De ingevulde waarde valt buiten het bereik." sqref="AP155:AX155" xr:uid="{78A938DF-F845-4E76-9487-E3B3F1BD2BB6}">
      <formula1>0.1</formula1>
      <formula2>15</formula2>
    </dataValidation>
    <dataValidation type="decimal" allowBlank="1" showInputMessage="1" showErrorMessage="1" errorTitle="Bereik 0,0-2,0" error="De ingevoerde waarde valt buiten het bereik." sqref="U218:AB218 L258:R259" xr:uid="{1A66FC1A-5649-41F1-A082-FE5C139D3624}">
      <formula1>0</formula1>
      <formula2>2</formula2>
    </dataValidation>
    <dataValidation type="decimal" allowBlank="1" showInputMessage="1" showErrorMessage="1" errorTitle="Bereik 0,1-15,0" error="De ingevoerde waarde valt buiten het bereik." sqref="T181:AB181 T175:AB175 AT99:BA99" xr:uid="{F15622FB-66E5-426F-A106-D860DDAED259}">
      <formula1>0.1</formula1>
      <formula2>15</formula2>
    </dataValidation>
    <dataValidation type="decimal" allowBlank="1" showInputMessage="1" showErrorMessage="1" errorTitle="Bereik 0,0-0,7" error="De ingevoerde waarde valt buiten het bereik." sqref="T176:AB176" xr:uid="{93FEC512-4AB2-41CB-9C0B-56F4B7C14BC1}">
      <formula1>0</formula1>
      <formula2>0.7</formula2>
    </dataValidation>
    <dataValidation type="decimal" allowBlank="1" showInputMessage="1" showErrorMessage="1" errorTitle="Bereik 0,0-0,5" error="De ingevoerde waarde valt buiten het bereik." sqref="L260:R261 U219:AB219" xr:uid="{925B59E4-B5B4-45A5-9270-4C153E0338DA}">
      <formula1>0</formula1>
      <formula2>0.5</formula2>
    </dataValidation>
    <dataValidation type="decimal" allowBlank="1" showInputMessage="1" showErrorMessage="1" errorTitle="Bereik 0,0-1,0" error="De ingevoerde waarde valt buiten het bereik." sqref="T174:AB174" xr:uid="{F7428E62-C497-4CBD-B519-0CF73175A84D}">
      <formula1>0</formula1>
      <formula2>1</formula2>
    </dataValidation>
    <dataValidation type="decimal" allowBlank="1" showInputMessage="1" showErrorMessage="1" errorTitle="Bereik 0,00-0,01" error="De ingevoerde waarde valt buiten het bereik." sqref="T183:AB183" xr:uid="{E98728CF-9368-461C-9B5D-C61A111F4E61}">
      <formula1>0</formula1>
      <formula2>0.01</formula2>
    </dataValidation>
    <dataValidation type="decimal" allowBlank="1" showInputMessage="1" showErrorMessage="1" errorTitle="Bereik 0,0-0,1" error="De ingevoerde waarde valt buiten het bereik." sqref="T184:AB184" xr:uid="{24937FF8-355D-4545-96D6-8107781F888D}">
      <formula1>0</formula1>
      <formula2>0.1</formula2>
    </dataValidation>
    <dataValidation type="list" allowBlank="1" showInputMessage="1" showErrorMessage="1" errorTitle="Bereik 0,0-1,0" error="De ingevoerde waarde valt buiten het bereik." sqref="T168:AB170" xr:uid="{D31D1193-0062-4127-8BB8-775BB9D6B1EF}">
      <formula1>"0,1"</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8" xr:uid="{19B41AF7-4152-4772-80B1-D2D9E7EE36A7}"/>
    <dataValidation allowBlank="1" showInputMessage="1" showErrorMessage="1" promptTitle="Voorbeeldwoningen en -gebouwen" prompt="De voorbeeldgebouwen bestaan uit:_x000a_- RVO referentiewoningen nieuwbouw_x000a_   &gt;vrij L, tussenwon S, .._x000a_- Voorbeeldwoningen 2020_x000a_   &gt;type (vrij, 2/1 kap,..) _x000a_   &gt;bouwjaarklasse (92-05=1992-2005)_x000a_- Voorbeeldgebouwen utiliteit_x000a_- Door gebruiker ingevoerde gebouwen" sqref="D13" xr:uid="{1CA6AC46-007D-4A79-B903-C1FD4D1B65B8}"/>
    <dataValidation allowBlank="1" showInputMessage="1" showErrorMessage="1" promptTitle="Warmtebehoefte tapwater" prompt="De warmtebehoefte van woningen en woongebouwen is afhankelijk van de gebruiksoppervlakte van de woning. Deze warmtebehoefte wordt uitgerekend binnen de Varianten." sqref="D284" xr:uid="{FFE92F8D-2118-4BA5-9655-CD14B673D07C}"/>
    <dataValidation allowBlank="1" showInputMessage="1" showErrorMessage="1" promptTitle="aftapwarmte" prompt="Aftapwarmte van elektriciteitscentrale. Bij aftap van warmte daalt de elektriciteitsproductie. Die daling wordt gecompenseerd door het NL elektriciteitsnet. Het primair energiegebruik en de CO2 emissie van die compensatie wordt in rekening gebracht." sqref="U217:V217" xr:uid="{CD204899-04B9-4BFA-A8BD-26A66E05A52D}"/>
    <dataValidation allowBlank="1" showInputMessage="1" showErrorMessage="1" promptTitle="elektr. derving aftapwarmte" prompt="Verhouding elektriciteitsderving Δε;chp;el en jaargemiddelde thermische omzettingsgetal van WKK ε;chp;th._x000a__x000a_forfaitair 0,18 (NEN 7125)_x000a__x000a_NEN 7125 (WKK installaties met derving)" sqref="D150" xr:uid="{ADBC9DB5-F0BE-4DB4-A86F-75CC53891240}"/>
    <dataValidation allowBlank="1" showInputMessage="1" showErrorMessage="1" promptTitle="elek omzettingsgetal WKK" prompt="Het elektrische omzettingsgetal voor WKK._x000a_Voorbeelden in NTA 8800_x000a__x000a_NB als hier een waarde wordt ingevuld moet de waarde in de volgende regel (over elektriciteitsderving bij WKK) nul zijn._x000a__x000a_Dat geldt omgekeerd ook." sqref="D149" xr:uid="{4F6DB6C2-8A2C-4BB4-9252-E5EECB32FF0F}"/>
    <dataValidation allowBlank="1" showInputMessage="1" showErrorMessage="1" promptTitle="geografisch niveau" prompt="GEBOUW: individuele/collectieve installatie in woning of (woon)gebouw._x000a__x000a_GEBIED: collectieve installatie gedimensioneerd op warmtevraag (woon)gebouw._x000a__x000a_CENTRAAL: warmtelevering met opwekkingsrendement 1,0 en verrekening via fPdel en fPren van energiedrager" sqref="D77 D133" xr:uid="{BFDAA655-576D-4520-B89B-778BE981F31A}"/>
    <dataValidation allowBlank="1" showInputMessage="1" showErrorMessage="1" promptTitle="geografisch niveau" prompt="Er zijn alleengebouwgebonden installaties mogelijk._x000a__x000a_GEBOUW: individuele/collectieve installatie in woning of (woon)gebouw." sqref="D167" xr:uid="{7160980F-A570-4F34-B578-F1CFC46B2133}"/>
    <dataValidation allowBlank="1" showInputMessage="1" showErrorMessage="1" promptTitle="EMG verklaring" prompt="Bij geografisch niveau 'centraal': de externe warmtelevering heeft een EMG-verklaring (NEN 7125)." sqref="D134" xr:uid="{07798A9B-670A-49B8-B360-497F4528AD80}"/>
    <dataValidation type="list" allowBlank="1" showInputMessage="1" showErrorMessage="1" promptTitle="bij EMG-verklaring: 0" prompt=" " sqref="I135:AX136 I79:AT80 AX79:AX80" xr:uid="{5ACEEAF3-8309-4208-A179-7E3E1206D55F}">
      <formula1>"0,1"</formula1>
    </dataValidation>
    <dataValidation type="decimal" showInputMessage="1" showErrorMessage="1" errorTitle="Bereik 0,0-0,1" error="De ingevulde waarde valt buiten het bereik." promptTitle="bij EMG-veklaring: 0,000" prompt=" " sqref="I152 AM152:AO152 I158:AX158" xr:uid="{CC7C84C8-EB3E-4BF2-9D22-A2193467AA28}">
      <formula1>0</formula1>
      <formula2>0.1</formula2>
    </dataValidation>
    <dataValidation allowBlank="1" showInputMessage="1" showErrorMessage="1" promptTitle="dekkingsgraad install. preferent" prompt="De dekkingsgraad van preferente installaties met een kwaliteitsverklaring is altijd 100%." sqref="D90" xr:uid="{D8E01A53-876A-4CE2-B77A-223D14A8DA4E}"/>
    <dataValidation allowBlank="1" showInputMessage="1" showErrorMessage="1" promptTitle="opwekkingsrendement" prompt="Het opwekkingsrendement cf NTA 8800 H9._x000a__x000a_Opwekkingsrendement installaties met een EMG-verklaring of WKK met elektriciteitsderving: 1,0._x000a__x000a_Primair (hernieuwbaar) energiegebruik wordt berekend op basis van de fPdel en de fPren van de energiedrager." sqref="D91" xr:uid="{56B2620A-DF78-4394-88EF-43763B597CEA}"/>
    <dataValidation allowBlank="1" showInputMessage="1" showErrorMessage="1" promptTitle="opwekkingsrendement" prompt="Het opwekkingsrendement cf NTA 8800_x000a__x000a_Opwekkingsrendement installaties met een EMG-verklaring of WKK met elektriciteitsderving: 1,0._x000a__x000a_Primair (hernieuwbaar) energiegebruik wordt berekend op basis van de fPdel en de fPren van de energiedrager." sqref="D147" xr:uid="{3247C4CD-1D4A-409A-B742-356D91F10EBA}"/>
    <dataValidation type="list" allowBlank="1" showInputMessage="1" showErrorMessage="1" sqref="I172:AB172 I179:AB179" xr:uid="{2734E281-1A3D-4865-9DF6-B142A2446830}">
      <formula1>energiedragers_geschikt_voor_KOEL</formula1>
    </dataValidation>
    <dataValidation allowBlank="1" showInputMessage="1" showErrorMessage="1" promptTitle="dekkingsgraad install. preferent" prompt="De dekkingsgraad van preferente installaties met een EMG-verklaring is altijd 100%._x000a_Bij een booster-WP is deze afhankelijk van de COP van de booster-WP, =(COP-1)/COP. Kies ook een warmteopwekker/warmtenet." sqref="D146" xr:uid="{2ACFAE3D-CA93-482B-BFFB-EFFB779AD56E}"/>
    <dataValidation type="list" allowBlank="1" showInputMessage="1" showErrorMessage="1" sqref="I220:AB220" xr:uid="{1A48BDD9-54B2-4185-8ED8-932973FFF7D6}">
      <formula1>energiedragers_gebouwaansluiting</formula1>
    </dataValidation>
    <dataValidation type="list" allowBlank="1" showInputMessage="1" showErrorMessage="1" sqref="I223:AB223" xr:uid="{1FD6B478-F635-42E3-8EA8-367C31AFF0F2}">
      <formula1>hernieuwbare_energiebron_namen</formula1>
    </dataValidation>
    <dataValidation type="list" allowBlank="1" showInputMessage="1" showErrorMessage="1" sqref="AC216:AM216" xr:uid="{5DC61995-9CF6-4C98-92D6-A478CB1D9FBB}">
      <formula1>warmtenetten_NL_namen</formula1>
    </dataValidation>
    <dataValidation allowBlank="1" showInputMessage="1" showErrorMessage="1" promptTitle="Rc gemiddeld per bouwdeel" prompt="Bereken de Rc gemiddeld via de U-waarde:_x000a__x000a_Rc,gem = " sqref="D35" xr:uid="{B76A381D-B82B-47AB-AC98-106D28488BC6}"/>
    <dataValidation allowBlank="1" showInputMessage="1" showErrorMessage="1" promptTitle="ind WP, ind bodem, gas bijstook" prompt="individuele warmtepomp met individuele bodembron, Tsup 45-50 °C, bijstook op gas, met regeneratie van de bron" sqref="N76 P76" xr:uid="{58ED24A9-3CD1-46CC-9C46-41414AA01296}"/>
    <dataValidation type="list" allowBlank="1" showInputMessage="1" showErrorMessage="1" sqref="I154:AX154 I145:AX145" xr:uid="{00000000-0002-0000-0A00-000001000000}">
      <formula1>energiedragers_namen</formula1>
    </dataValidation>
    <dataValidation type="decimal" allowBlank="1" showInputMessage="1" showErrorMessage="1" sqref="I138:AX138" xr:uid="{15BBED8E-0041-46BE-831A-FF14378BED1A}">
      <formula1>0.5</formula1>
      <formula2>1</formula2>
    </dataValidation>
    <dataValidation type="decimal" allowBlank="1" showInputMessage="1" showErrorMessage="1" errorTitle="Bereik 0,0-2,0" error="Ingevulde waarde valt buiten bereik." promptTitle="bij EMG-verklaring: 0,0" prompt=" " sqref="I140:AX141" xr:uid="{8A29092C-A42D-4226-9F70-7050174AB17A}">
      <formula1>0</formula1>
      <formula2>2</formula2>
    </dataValidation>
    <dataValidation type="decimal" operator="greaterThanOrEqual" allowBlank="1" showInputMessage="1" showErrorMessage="1" errorTitle="Bereik ≥0,0" error="Ingevulde waarde valt buiten bereik." promptTitle="bij EMG-verklaring: 0,0" prompt=" " sqref="I142:AX142" xr:uid="{0FAAA25F-D328-48D2-9BAE-F713D049410E}">
      <formula1>0</formula1>
    </dataValidation>
    <dataValidation type="decimal" allowBlank="1" showInputMessage="1" showErrorMessage="1" errorTitle="Bereik 0,1-15,0" error="De ingevoerde waarde valt buiten het bereik." promptTitle="bij EMG-verklaring: 100%" prompt=" " sqref="I146:N146 P146:AX146" xr:uid="{EFD90231-4F63-4E96-9CFC-A96356D00EF4}">
      <formula1>0.1</formula1>
      <formula2>15</formula2>
    </dataValidation>
    <dataValidation type="decimal" allowBlank="1" showInputMessage="1" showErrorMessage="1" errorTitle="Bereik 0,1-15,0" error="De ingevoerde waarde valt buiten het bereik." promptTitle="bij 'centraal': 1,000" prompt=" " sqref="I147:T147 V147:AX147" xr:uid="{11CAD9FF-8B85-4857-81F8-AC5B0607627A}">
      <formula1>0.1</formula1>
      <formula2>15</formula2>
    </dataValidation>
    <dataValidation type="decimal" showInputMessage="1" showErrorMessage="1" errorTitle="Bereik 0-50" error="De ingevulde waarde valt buiten het bereik." promptTitle="bij EMG-veklaring: 0" prompt=" " sqref="I148:AX148" xr:uid="{7E7F5BBE-57BD-44E5-9D6E-024D55EEC9A2}">
      <formula1>0</formula1>
      <formula2>50</formula2>
    </dataValidation>
    <dataValidation type="decimal" showInputMessage="1" showErrorMessage="1" errorTitle="Bereik 0,0-0,7" error="De ingevulde waarde valt buiten het bereik." promptTitle="bij EMG-veklaring: 0,000" prompt=" " sqref="I149:AX149" xr:uid="{7532409B-82A5-499A-8DA8-D63D4C84CF1D}">
      <formula1>0</formula1>
      <formula2>0.7</formula2>
    </dataValidation>
    <dataValidation type="decimal" showInputMessage="1" showErrorMessage="1" errorTitle="Bereik 0,0-0,5" error="De ingevulde waarde valt buiten het bereik." promptTitle="bij EMG-veklaring: 0,00" prompt=" " sqref="I150:AX150" xr:uid="{6ABB4136-9313-4369-94D1-BFF7EE94D83B}">
      <formula1>0</formula1>
      <formula2>0.5</formula2>
    </dataValidation>
    <dataValidation allowBlank="1" showInputMessage="1" showErrorMessage="1" promptTitle="bij EMG-veklaring: geen" prompt=" " sqref="I152:AX152" xr:uid="{8D11B1C3-8D3C-4ED8-8D03-1B3C9883641A}"/>
    <dataValidation type="decimal" showInputMessage="1" showErrorMessage="1" errorTitle="Bereik 0,00-0,01" error="De ingevulde waarde valt buiten het bereik." promptTitle="bij EMG-veklaring: 0,0000" prompt=" " sqref="I157:AX157" xr:uid="{73FA6B2A-353C-4A5F-B03A-353404CFF917}">
      <formula1>0</formula1>
      <formula2>0.01</formula2>
    </dataValidation>
    <dataValidation type="list" allowBlank="1" showInputMessage="1" showErrorMessage="1" errorTitle="Bereik ≥0,0" error="De ingevoerde waarde valt buiten het bereik." promptTitle="alleen bij 'centraal'" prompt=" _x000a_" sqref="I134:AX134" xr:uid="{1E3CF4DD-6911-4963-A5CB-CE4178BFDBCD}">
      <formula1>"0,1"</formula1>
    </dataValidation>
    <dataValidation type="list" allowBlank="1" showInputMessage="1" showErrorMessage="1" sqref="I144:AX144 I153:AX153" xr:uid="{1BE9EE0B-53D8-4A26-9211-B8BD6EE33533}">
      <formula1>energiedragers_geschikt_voor_TAP</formula1>
    </dataValidation>
    <dataValidation type="list" allowBlank="1" showInputMessage="1" showErrorMessage="1" sqref="I15:EB15" xr:uid="{00000000-0002-0000-0A00-000003000000}">
      <formula1>NulEen</formula1>
    </dataValidation>
    <dataValidation type="list" allowBlank="1" showInputMessage="1" showErrorMessage="1" sqref="I14:EB14" xr:uid="{DB9D2971-F283-4B87-8D8F-90C452C4CCF5}">
      <formula1>gebruiksfuncties_namen</formula1>
    </dataValidation>
    <dataValidation type="textLength" operator="lessThanOrEqual" allowBlank="1" showInputMessage="1" showErrorMessage="1" errorTitle="aantal karakters &gt;13" error="Het maximaal aantal karakters in de naam is 13." promptTitle="max 20 karakters in de naam" prompt="Beperk de naam van het type woning of utiliteitsgebouw tot maximaal 20 karakters ivm de leesbaarheid." sqref="I13:EB13" xr:uid="{6B233861-F685-4BE9-9537-8D3AF77BB518}">
      <formula1>20</formula1>
    </dataValidation>
    <dataValidation type="list" allowBlank="1" showInputMessage="1" showErrorMessage="1" sqref="I17:EB17" xr:uid="{03A5F0B7-0A8B-48AB-A01A-B503D53F4866}">
      <formula1>isolatiepakketten_gebouwschil_namen</formula1>
    </dataValidation>
    <dataValidation type="decimal" allowBlank="1" showInputMessage="1" showErrorMessage="1" errorTitle="Bereik 0,1-15,0" error="De ingevoerde waarde valt buiten het bereik." promptTitle="bij EMG-verklaring: 100%" prompt=" " sqref="O146" xr:uid="{05636036-F71F-488F-9A13-7F4EFBCFF062}">
      <formula1>0</formula1>
      <formula2>15</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407" xr:uid="{F204B2DC-4A43-4E2F-AC39-D0A76BD2F8F3}"/>
    <dataValidation type="list" allowBlank="1" showInputMessage="1" showErrorMessage="1" sqref="I82:BA82" xr:uid="{E239F5FF-DABC-4625-9C6B-29F5EC7DF187}">
      <mc:AlternateContent xmlns:x12ac="http://schemas.microsoft.com/office/spreadsheetml/2011/1/ac" xmlns:mc="http://schemas.openxmlformats.org/markup-compatibility/2006">
        <mc:Choice Requires="x12ac">
          <x12ac:list>"0,90","0,95","1,00"</x12ac:list>
        </mc:Choice>
        <mc:Fallback>
          <formula1>"0,90,0,95,1,00"</formula1>
        </mc:Fallback>
      </mc:AlternateContent>
    </dataValidation>
    <dataValidation type="decimal" allowBlank="1" showInputMessage="1" showErrorMessage="1" promptTitle="bij EMG-verklaring altijd 100%" prompt="Bij installaties met externe warmtelevering (geografisch niveau: 'centraal') en een EMG-verklaring is de dekkingsgraad van het preferente toestel altijd 100%." sqref="I90:BA90" xr:uid="{3DB9A9FF-2707-42DE-A191-AA66BD5DC381}">
      <formula1>0</formula1>
      <formula2>1</formula2>
    </dataValidation>
    <dataValidation type="decimal" allowBlank="1" showInputMessage="1" showErrorMessage="1" errorTitle="Bereik 0,1-15,0" error="De ingevoerde waarde valt buiten het bereik." promptTitle="bij 'centraal' altijd 1,000" prompt="Bij installaties geografisch niveau: 'centraal' is het opwekkingsrendement van het preferente toestel altijd 1,000." sqref="I91:BA91 U147" xr:uid="{FC46EFC5-5649-4BBA-B5A1-F19F6299843F}">
      <formula1>0.1</formula1>
      <formula2>30</formula2>
    </dataValidation>
    <dataValidation type="decimal" allowBlank="1" showInputMessage="1" showErrorMessage="1" errorTitle="Bereik 0-50" error="De ingevoerde waarde valt buiten het bereik." promptTitle="bij EMG-verklaring altijd 0" prompt="Bij installaties met externe warmtelevering (geografisch niveau: 'centraal') en een EMG-verklaring is de pompenergie aquifer altijd 0." sqref="I92:BA92" xr:uid="{178A693D-2A55-4F73-8072-58FCAE701C0E}">
      <formula1>0</formula1>
      <formula2>50</formula2>
    </dataValidation>
    <dataValidation type="decimal" allowBlank="1" showInputMessage="1" showErrorMessage="1" errorTitle="Bereik 0,0-0,7" error="De ingevoerde waarde valt buiten het bereik." promptTitle="bij EMG-verklaring altijd 0,000" prompt="Bij installaties met externe warmtelevering (geografisch niveau: 'centraal') en een EMG-verklaring is het elektrische omzettingsgetal van het preferente toestel altijd 0,000." sqref="I93:BA93" xr:uid="{07736C17-7F4C-48E0-8F8A-476D7985091D}">
      <formula1>0</formula1>
      <formula2>0.7</formula2>
    </dataValidation>
    <dataValidation type="list" allowBlank="1" showInputMessage="1" showErrorMessage="1" errorTitle="Bereik ≥0,0" error="De ingevoerde waarde valt buiten het bereik." promptTitle="alleen bij 'centraal'" sqref="I78:BA78" xr:uid="{6C8C5E51-5D55-4FB5-B1C2-5C6BC753153B}">
      <formula1>"0,1"</formula1>
    </dataValidation>
    <dataValidation allowBlank="1" showInputMessage="1" showErrorMessage="1" promptTitle="bij EMG-verklaring altijd 0,00" prompt="Bij installaties met externe warmtelevering (geografisch niveau: 'centraal') en een EMG-verklaring is de elektriciteitsderving van het preferente toestel altijd 0,000." sqref="I94:BA94" xr:uid="{40728D25-2345-45BA-BC34-EEF9C2BDF0DD}"/>
    <dataValidation allowBlank="1" showInputMessage="1" showErrorMessage="1" promptTitle="dekkinsgraad pref 100: 'geen'" prompt="Als de dekkingsgraad van het preferente toestel 100% is, moet hier 'geen' worden ingevuld." sqref="I96:BA96" xr:uid="{3C4910A4-8289-4DD8-8111-33530B67284F}"/>
    <dataValidation type="decimal" allowBlank="1" showInputMessage="1" showErrorMessage="1" errorTitle="Bereik 0-100" error="De ingevoerde waarde valt buiten het bereik." promptTitle="bij EMG-verklaring: 0,0" prompt=" " sqref="I101:BA101" xr:uid="{33217118-7F3D-4A1A-BFF7-E1CC5C90BA7B}">
      <formula1>0</formula1>
      <formula2>100</formula2>
    </dataValidation>
    <dataValidation type="decimal" allowBlank="1" showInputMessage="1" showErrorMessage="1" errorTitle="Bereik 0,0-1,0" error="De ingevoerde waarde valt buiten het bereik." promptTitle="bij EMG-verklaring: 0,000" prompt=" " sqref="I102:BA103" xr:uid="{6DBCB3E3-3890-4D88-B69B-1D195EFEE122}">
      <formula1>0</formula1>
      <formula2>1</formula2>
    </dataValidation>
    <dataValidation type="decimal" operator="greaterThanOrEqual" allowBlank="1" showInputMessage="1" showErrorMessage="1" errorTitle="Bereik ≥0,0" error="De ingevoerde waarde valt buiten het bereik." promptTitle="bij EMG-verklaring: 0" prompt=" " sqref="I104:BA104" xr:uid="{56CA5FC8-F7B8-4FF2-8133-8CE712240ECB}">
      <formula1>0</formula1>
    </dataValidation>
    <dataValidation type="decimal" allowBlank="1" showInputMessage="1" showErrorMessage="1" errorTitle="Bereik 0-1" error="De ingevoerde waarde valt buiten het bereik." promptTitle="bij EMG-verklaring: 0" prompt=" " sqref="I105:BA105" xr:uid="{99DEF0EE-01F5-4D68-95FB-9B6060F16910}">
      <formula1>0</formula1>
      <formula2>1</formula2>
    </dataValidation>
    <dataValidation type="decimal" allowBlank="1" showInputMessage="1" showErrorMessage="1" errorTitle="Bereik 0-10" error="De ingevoerde waarde valt buiten het bereik." promptTitle="bij EMG-verklaring: 0,0" prompt=" " sqref="I106:BA106" xr:uid="{96DFC818-B1B1-4102-994D-F2310C35A68E}">
      <formula1>0</formula1>
      <formula2>10</formula2>
    </dataValidation>
    <dataValidation type="decimal" allowBlank="1" showInputMessage="1" showErrorMessage="1" errorTitle="Bereik 0-8760" error="De ingevoerde waarde valt buiten het bereik." promptTitle="bij EMG-verklaring: 0" prompt=" " sqref="I107:BA107" xr:uid="{A6C34AE8-081B-43DF-8358-1EC055D6C99E}">
      <formula1>0</formula1>
      <formula2>8760</formula2>
    </dataValidation>
    <dataValidation type="decimal" allowBlank="1" showInputMessage="1" showErrorMessage="1" errorTitle="Bereik 0,00-0,01" error="De ingevoerde waarde valt buiten het bereik." promptTitle="bij EMG-verklaring: 0,0000" prompt=" " sqref="I109:BA109" xr:uid="{B938E806-F0FC-45D8-8B15-9F43E0CDBAF1}">
      <formula1>0</formula1>
      <formula2>0.01</formula2>
    </dataValidation>
    <dataValidation type="decimal" allowBlank="1" showInputMessage="1" showErrorMessage="1" errorTitle="Bereik 0,0-0,1" error="De ingevoerde waarde valt buiten het bereik." promptTitle="bij EMG-verklaring: 0,000" prompt=" " sqref="I110:BA110" xr:uid="{54D1F4DD-A5C3-41CB-BDE9-8955CF67B25B}">
      <formula1>0</formula1>
      <formula2>0.1</formula2>
    </dataValidation>
    <dataValidation type="decimal" operator="greaterThanOrEqual" allowBlank="1" showInputMessage="1" showErrorMessage="1" errorTitle="Bereik 0,0-2,0" error="De ingevoerde waarde valt buiten het bereik." promptTitle="bij EMG-verklaring: 0,0" prompt=" " sqref="I84:BA85" xr:uid="{F78D557F-E2A4-42C8-A773-9E09C048145E}">
      <formula1>0</formula1>
    </dataValidation>
    <dataValidation type="decimal" operator="greaterThanOrEqual" allowBlank="1" showInputMessage="1" showErrorMessage="1" errorTitle="Bereik ≥0,0" error="De ingevoerde waarde valt buiten het bereik." promptTitle="bij EMG-verklaring: 0,0" prompt=" " sqref="I86:BA86" xr:uid="{60C06FC5-DD77-42B7-94D5-7922EF221BA8}">
      <formula1>0</formula1>
    </dataValidation>
    <dataValidation type="list" allowBlank="1" showInputMessage="1" showErrorMessage="1" sqref="I88:BA88 I97:BA97" xr:uid="{0BA5E193-2C2A-4B76-B466-B47BFBEFB36A}">
      <formula1>energiedragers_geschikt_voor_RV</formula1>
    </dataValidation>
    <dataValidation allowBlank="1" showInputMessage="1" showErrorMessage="1" promptTitle="externe warmte kwaliteitsverkl." prompt="Externe warmtelevering voor verwarming waarvoor een kwaliteitsverklaring op basis van bijlage P van NTA8800 beschikbaar is." sqref="AE217:AF217 AC217 X217:Z217" xr:uid="{2621C369-387F-4A01-8EAF-793DC5AC66F5}"/>
    <dataValidation allowBlank="1" showInputMessage="1" showErrorMessage="1" promptTitle="externe warmte forfaitair" prompt="Externe warmtelevering voor verwarming waarvoor GEEN kwaliteitsverklaring op basis van bijlage P van NTA8800 beschikbaar is." sqref="P217" xr:uid="{DCFF869D-9658-45DD-8CD7-9DD8DA18E77C}"/>
    <dataValidation allowBlank="1" showInputMessage="1" showErrorMessage="1" promptTitle="externe koude forfaitair" prompt="Externe koudelevering voor koeling waarvoor GEEN kwaliteitsverklaring op basis van bijlage P van NTA8800 beschikbaar is." sqref="Q217" xr:uid="{D632DF66-64D4-4C96-86C8-F331BA870608}"/>
    <dataValidation allowBlank="1" showInputMessage="1" showErrorMessage="1" promptTitle="externe koude kwaliteitsverkl." prompt="Externe koudelevering voor koeling waarvoor een kwaliteitsverklaring op basis van bijlage P van NTA8800 beschikbaar is." sqref="AD217" xr:uid="{38BED0F4-4888-46B9-B5ED-431586D2ED41}"/>
    <dataValidation allowBlank="1" showInputMessage="1" showErrorMessage="1" promptTitle="Waterstof (groen)" prompt="Impact waterstof op basis van CO2indicatoren.nl (op 23-4-2025: 1,140 Kg CO₂-eq/kg) &gt; 0,000033kg/kWh" sqref="AA217" xr:uid="{234D0818-9B89-4349-A035-C69FDD0263E1}"/>
    <dataValidation allowBlank="1" showInputMessage="1" showErrorMessage="1" promptTitle="Waterstof (grijs)" prompt="Impact waterstof op basis van CO2indicatoren.nl (op 23-4-2025: 12,516 Kg CO₂-eq/kg) &gt; 0,000375kg/kWh" sqref="AB217" xr:uid="{E08CE867-16BA-4E48-A62F-AF5B66E6D7F0}"/>
    <dataValidation type="list" allowBlank="1" showInputMessage="1" showErrorMessage="1" sqref="N167:S167 I133:T133 V133:AD133 AF133:AX133" xr:uid="{00000000-0002-0000-0A00-000000000000}">
      <formula1>$I$466:$K$466</formula1>
    </dataValidation>
    <dataValidation allowBlank="1" showInputMessage="1" showErrorMessage="1" promptTitle="EMG verklaring" prompt="Bij geografisch niveau 'centraal': de externe warmtelevering heeft een kwaliteitsverklaring cf NTA 8800, bijlage P." sqref="D78" xr:uid="{A01C1476-16E4-47CA-B1C4-A3BDB665D481}"/>
    <dataValidation allowBlank="1" showInputMessage="1" showErrorMessage="1" promptTitle="elek omzettingsgetal WKK" prompt="Het elektrische omzettingsgetal voor WKK._x000a_Voorbeelden in NTA 8800._x000a__x000a_NB als hier een waarde wordt ingevuld moet de waarde in de volgende regel (over elektriciteitsderving bij WKK) nul zijn._x000a__x000a_Dat geldt omgekeerd ook." sqref="D93" xr:uid="{4526155C-2423-44B2-9F21-D45C5F79DE40}"/>
    <dataValidation allowBlank="1" showInputMessage="1" showErrorMessage="1" promptTitle="elektr. derving aftapwarmte" prompt="Verhouding elektriciteitsderving Δε;chp;el en jaargemiddelde thermische omzettingsgetal van WKK ε;chp;th._x000a__x000a_forfaitair 0,18 (NEN 7125)_x000a_NEN 7125 (WKK installaties met derving.)" sqref="D94" xr:uid="{C48D23B4-43B5-4874-8E4D-F40760CFF5E0}"/>
  </dataValidations>
  <hyperlinks>
    <hyperlink ref="J313" r:id="rId1" location="/CBS/nl/dataset/81528NED/table?ts=1554110396669" xr:uid="{7A49E362-062A-430E-9076-588BBDA2B22F}"/>
    <hyperlink ref="J314" r:id="rId2" location="/CBS/nl/dataset/82550NED/table?ts=1554109983459" xr:uid="{B2373D25-5C5F-484D-AD49-F1E0D545640D}"/>
    <hyperlink ref="E307" r:id="rId3" xr:uid="{EBC1AB2A-F9F3-4373-A5C3-2D805704A857}"/>
    <hyperlink ref="E446" r:id="rId4" display="De energielabelgrenzen zijn overgenomen uit 'Conceptregeling bepalingsmethodiek energieprestatie en inijking energielabels'" xr:uid="{E446BB85-799C-4D9F-ABBD-05FF72EF0D2C}"/>
    <hyperlink ref="E426" r:id="rId5" xr:uid="{2448417B-2880-4C3D-9055-80C961213182}"/>
    <hyperlink ref="E412" r:id="rId6" tooltip="besluit over BENG in het Staatsblad" xr:uid="{70A41905-1DF7-4B02-B299-9BD6F53CBB9A}"/>
    <hyperlink ref="E251" r:id="rId7" tooltip="bron EMG-verklaringen" xr:uid="{100DE91F-9E0D-47BC-812A-3FAFB943EC11}"/>
    <hyperlink ref="O111" r:id="rId8" xr:uid="{009E4363-F229-4362-A315-7CEFB755D3D7}"/>
    <hyperlink ref="O159" r:id="rId9" xr:uid="{5E24B4C5-1411-49E6-A6C0-B0A0A5E03980}"/>
    <hyperlink ref="E409" r:id="rId10" tooltip="besluit over BENG in het Staatsblad" xr:uid="{D19A34BE-91F6-43A2-8795-E387EB19CF9C}"/>
  </hyperlinks>
  <printOptions horizontalCentered="1"/>
  <pageMargins left="0.27559055118110237" right="0.27559055118110237" top="0.51181102362204722" bottom="0.23622047244094491" header="0.51181102362204722" footer="0.23622047244094491"/>
  <pageSetup paperSize="9" scale="10" orientation="portrait" r:id="rId11"/>
  <headerFooter alignWithMargins="0">
    <oddFooter>&amp;L_x000D_&amp;1#&amp;"Calibri"&amp;10&amp;K000000 Intern gebruik</oddFooter>
  </headerFooter>
  <ignoredErrors>
    <ignoredError sqref="T372:T373" unlockedFormula="1"/>
  </ignoredErrors>
  <drawing r:id="rId12"/>
  <legacyDrawing r:id="rId13"/>
  <extLst>
    <ext xmlns:x14="http://schemas.microsoft.com/office/spreadsheetml/2009/9/main" uri="{78C0D931-6437-407d-A8EE-F0AAD7539E65}">
      <x14:conditionalFormattings>
        <x14:conditionalFormatting xmlns:xm="http://schemas.microsoft.com/office/excel/2006/main">
          <x14:cfRule type="dataBar" id="{AE131E70-2231-4B09-9066-E04D54D89432}">
            <x14:dataBar minLength="0" maxLength="100" border="1" negativeBarBorderColorSameAsPositive="0">
              <x14:cfvo type="autoMin"/>
              <x14:cfvo type="autoMax"/>
              <x14:borderColor rgb="FF638EC6"/>
              <x14:negativeFillColor rgb="FFFF0000"/>
              <x14:negativeBorderColor rgb="FFFF0000"/>
              <x14:axisColor rgb="FF000000"/>
            </x14:dataBar>
          </x14:cfRule>
          <xm:sqref>I385:N385</xm:sqref>
        </x14:conditionalFormatting>
        <x14:conditionalFormatting xmlns:xm="http://schemas.microsoft.com/office/excel/2006/main">
          <x14:cfRule type="dataBar" id="{030D5D8A-7B40-4792-A2BB-75EF26F48F80}">
            <x14:dataBar minLength="0" maxLength="100" border="1" negativeBarBorderColorSameAsPositive="0">
              <x14:cfvo type="autoMin"/>
              <x14:cfvo type="autoMax"/>
              <x14:borderColor rgb="FF638EC6"/>
              <x14:negativeFillColor rgb="FFFF0000"/>
              <x14:negativeBorderColor rgb="FFFF0000"/>
              <x14:axisColor rgb="FF000000"/>
            </x14:dataBar>
          </x14:cfRule>
          <xm:sqref>I375:T375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43D9-62FD-49B1-8950-5E666D520DC7}">
  <sheetPr codeName="Blad14">
    <tabColor rgb="FF0070C0"/>
    <pageSetUpPr fitToPage="1"/>
  </sheetPr>
  <dimension ref="B1:BH27"/>
  <sheetViews>
    <sheetView showGridLines="0" showRowColHeaders="0" zoomScaleNormal="100" workbookViewId="0">
      <pane ySplit="4" topLeftCell="A5" activePane="bottomLeft" state="frozen"/>
      <selection activeCell="E8" sqref="E8"/>
      <selection pane="bottomLeft"/>
    </sheetView>
  </sheetViews>
  <sheetFormatPr defaultRowHeight="10.5" customHeight="1"/>
  <cols>
    <col min="1" max="1" width="0.5703125" customWidth="1"/>
    <col min="2" max="4" width="2.7109375" customWidth="1"/>
    <col min="5" max="5" width="117.7109375" customWidth="1"/>
  </cols>
  <sheetData>
    <row r="1" spans="2:60" s="822" customFormat="1" ht="21">
      <c r="B1" s="816"/>
      <c r="C1" s="816"/>
      <c r="D1" s="816"/>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2:60" ht="26.25">
      <c r="B2" s="3"/>
      <c r="C2" s="828"/>
      <c r="D2" s="829"/>
      <c r="E2" s="68" t="s">
        <v>981</v>
      </c>
      <c r="F2" s="3"/>
      <c r="G2" s="79"/>
      <c r="H2" s="3"/>
      <c r="I2" s="3"/>
      <c r="J2" s="3"/>
      <c r="K2" s="3"/>
      <c r="L2" s="3"/>
      <c r="M2" s="3"/>
      <c r="N2" s="3"/>
      <c r="O2" s="3"/>
      <c r="P2" s="3"/>
      <c r="Q2" s="3"/>
      <c r="R2" s="3"/>
      <c r="S2" s="3"/>
      <c r="T2" s="3"/>
    </row>
    <row r="3" spans="2:60" ht="12.75">
      <c r="B3" s="15"/>
      <c r="C3" s="39"/>
      <c r="D3" s="827"/>
      <c r="E3" s="850" t="s">
        <v>2023</v>
      </c>
      <c r="F3" s="15"/>
      <c r="G3" s="15"/>
      <c r="H3" s="15"/>
      <c r="I3" s="15"/>
      <c r="J3" s="15"/>
      <c r="K3" s="15"/>
      <c r="L3" s="15"/>
      <c r="M3" s="15"/>
      <c r="N3" s="15"/>
      <c r="O3" s="15"/>
      <c r="P3" s="15"/>
      <c r="Q3" s="15"/>
      <c r="R3" s="15"/>
      <c r="S3" s="15"/>
      <c r="T3" s="15"/>
    </row>
    <row r="4" spans="2:60" ht="15.75">
      <c r="B4" s="51"/>
      <c r="C4" s="40"/>
      <c r="D4" s="51"/>
      <c r="E4" s="58"/>
      <c r="F4" s="51"/>
      <c r="G4" s="51"/>
      <c r="H4" s="51"/>
      <c r="I4" s="51"/>
      <c r="J4" s="51"/>
      <c r="K4" s="51"/>
      <c r="L4" s="51"/>
      <c r="M4" s="51"/>
      <c r="N4" s="51"/>
      <c r="O4" s="51"/>
      <c r="P4" s="51"/>
      <c r="Q4" s="51"/>
      <c r="R4" s="51"/>
      <c r="S4" s="51"/>
      <c r="T4" s="51"/>
    </row>
    <row r="5" spans="2:60" ht="15.75">
      <c r="B5" s="51"/>
      <c r="C5" s="41"/>
      <c r="D5" s="51"/>
      <c r="E5" s="42" t="s">
        <v>982</v>
      </c>
      <c r="F5" s="51"/>
      <c r="G5" s="51"/>
      <c r="H5" s="51"/>
      <c r="I5" s="51"/>
      <c r="J5" s="51"/>
      <c r="K5" s="51"/>
      <c r="L5" s="51"/>
      <c r="M5" s="51"/>
      <c r="N5" s="51"/>
      <c r="O5" s="51"/>
      <c r="P5" s="51"/>
      <c r="Q5" s="51"/>
      <c r="R5" s="51"/>
      <c r="S5" s="51"/>
      <c r="T5" s="51"/>
    </row>
    <row r="6" spans="2:60" ht="15.75">
      <c r="B6" s="51"/>
      <c r="C6" s="45"/>
      <c r="D6" s="51"/>
      <c r="E6" s="726" t="s">
        <v>983</v>
      </c>
      <c r="F6" s="51"/>
      <c r="G6" s="51"/>
      <c r="H6" s="51"/>
      <c r="I6" s="51"/>
      <c r="J6" s="51"/>
      <c r="K6" s="51"/>
      <c r="L6" s="51"/>
      <c r="M6" s="51"/>
      <c r="N6" s="51"/>
      <c r="O6" s="51"/>
      <c r="P6" s="51"/>
      <c r="Q6" s="51"/>
      <c r="R6" s="51"/>
      <c r="S6" s="51"/>
      <c r="T6" s="51"/>
    </row>
    <row r="7" spans="2:60" ht="15.75">
      <c r="B7" s="51"/>
      <c r="C7" s="45"/>
      <c r="D7" s="51"/>
      <c r="E7" s="727" t="s">
        <v>984</v>
      </c>
      <c r="F7" s="51"/>
      <c r="G7" s="51"/>
      <c r="H7" s="51"/>
      <c r="I7" s="51"/>
      <c r="J7" s="51"/>
      <c r="K7" s="51"/>
      <c r="L7" s="51"/>
      <c r="M7" s="51"/>
      <c r="N7" s="51"/>
      <c r="O7" s="51"/>
      <c r="P7" s="51"/>
      <c r="Q7" s="51"/>
      <c r="R7" s="51"/>
      <c r="S7" s="51"/>
      <c r="T7" s="51"/>
    </row>
    <row r="8" spans="2:60" ht="15.75">
      <c r="B8" s="51"/>
      <c r="C8" s="45"/>
      <c r="D8" s="51"/>
      <c r="E8" s="728" t="s">
        <v>985</v>
      </c>
      <c r="F8" s="51"/>
      <c r="G8" s="51"/>
      <c r="H8" s="51"/>
      <c r="I8" s="51"/>
      <c r="J8" s="51"/>
      <c r="K8" s="51"/>
      <c r="L8" s="51"/>
      <c r="M8" s="51"/>
      <c r="N8" s="51"/>
      <c r="O8" s="51"/>
      <c r="P8" s="51"/>
      <c r="Q8" s="51"/>
      <c r="R8" s="51"/>
      <c r="S8" s="51"/>
      <c r="T8" s="51"/>
    </row>
    <row r="9" spans="2:60" ht="15.75">
      <c r="B9" s="51"/>
      <c r="C9" s="45"/>
      <c r="D9" s="51"/>
      <c r="E9" s="730"/>
      <c r="F9" s="51"/>
      <c r="G9" s="51"/>
      <c r="H9" s="51"/>
      <c r="I9" s="51"/>
      <c r="J9" s="51"/>
      <c r="K9" s="51"/>
      <c r="L9" s="51"/>
      <c r="M9" s="51"/>
      <c r="N9" s="51"/>
      <c r="O9" s="51"/>
      <c r="P9" s="51"/>
      <c r="Q9" s="51"/>
      <c r="R9" s="51"/>
      <c r="S9" s="51"/>
      <c r="T9" s="51"/>
    </row>
    <row r="10" spans="2:60" ht="15.75">
      <c r="B10" s="51"/>
      <c r="C10" s="45"/>
      <c r="D10" s="51"/>
      <c r="E10" s="731"/>
      <c r="F10" s="51"/>
      <c r="G10" s="51"/>
      <c r="H10" s="51"/>
      <c r="I10" s="51"/>
      <c r="J10" s="51"/>
      <c r="K10" s="51"/>
      <c r="L10" s="51"/>
      <c r="M10" s="51"/>
      <c r="N10" s="51"/>
      <c r="O10" s="51"/>
      <c r="P10" s="51"/>
      <c r="Q10" s="51"/>
      <c r="R10" s="51"/>
      <c r="S10" s="51"/>
      <c r="T10" s="51"/>
    </row>
    <row r="11" spans="2:60" ht="15.75">
      <c r="B11" s="51"/>
      <c r="C11" s="45"/>
      <c r="D11" s="51"/>
      <c r="E11" s="729" t="s">
        <v>986</v>
      </c>
      <c r="F11" s="51"/>
      <c r="G11" s="51"/>
      <c r="H11" s="51"/>
      <c r="I11" s="51"/>
      <c r="J11" s="51"/>
      <c r="K11" s="51"/>
      <c r="L11" s="51"/>
      <c r="M11" s="51"/>
      <c r="N11" s="51"/>
      <c r="O11" s="51"/>
      <c r="P11" s="51"/>
      <c r="Q11" s="51"/>
      <c r="R11" s="51"/>
      <c r="S11" s="51"/>
      <c r="T11" s="51"/>
    </row>
    <row r="12" spans="2:60" ht="15.75">
      <c r="B12" s="51"/>
      <c r="C12" s="45"/>
      <c r="D12" s="51"/>
      <c r="E12" s="732"/>
      <c r="F12" s="51"/>
      <c r="G12" s="51"/>
      <c r="H12" s="51"/>
      <c r="I12" s="51"/>
      <c r="J12" s="51"/>
      <c r="K12" s="51"/>
      <c r="L12" s="51"/>
      <c r="M12" s="51"/>
      <c r="N12" s="51"/>
      <c r="O12" s="51"/>
      <c r="P12" s="51"/>
      <c r="Q12" s="51"/>
      <c r="R12" s="51"/>
      <c r="S12" s="51"/>
      <c r="T12" s="51"/>
    </row>
    <row r="13" spans="2:60" ht="15.75">
      <c r="B13" s="51"/>
      <c r="C13" s="45"/>
      <c r="D13" s="51"/>
      <c r="E13" s="733"/>
      <c r="F13" s="51"/>
      <c r="G13" s="51"/>
      <c r="H13" s="51"/>
      <c r="I13" s="51"/>
      <c r="J13" s="51"/>
      <c r="K13" s="51"/>
      <c r="L13" s="51"/>
      <c r="M13" s="51"/>
      <c r="N13" s="51"/>
      <c r="O13" s="51"/>
      <c r="P13" s="51"/>
      <c r="Q13" s="51"/>
      <c r="R13" s="51"/>
      <c r="S13" s="51"/>
      <c r="T13" s="51"/>
    </row>
    <row r="14" spans="2:60" ht="15.75">
      <c r="B14" s="51"/>
      <c r="C14" s="51"/>
      <c r="D14" s="51"/>
      <c r="E14" s="51"/>
      <c r="F14" s="51"/>
      <c r="G14" s="51"/>
      <c r="H14" s="51"/>
      <c r="I14" s="51"/>
      <c r="J14" s="51"/>
      <c r="K14" s="51"/>
      <c r="L14" s="51"/>
      <c r="M14" s="51"/>
      <c r="N14" s="51"/>
      <c r="O14" s="51"/>
      <c r="P14" s="51"/>
      <c r="Q14" s="51"/>
      <c r="R14" s="51"/>
      <c r="S14" s="51"/>
      <c r="T14" s="51"/>
    </row>
    <row r="15" spans="2:60" ht="15.75">
      <c r="B15" s="51"/>
      <c r="C15" s="41"/>
      <c r="D15" s="51"/>
      <c r="E15" s="42" t="s">
        <v>418</v>
      </c>
      <c r="F15" s="51"/>
      <c r="G15" s="51"/>
      <c r="H15" s="51"/>
      <c r="I15" s="51"/>
      <c r="J15" s="51"/>
      <c r="K15" s="51"/>
      <c r="L15" s="51"/>
      <c r="M15" s="51"/>
      <c r="N15" s="51"/>
      <c r="O15" s="51"/>
      <c r="P15" s="51"/>
      <c r="Q15" s="51"/>
      <c r="R15" s="51"/>
      <c r="S15" s="51"/>
      <c r="T15" s="51"/>
    </row>
    <row r="16" spans="2:60" ht="78.75">
      <c r="B16" s="51"/>
      <c r="C16" s="43"/>
      <c r="D16" s="51"/>
      <c r="E16" s="44" t="s">
        <v>987</v>
      </c>
      <c r="F16" s="51"/>
      <c r="G16" s="51"/>
      <c r="H16" s="51"/>
      <c r="I16" s="51"/>
      <c r="J16" s="51"/>
      <c r="K16" s="51"/>
      <c r="L16" s="51"/>
      <c r="M16" s="51"/>
      <c r="N16" s="51"/>
      <c r="O16" s="51"/>
      <c r="P16" s="51"/>
      <c r="Q16" s="51"/>
      <c r="R16" s="51"/>
      <c r="S16" s="51"/>
      <c r="T16" s="51"/>
    </row>
    <row r="17" spans="2:20" ht="15.75">
      <c r="B17" s="51"/>
      <c r="C17" s="51"/>
      <c r="D17" s="51"/>
      <c r="E17" s="51"/>
      <c r="F17" s="51"/>
      <c r="G17" s="51"/>
      <c r="H17" s="51"/>
      <c r="I17" s="51"/>
      <c r="J17" s="51"/>
      <c r="K17" s="51"/>
      <c r="L17" s="51"/>
      <c r="M17" s="51"/>
      <c r="N17" s="51"/>
      <c r="O17" s="51"/>
      <c r="P17" s="51"/>
      <c r="Q17" s="51"/>
      <c r="R17" s="51"/>
      <c r="S17" s="51"/>
      <c r="T17" s="51"/>
    </row>
    <row r="18" spans="2:20" ht="15.75">
      <c r="B18" s="51"/>
      <c r="C18" s="41"/>
      <c r="D18" s="51"/>
      <c r="E18" s="42" t="s">
        <v>988</v>
      </c>
      <c r="F18" s="51"/>
      <c r="G18" s="51"/>
      <c r="H18" s="51"/>
      <c r="I18" s="51"/>
      <c r="J18" s="51"/>
      <c r="K18" s="51"/>
      <c r="L18" s="51"/>
      <c r="M18" s="51"/>
      <c r="N18" s="51"/>
      <c r="O18" s="51"/>
      <c r="P18" s="51"/>
      <c r="Q18" s="51"/>
      <c r="R18" s="51"/>
      <c r="S18" s="51"/>
      <c r="T18" s="51"/>
    </row>
    <row r="19" spans="2:20" ht="409.5">
      <c r="B19" s="51"/>
      <c r="C19" s="45"/>
      <c r="D19" s="51"/>
      <c r="E19" s="48" t="s">
        <v>1976</v>
      </c>
      <c r="F19" s="51"/>
      <c r="G19" s="51"/>
      <c r="H19" s="51"/>
      <c r="I19" s="51"/>
      <c r="J19" s="51"/>
      <c r="K19" s="51"/>
      <c r="L19" s="51"/>
      <c r="M19" s="51"/>
      <c r="N19" s="51"/>
      <c r="O19" s="51"/>
      <c r="P19" s="51"/>
      <c r="Q19" s="51"/>
      <c r="R19" s="51"/>
      <c r="S19" s="51"/>
      <c r="T19" s="51"/>
    </row>
    <row r="20" spans="2:20" ht="204.75">
      <c r="B20" s="51"/>
      <c r="C20" s="51"/>
      <c r="D20" s="51"/>
      <c r="E20" s="48" t="s">
        <v>989</v>
      </c>
      <c r="F20" s="51"/>
      <c r="G20" s="51"/>
      <c r="H20" s="51"/>
      <c r="I20" s="51"/>
      <c r="J20" s="51"/>
      <c r="K20" s="51"/>
      <c r="L20" s="51"/>
      <c r="M20" s="51"/>
      <c r="N20" s="51"/>
      <c r="O20" s="51"/>
      <c r="P20" s="51"/>
      <c r="Q20" s="51"/>
      <c r="R20" s="51"/>
      <c r="S20" s="51"/>
      <c r="T20" s="51"/>
    </row>
    <row r="21" spans="2:20" ht="15.75">
      <c r="B21" s="51"/>
      <c r="C21" s="51"/>
      <c r="D21" s="51"/>
      <c r="E21" s="51"/>
      <c r="F21" s="51"/>
      <c r="G21" s="51"/>
      <c r="H21" s="51"/>
      <c r="I21" s="51"/>
      <c r="J21" s="51"/>
      <c r="K21" s="51"/>
      <c r="L21" s="51"/>
      <c r="M21" s="51"/>
      <c r="N21" s="51"/>
      <c r="O21" s="51"/>
      <c r="P21" s="51"/>
      <c r="Q21" s="51"/>
      <c r="R21" s="51"/>
      <c r="S21" s="51"/>
      <c r="T21" s="51"/>
    </row>
    <row r="22" spans="2:20" ht="15.75">
      <c r="B22" s="51"/>
      <c r="C22" s="41"/>
      <c r="D22" s="51"/>
      <c r="E22" s="42" t="s">
        <v>990</v>
      </c>
      <c r="F22" s="51"/>
      <c r="G22" s="51"/>
      <c r="H22" s="51"/>
      <c r="I22" s="51"/>
      <c r="J22" s="51"/>
      <c r="K22" s="51"/>
      <c r="L22" s="51"/>
      <c r="M22" s="51"/>
      <c r="N22" s="51"/>
      <c r="O22" s="51"/>
      <c r="P22" s="51"/>
      <c r="Q22" s="51"/>
      <c r="R22" s="51"/>
      <c r="S22" s="51"/>
      <c r="T22" s="51"/>
    </row>
    <row r="23" spans="2:20" ht="204.75">
      <c r="B23" s="51"/>
      <c r="C23" s="46"/>
      <c r="D23" s="51"/>
      <c r="E23" s="44" t="s">
        <v>991</v>
      </c>
      <c r="F23" s="51"/>
      <c r="G23" s="51"/>
      <c r="H23" s="51"/>
      <c r="I23" s="51"/>
      <c r="J23" s="51"/>
      <c r="K23" s="51"/>
      <c r="L23" s="51"/>
      <c r="M23" s="51"/>
      <c r="N23" s="51"/>
      <c r="O23" s="51"/>
      <c r="P23" s="51"/>
      <c r="Q23" s="51"/>
      <c r="R23" s="51"/>
      <c r="S23" s="51"/>
      <c r="T23" s="51"/>
    </row>
    <row r="24" spans="2:20" ht="15.75">
      <c r="B24" s="51"/>
      <c r="C24" s="47"/>
      <c r="D24" s="51"/>
      <c r="E24" s="52"/>
      <c r="F24" s="51"/>
      <c r="G24" s="51"/>
      <c r="H24" s="51"/>
      <c r="I24" s="51"/>
      <c r="J24" s="51"/>
      <c r="K24" s="51"/>
      <c r="L24" s="51"/>
      <c r="M24" s="51"/>
      <c r="N24" s="51"/>
      <c r="O24" s="51"/>
      <c r="P24" s="51"/>
      <c r="Q24" s="51"/>
      <c r="R24" s="51"/>
      <c r="S24" s="51"/>
      <c r="T24" s="51"/>
    </row>
    <row r="25" spans="2:20" ht="15.75">
      <c r="B25" s="51"/>
      <c r="C25" s="49"/>
      <c r="D25" s="51"/>
      <c r="E25" s="42" t="s">
        <v>417</v>
      </c>
      <c r="F25" s="51"/>
      <c r="G25" s="51"/>
      <c r="H25" s="51"/>
      <c r="I25" s="51"/>
      <c r="J25" s="51"/>
      <c r="K25" s="51"/>
      <c r="L25" s="51"/>
      <c r="M25" s="51"/>
      <c r="N25" s="51"/>
      <c r="O25" s="51"/>
      <c r="P25" s="51"/>
      <c r="Q25" s="51"/>
      <c r="R25" s="51"/>
      <c r="S25" s="51"/>
      <c r="T25" s="51"/>
    </row>
    <row r="26" spans="2:20" ht="157.5">
      <c r="B26" s="51"/>
      <c r="C26" s="51"/>
      <c r="D26" s="51"/>
      <c r="E26" s="48" t="s">
        <v>992</v>
      </c>
      <c r="F26" s="51"/>
      <c r="G26" s="51"/>
      <c r="H26" s="51"/>
      <c r="I26" s="51"/>
      <c r="J26" s="51"/>
      <c r="K26" s="51"/>
      <c r="L26" s="51"/>
      <c r="M26" s="51"/>
      <c r="N26" s="51"/>
      <c r="O26" s="51"/>
      <c r="P26" s="51"/>
      <c r="Q26" s="51"/>
      <c r="R26" s="51"/>
      <c r="S26" s="51"/>
      <c r="T26" s="51"/>
    </row>
    <row r="27" spans="2:20" ht="15.75">
      <c r="B27" s="51"/>
      <c r="C27" s="40"/>
      <c r="D27" s="51"/>
      <c r="E27" s="40"/>
      <c r="F27" s="51"/>
      <c r="G27" s="51"/>
      <c r="H27" s="51"/>
      <c r="I27" s="51"/>
      <c r="J27" s="51"/>
      <c r="K27" s="51"/>
      <c r="L27" s="51"/>
      <c r="M27" s="51"/>
      <c r="N27" s="51"/>
      <c r="O27" s="51"/>
      <c r="P27" s="51"/>
      <c r="Q27" s="51"/>
      <c r="R27" s="51"/>
      <c r="S27" s="51"/>
      <c r="T27" s="51"/>
    </row>
  </sheetData>
  <sheetProtection algorithmName="SHA-512" hashValue="Hrt/nhayFUabEt446llAbDhMpQpXYV3hVJJzN4s+4oAmcjY6dwQSOkRqSLtunJaxvS/6SBmKL/ovqai6B5gsOw==" saltValue="b0ob2nmEc8CC7y2Iv6L8jQ==" spinCount="100000" sheet="1" objects="1" scenarios="1" formatColumns="0" autoFilter="0"/>
  <pageMargins left="0.25" right="0.25" top="0.75" bottom="0.75" header="0.3" footer="0.3"/>
  <pageSetup paperSize="9" scale="17" fitToHeight="0" orientation="portrait" r:id="rId1"/>
  <headerFooter>
    <oddFooter>&amp;L_x000D_&amp;1#&amp;"Calibri"&amp;10&amp;K000000 Intern gebruik</oddFooter>
  </headerFooter>
  <rowBreaks count="1" manualBreakCount="1">
    <brk id="24" min="2" max="1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3EB8-836C-4C5F-919C-DECC3BE16CEC}">
  <sheetPr codeName="Blad12">
    <tabColor theme="6" tint="0.39997558519241921"/>
  </sheetPr>
  <dimension ref="A2:AS22"/>
  <sheetViews>
    <sheetView showRowColHeaders="0" zoomScaleNormal="100" workbookViewId="0">
      <pane ySplit="3" topLeftCell="A4" activePane="bottomLeft" state="frozen"/>
      <selection pane="bottomLeft" activeCell="E4" sqref="E4:F4"/>
    </sheetView>
  </sheetViews>
  <sheetFormatPr defaultColWidth="9.140625" defaultRowHeight="15"/>
  <cols>
    <col min="1" max="1" width="2" style="868" customWidth="1"/>
    <col min="2" max="2" width="11.7109375" customWidth="1"/>
    <col min="3" max="3" width="2" style="868" customWidth="1"/>
    <col min="4" max="11" width="11.7109375" customWidth="1"/>
    <col min="12" max="12" width="6.7109375" customWidth="1"/>
    <col min="13" max="13" width="15.5703125" customWidth="1"/>
    <col min="14" max="14" width="2" style="868" customWidth="1"/>
    <col min="15" max="22" width="11.7109375" customWidth="1"/>
    <col min="23" max="23" width="6.7109375" customWidth="1"/>
    <col min="24" max="24" width="11.7109375" customWidth="1"/>
    <col min="25" max="25" width="2" style="868" customWidth="1"/>
    <col min="26" max="33" width="11.7109375" customWidth="1"/>
    <col min="34" max="34" width="6.7109375" customWidth="1"/>
    <col min="35" max="35" width="15.5703125" customWidth="1"/>
    <col min="36" max="36" width="2" style="868" customWidth="1"/>
    <col min="37" max="44" width="11.85546875" customWidth="1"/>
    <col min="45" max="45" width="6.7109375" customWidth="1"/>
  </cols>
  <sheetData>
    <row r="2" spans="1:45" ht="21" customHeight="1">
      <c r="B2" s="1132" t="s">
        <v>993</v>
      </c>
      <c r="C2" s="1132"/>
      <c r="D2" s="1132"/>
      <c r="E2" s="1132"/>
      <c r="F2" s="1132"/>
      <c r="G2" s="1132"/>
      <c r="H2" s="1132"/>
      <c r="I2" s="1132"/>
      <c r="J2" s="1132"/>
      <c r="K2" s="1132"/>
      <c r="M2" s="1132" t="s">
        <v>994</v>
      </c>
      <c r="N2" s="1132"/>
      <c r="O2" s="1132"/>
      <c r="P2" s="1132"/>
      <c r="Q2" s="1132"/>
      <c r="R2" s="1132"/>
      <c r="S2" s="1132"/>
      <c r="T2" s="1132"/>
      <c r="U2" s="1132"/>
      <c r="V2" s="1132"/>
      <c r="X2" s="1143" t="s">
        <v>995</v>
      </c>
      <c r="Y2" s="1143"/>
      <c r="Z2" s="1143"/>
      <c r="AA2" s="1143"/>
      <c r="AB2" s="1143"/>
      <c r="AC2" s="1143"/>
      <c r="AD2" s="1143"/>
      <c r="AE2" s="1143"/>
      <c r="AF2" s="1143"/>
      <c r="AG2" s="1143"/>
      <c r="AI2" s="1143" t="s">
        <v>996</v>
      </c>
      <c r="AJ2" s="1143"/>
      <c r="AK2" s="1143"/>
      <c r="AL2" s="1143"/>
      <c r="AM2" s="1143"/>
      <c r="AN2" s="1143"/>
      <c r="AO2" s="1143"/>
      <c r="AP2" s="1143"/>
      <c r="AQ2" s="1143"/>
      <c r="AR2" s="1143"/>
    </row>
    <row r="4" spans="1:45" ht="15" customHeight="1">
      <c r="B4" s="359" t="s">
        <v>122</v>
      </c>
      <c r="C4" s="359"/>
      <c r="D4" s="359"/>
      <c r="E4" s="1137" t="s">
        <v>460</v>
      </c>
      <c r="F4" s="1137"/>
      <c r="G4" s="359"/>
      <c r="H4" s="359" t="s">
        <v>143</v>
      </c>
      <c r="I4" s="359"/>
      <c r="J4" s="1135" t="s">
        <v>1869</v>
      </c>
      <c r="K4" s="1136"/>
      <c r="M4" s="220" t="s">
        <v>122</v>
      </c>
      <c r="N4" s="220"/>
      <c r="O4" s="220"/>
      <c r="P4" s="1137" t="s">
        <v>460</v>
      </c>
      <c r="Q4" s="1137"/>
      <c r="R4" s="207"/>
      <c r="S4" s="874" t="s">
        <v>997</v>
      </c>
      <c r="T4" s="874" t="s">
        <v>997</v>
      </c>
      <c r="U4" s="1135" t="s">
        <v>998</v>
      </c>
      <c r="V4" s="1136"/>
      <c r="X4" s="220" t="s">
        <v>122</v>
      </c>
      <c r="Y4" s="220"/>
      <c r="Z4" s="220"/>
      <c r="AA4" s="1137" t="s">
        <v>460</v>
      </c>
      <c r="AB4" s="1137"/>
      <c r="AC4" s="207"/>
      <c r="AD4" s="220" t="s">
        <v>143</v>
      </c>
      <c r="AE4" s="207"/>
      <c r="AF4" s="1135" t="s">
        <v>1869</v>
      </c>
      <c r="AG4" s="1136"/>
      <c r="AI4" s="220" t="s">
        <v>122</v>
      </c>
      <c r="AJ4" s="220"/>
      <c r="AK4" s="220"/>
      <c r="AL4" s="1137" t="s">
        <v>460</v>
      </c>
      <c r="AM4" s="1137"/>
      <c r="AN4" s="880"/>
      <c r="AO4" s="220" t="s">
        <v>999</v>
      </c>
      <c r="AP4" s="207"/>
      <c r="AQ4" s="1135" t="s">
        <v>1007</v>
      </c>
      <c r="AR4" s="1148"/>
    </row>
    <row r="5" spans="1:45">
      <c r="X5" s="220" t="s">
        <v>1000</v>
      </c>
      <c r="Y5" s="220"/>
      <c r="Z5" s="220"/>
      <c r="AA5" s="1144">
        <v>120</v>
      </c>
      <c r="AB5" s="1145"/>
      <c r="AC5" s="207"/>
      <c r="AD5" s="220" t="s">
        <v>1001</v>
      </c>
      <c r="AE5" s="207"/>
      <c r="AF5" s="1146">
        <v>0.15</v>
      </c>
      <c r="AG5" s="1147"/>
      <c r="AI5" s="220" t="s">
        <v>1000</v>
      </c>
      <c r="AJ5" s="220"/>
      <c r="AK5" s="220"/>
      <c r="AL5" s="1144">
        <v>120</v>
      </c>
      <c r="AM5" s="1145"/>
      <c r="AN5" s="207"/>
      <c r="AO5" s="220" t="s">
        <v>1001</v>
      </c>
      <c r="AP5" s="207"/>
      <c r="AQ5" s="1146">
        <v>0.15</v>
      </c>
      <c r="AR5" s="1147"/>
    </row>
    <row r="6" spans="1:45">
      <c r="B6" s="359" t="s">
        <v>1879</v>
      </c>
      <c r="C6" s="359"/>
      <c r="D6" s="359"/>
      <c r="E6" s="1138">
        <v>450</v>
      </c>
      <c r="F6" s="1138"/>
      <c r="G6" s="359"/>
      <c r="H6" s="359" t="s">
        <v>1880</v>
      </c>
      <c r="I6" s="359"/>
      <c r="J6" s="1139" t="s">
        <v>1844</v>
      </c>
      <c r="K6" s="1140"/>
      <c r="M6" s="359" t="s">
        <v>1879</v>
      </c>
      <c r="N6" s="359"/>
      <c r="O6" s="359"/>
      <c r="P6" s="1138">
        <v>450</v>
      </c>
      <c r="Q6" s="1138"/>
      <c r="R6" s="359"/>
      <c r="S6" s="1074" t="s">
        <v>1880</v>
      </c>
      <c r="T6" s="1074" t="s">
        <v>1880</v>
      </c>
      <c r="U6" s="1141" t="s">
        <v>1844</v>
      </c>
      <c r="V6" s="1142"/>
      <c r="X6" s="359" t="s">
        <v>1879</v>
      </c>
      <c r="Y6" s="359"/>
      <c r="Z6" s="220"/>
      <c r="AA6" s="1138">
        <v>450</v>
      </c>
      <c r="AB6" s="1138"/>
      <c r="AC6" s="359"/>
      <c r="AD6" s="358" t="s">
        <v>1880</v>
      </c>
      <c r="AE6" s="1074"/>
      <c r="AF6" s="1141" t="s">
        <v>1846</v>
      </c>
      <c r="AG6" s="1142"/>
      <c r="AI6" s="359" t="s">
        <v>1879</v>
      </c>
      <c r="AJ6" s="359"/>
      <c r="AK6" s="359"/>
      <c r="AL6" s="1138">
        <v>450</v>
      </c>
      <c r="AM6" s="1138"/>
      <c r="AN6" s="207"/>
      <c r="AO6" s="358" t="s">
        <v>1880</v>
      </c>
      <c r="AP6" s="1074"/>
      <c r="AQ6" s="1141" t="s">
        <v>1846</v>
      </c>
      <c r="AR6" s="1142"/>
    </row>
    <row r="8" spans="1:45">
      <c r="B8" s="871" t="s">
        <v>1002</v>
      </c>
      <c r="D8" s="1134" t="s">
        <v>1003</v>
      </c>
      <c r="E8" s="1134"/>
      <c r="F8" s="1134"/>
      <c r="G8" s="1134"/>
      <c r="H8" s="1134"/>
      <c r="I8" s="1134"/>
      <c r="J8" s="1134"/>
      <c r="K8" s="1134"/>
      <c r="M8" s="871" t="s">
        <v>1002</v>
      </c>
      <c r="O8" s="868"/>
      <c r="P8" s="1134" t="s">
        <v>1004</v>
      </c>
      <c r="Q8" s="1134"/>
      <c r="R8" s="1134"/>
      <c r="S8" s="1134"/>
      <c r="T8" s="1134"/>
      <c r="U8" s="1134"/>
      <c r="V8" s="1134"/>
      <c r="X8" s="871" t="s">
        <v>1002</v>
      </c>
      <c r="Z8" s="1134" t="s">
        <v>1005</v>
      </c>
      <c r="AA8" s="1134"/>
      <c r="AB8" s="1134"/>
      <c r="AC8" s="1134"/>
      <c r="AD8" s="1134"/>
      <c r="AE8" s="1134"/>
      <c r="AF8" s="1134"/>
      <c r="AG8" s="1134"/>
      <c r="AI8" s="871" t="s">
        <v>1002</v>
      </c>
      <c r="AK8" s="871"/>
      <c r="AL8" s="1134" t="s">
        <v>1004</v>
      </c>
      <c r="AM8" s="1134"/>
      <c r="AN8" s="1134"/>
      <c r="AO8" s="1134"/>
      <c r="AP8" s="1134"/>
      <c r="AQ8" s="1134"/>
      <c r="AR8" s="1134"/>
    </row>
    <row r="9" spans="1:45" s="38" customFormat="1">
      <c r="A9" s="865"/>
      <c r="B9" s="872"/>
      <c r="C9" s="865"/>
      <c r="D9" s="476">
        <v>2.6500000000000004</v>
      </c>
      <c r="E9" s="476">
        <v>1.35</v>
      </c>
      <c r="F9" s="476">
        <v>0.95000000000000007</v>
      </c>
      <c r="G9" s="476">
        <v>0.75</v>
      </c>
      <c r="H9" s="476">
        <v>0.5</v>
      </c>
      <c r="I9" s="476">
        <v>0.45</v>
      </c>
      <c r="J9" s="476">
        <v>0.4</v>
      </c>
      <c r="K9" s="476">
        <v>0.3</v>
      </c>
      <c r="M9" s="872"/>
      <c r="N9" s="865"/>
      <c r="O9" s="476">
        <f t="shared" ref="O9:V9" si="0">INDEX($D$9:$K$9,MATCH($U$4,$D$11:$K$11,0))</f>
        <v>0.4</v>
      </c>
      <c r="P9" s="476">
        <f t="shared" si="0"/>
        <v>0.4</v>
      </c>
      <c r="Q9" s="476">
        <f t="shared" si="0"/>
        <v>0.4</v>
      </c>
      <c r="R9" s="476">
        <f t="shared" si="0"/>
        <v>0.4</v>
      </c>
      <c r="S9" s="476">
        <f t="shared" si="0"/>
        <v>0.4</v>
      </c>
      <c r="T9" s="476">
        <f t="shared" si="0"/>
        <v>0.4</v>
      </c>
      <c r="U9" s="476">
        <f t="shared" si="0"/>
        <v>0.4</v>
      </c>
      <c r="V9" s="476">
        <f t="shared" si="0"/>
        <v>0.4</v>
      </c>
      <c r="X9" s="872"/>
      <c r="Y9" s="865"/>
      <c r="Z9" s="476">
        <v>2.6500000000000004</v>
      </c>
      <c r="AA9" s="476">
        <v>1.35</v>
      </c>
      <c r="AB9" s="476">
        <v>0.95000000000000007</v>
      </c>
      <c r="AC9" s="476">
        <v>0.75</v>
      </c>
      <c r="AD9" s="476">
        <v>0.5</v>
      </c>
      <c r="AE9" s="476">
        <v>0.45</v>
      </c>
      <c r="AF9" s="476">
        <v>0.4</v>
      </c>
      <c r="AG9" s="476">
        <v>0.3</v>
      </c>
      <c r="AI9" s="872"/>
      <c r="AJ9" s="865"/>
      <c r="AK9" s="870">
        <f>INDEX($Z$9:$AG$9,MATCH($AQ$4,$Z$11:$AG$11,0))</f>
        <v>0.45</v>
      </c>
      <c r="AL9" s="870">
        <f t="shared" ref="AL9:AR9" si="1">INDEX($Z$9:$AG$9,MATCH($AQ$4,$Z$11:$AG$11,0))</f>
        <v>0.45</v>
      </c>
      <c r="AM9" s="870">
        <f t="shared" si="1"/>
        <v>0.45</v>
      </c>
      <c r="AN9" s="870">
        <f t="shared" si="1"/>
        <v>0.45</v>
      </c>
      <c r="AO9" s="870">
        <f t="shared" si="1"/>
        <v>0.45</v>
      </c>
      <c r="AP9" s="870">
        <f t="shared" si="1"/>
        <v>0.45</v>
      </c>
      <c r="AQ9" s="870">
        <f t="shared" si="1"/>
        <v>0.45</v>
      </c>
      <c r="AR9" s="870">
        <f t="shared" si="1"/>
        <v>0.45</v>
      </c>
    </row>
    <row r="10" spans="1:45">
      <c r="B10" s="872"/>
      <c r="D10" s="1133" t="s">
        <v>997</v>
      </c>
      <c r="E10" s="1133"/>
      <c r="F10" s="1133"/>
      <c r="G10" s="1133"/>
      <c r="H10" s="1133"/>
      <c r="I10" s="1133"/>
      <c r="J10" s="1133"/>
      <c r="K10" s="1133"/>
      <c r="M10" s="872"/>
      <c r="O10" s="1133" t="s">
        <v>1006</v>
      </c>
      <c r="P10" s="1133"/>
      <c r="Q10" s="1133"/>
      <c r="R10" s="1133"/>
      <c r="S10" s="1133"/>
      <c r="T10" s="1133"/>
      <c r="U10" s="1133"/>
      <c r="V10" s="1133"/>
      <c r="X10" s="872"/>
      <c r="Z10" s="1133" t="s">
        <v>997</v>
      </c>
      <c r="AA10" s="1133"/>
      <c r="AB10" s="1133"/>
      <c r="AC10" s="1133"/>
      <c r="AD10" s="1133"/>
      <c r="AE10" s="1133"/>
      <c r="AF10" s="1133"/>
      <c r="AG10" s="1133"/>
      <c r="AH10" s="869"/>
      <c r="AI10" s="872"/>
      <c r="AK10" s="1133" t="s">
        <v>1006</v>
      </c>
      <c r="AL10" s="1133"/>
      <c r="AM10" s="1133"/>
      <c r="AN10" s="1133"/>
      <c r="AO10" s="1133"/>
      <c r="AP10" s="1133"/>
      <c r="AQ10" s="1133"/>
      <c r="AR10" s="1133"/>
      <c r="AS10" s="869"/>
    </row>
    <row r="11" spans="1:45">
      <c r="B11" s="872"/>
      <c r="D11" s="217" t="s">
        <v>498</v>
      </c>
      <c r="E11" s="217" t="s">
        <v>497</v>
      </c>
      <c r="F11" s="217" t="s">
        <v>496</v>
      </c>
      <c r="G11" s="217" t="s">
        <v>495</v>
      </c>
      <c r="H11" s="217" t="s">
        <v>494</v>
      </c>
      <c r="I11" s="217" t="s">
        <v>1007</v>
      </c>
      <c r="J11" s="217" t="s">
        <v>998</v>
      </c>
      <c r="K11" s="217" t="s">
        <v>1008</v>
      </c>
      <c r="M11" s="872"/>
      <c r="O11" s="217" t="str" cm="1">
        <f t="array" ref="O11">INDEX(ventilatiesystemen_namen,COLUMNS($N10:O10))</f>
        <v>natuurlijk (A1)</v>
      </c>
      <c r="P11" s="217" t="str" cm="1">
        <f t="array" ref="P11">INDEX(ventilatiesystemen_namen,COLUMNS($N10:P10))</f>
        <v>natuurlijk (A2a)</v>
      </c>
      <c r="Q11" s="217" t="str" cm="1">
        <f t="array" ref="Q11">INDEX(ventilatiesystemen_namen,COLUMNS($N10:Q10))</f>
        <v>mech (C1)</v>
      </c>
      <c r="R11" s="217" t="str" cm="1">
        <f t="array" ref="R11">INDEX(ventilatiesystemen_namen,COLUMNS($N10:R10))</f>
        <v>mech - tijdsturing afvoer (C3b)</v>
      </c>
      <c r="S11" s="217" t="str" cm="1">
        <f t="array" ref="S11">INDEX(ventilatiesystemen_namen,COLUMNS($N10:S10))</f>
        <v>mech - tijdsturing toevoer (C3c)</v>
      </c>
      <c r="T11" s="217" t="str" cm="1">
        <f t="array" ref="T11">INDEX(ventilatiesystemen_namen,COLUMNS($N10:T10))</f>
        <v>balans geen wtw (D1)</v>
      </c>
      <c r="U11" s="217" t="str" cm="1">
        <f t="array" ref="U11">INDEX(ventilatiesystemen_namen,COLUMNS($N10:U10))</f>
        <v>balans (D2)</v>
      </c>
      <c r="V11" s="217" t="str" cm="1">
        <f t="array" ref="V11">INDEX(ventilatiesystemen_namen,COLUMNS($N10:V10))</f>
        <v>balans CO2 (D5)</v>
      </c>
      <c r="X11" s="872"/>
      <c r="Z11" s="217" t="s">
        <v>498</v>
      </c>
      <c r="AA11" s="217" t="s">
        <v>497</v>
      </c>
      <c r="AB11" s="217" t="s">
        <v>496</v>
      </c>
      <c r="AC11" s="217" t="s">
        <v>495</v>
      </c>
      <c r="AD11" s="217" t="s">
        <v>494</v>
      </c>
      <c r="AE11" s="217" t="s">
        <v>1007</v>
      </c>
      <c r="AF11" s="217" t="s">
        <v>998</v>
      </c>
      <c r="AG11" s="217" t="s">
        <v>1008</v>
      </c>
      <c r="AI11" s="872"/>
      <c r="AK11" s="217" t="str" cm="1">
        <f t="array" ref="AK11">INDEX(ventilatiesystemen_namen,COLUMNS($AJ10:AK10))</f>
        <v>natuurlijk (A1)</v>
      </c>
      <c r="AL11" s="217" t="str" cm="1">
        <f t="array" ref="AL11">INDEX(ventilatiesystemen_namen,COLUMNS($AJ10:AL10))</f>
        <v>natuurlijk (A2a)</v>
      </c>
      <c r="AM11" s="217" t="str" cm="1">
        <f t="array" ref="AM11">INDEX(ventilatiesystemen_namen,COLUMNS($AJ10:AM10))</f>
        <v>mech (C1)</v>
      </c>
      <c r="AN11" s="217" t="str" cm="1">
        <f t="array" ref="AN11">INDEX(ventilatiesystemen_namen,COLUMNS($AJ10:AN10))</f>
        <v>mech - tijdsturing afvoer (C3b)</v>
      </c>
      <c r="AO11" s="217" t="str" cm="1">
        <f t="array" ref="AO11">INDEX(ventilatiesystemen_namen,COLUMNS($AJ10:AO10))</f>
        <v>mech - tijdsturing toevoer (C3c)</v>
      </c>
      <c r="AP11" s="217" t="str" cm="1">
        <f t="array" ref="AP11">INDEX(ventilatiesystemen_namen,COLUMNS($AJ10:AP10))</f>
        <v>balans geen wtw (D1)</v>
      </c>
      <c r="AQ11" s="217" t="str" cm="1">
        <f t="array" ref="AQ11">INDEX(ventilatiesystemen_namen,COLUMNS($AJ10:AQ10))</f>
        <v>balans (D2)</v>
      </c>
      <c r="AR11" s="217" t="str" cm="1">
        <f t="array" ref="AR11">INDEX(ventilatiesystemen_namen,COLUMNS($AJ10:AR10))</f>
        <v>balans CO2 (D5)</v>
      </c>
      <c r="AS11" s="869"/>
    </row>
    <row r="12" spans="1:45">
      <c r="B12" s="872" t="s">
        <v>1009</v>
      </c>
      <c r="D12" s="1133" t="s">
        <v>1010</v>
      </c>
      <c r="E12" s="1133"/>
      <c r="F12" s="1133"/>
      <c r="G12" s="1133"/>
      <c r="H12" s="1133"/>
      <c r="I12" s="1133"/>
      <c r="J12" s="1133"/>
      <c r="K12" s="1133"/>
      <c r="M12" s="872" t="s">
        <v>1009</v>
      </c>
      <c r="O12" s="1133" t="s">
        <v>1010</v>
      </c>
      <c r="P12" s="1133"/>
      <c r="Q12" s="1133"/>
      <c r="R12" s="1133"/>
      <c r="S12" s="1133"/>
      <c r="T12" s="1133"/>
      <c r="U12" s="1133"/>
      <c r="V12" s="1133"/>
      <c r="X12" s="872" t="s">
        <v>1009</v>
      </c>
      <c r="Z12" s="1133" t="s">
        <v>1011</v>
      </c>
      <c r="AA12" s="1133"/>
      <c r="AB12" s="1133"/>
      <c r="AC12" s="1133"/>
      <c r="AD12" s="1133"/>
      <c r="AE12" s="1133"/>
      <c r="AF12" s="1133"/>
      <c r="AG12" s="1133"/>
      <c r="AH12" s="869"/>
      <c r="AI12" s="872" t="s">
        <v>1009</v>
      </c>
      <c r="AK12" s="1133" t="s">
        <v>1011</v>
      </c>
      <c r="AL12" s="1133"/>
      <c r="AM12" s="1133"/>
      <c r="AN12" s="1133"/>
      <c r="AO12" s="1133"/>
      <c r="AP12" s="1133"/>
      <c r="AQ12" s="1133"/>
      <c r="AR12" s="1133"/>
      <c r="AS12" s="869"/>
    </row>
    <row r="13" spans="1:45">
      <c r="B13" s="873">
        <v>0.5</v>
      </c>
      <c r="D13" s="347">
        <f>MAX(warmtebehoefte_verwarming_ondergrens,
HLOOKUP(D$20,fitcurves_NTA8800,MATCH(fit_a0,parameters_fitformule,0),FALSE)
+HLOOKUP(D$20,fitcurves_NTA8800,MATCH(fit_a1,parameters_fitformule,0),FALSE)
*D$9*$B13^HLOOKUP(D$20,fitcurves_NTA8800,MATCH(fit_n1,parameters_fitformule,0),FALSE)
)</f>
        <v>67.010127806979099</v>
      </c>
      <c r="E13" s="347">
        <f t="shared" ref="D13:K18" si="2">MAX(warmtebehoefte_verwarming_ondergrens,
HLOOKUP(E$20,fitcurves_NTA8800,MATCH(fit_a0,parameters_fitformule,0),FALSE)
+HLOOKUP(E$20,fitcurves_NTA8800,MATCH(fit_a1,parameters_fitformule,0),FALSE)
*E$9*$B13^HLOOKUP(E$20,fitcurves_NTA8800,MATCH(fit_n1,parameters_fitformule,0),FALSE)
)</f>
        <v>37.780239476893207</v>
      </c>
      <c r="F13" s="347">
        <f t="shared" si="2"/>
        <v>28.786427683020619</v>
      </c>
      <c r="G13" s="347">
        <f t="shared" si="2"/>
        <v>24.289521786084329</v>
      </c>
      <c r="H13" s="347">
        <f t="shared" si="2"/>
        <v>18.668389414913971</v>
      </c>
      <c r="I13" s="347">
        <f t="shared" si="2"/>
        <v>17.544162940679897</v>
      </c>
      <c r="J13" s="347">
        <f>MAX(warmtebehoefte_verwarming_ondergrens,
HLOOKUP(J$20,fitcurves_NTA8800,MATCH(fit_a0,parameters_fitformule,0),FALSE)
+HLOOKUP(J$20,fitcurves_NTA8800,MATCH(fit_a1,parameters_fitformule,0),FALSE)
*J$9*$B13^HLOOKUP(J$20,fitcurves_NTA8800,MATCH(fit_n1,parameters_fitformule,0),FALSE)
)</f>
        <v>16.419936466445826</v>
      </c>
      <c r="K13" s="347">
        <f t="shared" si="2"/>
        <v>14.171483517977681</v>
      </c>
      <c r="M13" s="873">
        <v>0.5</v>
      </c>
      <c r="O13" s="347">
        <f t="shared" ref="O13:V18" si="3">MAX(warmtebehoefte_verwarming_ondergrens,
HLOOKUP(O$20,fitcurves_NTA8800,MATCH(fit_a0,parameters_fitformule,0),FALSE)
+HLOOKUP(O$20,fitcurves_NTA8800,MATCH(fit_a1,parameters_fitformule,0),FALSE)
*O$9*$M13^HLOOKUP(O$20,fitcurves_NTA8800,MATCH(fit_n1,parameters_fitformule,0),FALSE)
)</f>
        <v>42.046459569037104</v>
      </c>
      <c r="P13" s="347">
        <f t="shared" si="3"/>
        <v>36.046827233495129</v>
      </c>
      <c r="Q13" s="347">
        <f t="shared" si="3"/>
        <v>34.513210660997856</v>
      </c>
      <c r="R13" s="347">
        <f t="shared" si="3"/>
        <v>25.463113370887722</v>
      </c>
      <c r="S13" s="347">
        <f t="shared" si="3"/>
        <v>18.47353599584579</v>
      </c>
      <c r="T13" s="347">
        <f t="shared" si="3"/>
        <v>27.453207418450805</v>
      </c>
      <c r="U13" s="347">
        <f t="shared" si="3"/>
        <v>16.419936466445826</v>
      </c>
      <c r="V13" s="347">
        <f t="shared" si="3"/>
        <v>8.1869593185580758</v>
      </c>
      <c r="X13" s="873">
        <v>0.5</v>
      </c>
      <c r="Z13" s="889">
        <f t="shared" ref="Z13:AG18" si="4">MAX(koudebehoefte_koeling_ondergrens,
HLOOKUP(Z$20,fitcurves_NTA8800,MATCH(fit_a0,parameters_fitformule,0),FALSE)
+HLOOKUP(Z$20,fitcurves_NTA8800,MATCH(fit_a1,parameters_fitformule,0),FALSE)
*($AF$5*$AA$5)^HLOOKUP(Z$20,fitcurves_NTA8800,MATCH(fit_n1,parameters_fitformule,0),FALSE)
+HLOOKUP(Z$20,fitcurves_NTA8800,MATCH(fit_a2,parameters_fitformule,0),FALSE)
*$X13^HLOOKUP(Z$20,fitcurves_NTA8800,MATCH(fit_n2,parameters_fitformule,0),FALSE)
+HLOOKUP(Z$20,fitcurves_NTA8800,MATCH(fit_a3,parameters_fitformule,0),FALSE)
*Z$9^HLOOKUP(Z$20,fitcurves_NTA8800,MATCH(fit_n3,parameters_fitformule,0),FALSE)
+HLOOKUP(Z$20,fitcurves_NTA8800,MATCH(fit_a4,parameters_fitformule,0),FALSE)
*$AF$5^HLOOKUP(Z$20,fitcurves_NTA8800,MATCH(fit_n4,parameters_fitformule,0),FALSE)
)</f>
        <v>5.5998898762744531</v>
      </c>
      <c r="AA13" s="889">
        <f t="shared" si="4"/>
        <v>6.5526983265669259</v>
      </c>
      <c r="AB13" s="889">
        <f t="shared" si="4"/>
        <v>7.0661850198799101</v>
      </c>
      <c r="AC13" s="889">
        <f t="shared" si="4"/>
        <v>7.4183744682197172</v>
      </c>
      <c r="AD13" s="889">
        <f t="shared" si="4"/>
        <v>8.0354115167074625</v>
      </c>
      <c r="AE13" s="889">
        <f t="shared" si="4"/>
        <v>8.1984706899088842</v>
      </c>
      <c r="AF13" s="889">
        <f t="shared" si="4"/>
        <v>8.3821028040625727</v>
      </c>
      <c r="AG13" s="889">
        <f t="shared" si="4"/>
        <v>8.8366674610384663</v>
      </c>
      <c r="AI13" s="873">
        <v>0.5</v>
      </c>
      <c r="AK13" s="889">
        <f t="shared" ref="AK13:AR18" si="5">MAX(koudebehoefte_koeling_ondergrens,
HLOOKUP(AK$20,fitcurves_NTA8800,MATCH(fit_a0,parameters_fitformule,0),FALSE)
+HLOOKUP(AK$20,fitcurves_NTA8800,MATCH(fit_a1,parameters_fitformule,0),FALSE)
*($AQ$5*$AL$5)^HLOOKUP(AK$20,fitcurves_NTA8800,MATCH(fit_n1,parameters_fitformule,0),FALSE)
+HLOOKUP(AK$20,fitcurves_NTA8800,MATCH(fit_a2,parameters_fitformule,0),FALSE)
*$AI13^HLOOKUP(AK$20,fitcurves_NTA8800,MATCH(fit_n2,parameters_fitformule,0),FALSE)
+HLOOKUP(AK$20,fitcurves_NTA8800,MATCH(fit_a3,parameters_fitformule,0),FALSE)
*AK$9^HLOOKUP(AK$20,fitcurves_NTA8800,MATCH(fit_n3,parameters_fitformule,0),FALSE)
+HLOOKUP(AK$20,fitcurves_NTA8800,MATCH(fit_a4,parameters_fitformule,0),FALSE)
*$AQ$5^HLOOKUP(AK$20,fitcurves_NTA8800,MATCH(fit_n4,parameters_fitformule,0),FALSE)
)</f>
        <v>4.3061171932729785</v>
      </c>
      <c r="AL13" s="889">
        <f t="shared" si="5"/>
        <v>5.0640658501302527</v>
      </c>
      <c r="AM13" s="889">
        <f t="shared" si="5"/>
        <v>4.8363927020020059</v>
      </c>
      <c r="AN13" s="889">
        <f t="shared" si="5"/>
        <v>5.7850343417130397</v>
      </c>
      <c r="AO13" s="889">
        <f t="shared" si="5"/>
        <v>5.2010373705713526</v>
      </c>
      <c r="AP13" s="889">
        <f t="shared" si="5"/>
        <v>5.7585614046717302</v>
      </c>
      <c r="AQ13" s="889">
        <f t="shared" si="5"/>
        <v>8.1984706899088842</v>
      </c>
      <c r="AR13" s="889">
        <f t="shared" si="5"/>
        <v>6.1461073541452915</v>
      </c>
      <c r="AS13" s="869"/>
    </row>
    <row r="14" spans="1:45">
      <c r="B14" s="873">
        <f>B13+0.25</f>
        <v>0.75</v>
      </c>
      <c r="D14" s="347">
        <f t="shared" si="2"/>
        <v>100.74267546894367</v>
      </c>
      <c r="E14" s="347">
        <f t="shared" si="2"/>
        <v>54.96474488959214</v>
      </c>
      <c r="F14" s="347">
        <f t="shared" si="2"/>
        <v>40.879227788253203</v>
      </c>
      <c r="G14" s="347">
        <f t="shared" si="2"/>
        <v>33.836469237583742</v>
      </c>
      <c r="H14" s="347">
        <f t="shared" si="2"/>
        <v>25.033021049246912</v>
      </c>
      <c r="I14" s="347">
        <f t="shared" si="2"/>
        <v>23.272331411579543</v>
      </c>
      <c r="J14" s="347">
        <f t="shared" si="2"/>
        <v>21.511641773912178</v>
      </c>
      <c r="K14" s="347">
        <f t="shared" si="2"/>
        <v>17.990262498577444</v>
      </c>
      <c r="M14" s="873">
        <f>M13+0.25</f>
        <v>0.75</v>
      </c>
      <c r="O14" s="347">
        <f t="shared" si="3"/>
        <v>47.046727647144664</v>
      </c>
      <c r="P14" s="347">
        <f t="shared" si="3"/>
        <v>41.069633458398414</v>
      </c>
      <c r="Q14" s="347">
        <f t="shared" si="3"/>
        <v>39.619100068731115</v>
      </c>
      <c r="R14" s="347">
        <f t="shared" si="3"/>
        <v>30.583708171020945</v>
      </c>
      <c r="S14" s="347">
        <f t="shared" si="3"/>
        <v>23.599181340152832</v>
      </c>
      <c r="T14" s="347">
        <f t="shared" si="3"/>
        <v>32.512942154514185</v>
      </c>
      <c r="U14" s="347">
        <f t="shared" si="3"/>
        <v>21.511641773912178</v>
      </c>
      <c r="V14" s="347">
        <f t="shared" si="3"/>
        <v>13.254268539908418</v>
      </c>
      <c r="X14" s="873">
        <f>X13+0.25</f>
        <v>0.75</v>
      </c>
      <c r="Z14" s="889">
        <f t="shared" si="4"/>
        <v>3.5532474574152815</v>
      </c>
      <c r="AA14" s="889">
        <f t="shared" si="4"/>
        <v>4.5060559077077542</v>
      </c>
      <c r="AB14" s="889">
        <f t="shared" si="4"/>
        <v>5.0195426010207385</v>
      </c>
      <c r="AC14" s="889">
        <f t="shared" si="4"/>
        <v>5.3717320493605456</v>
      </c>
      <c r="AD14" s="889">
        <f t="shared" si="4"/>
        <v>5.9887690978482908</v>
      </c>
      <c r="AE14" s="889">
        <f t="shared" si="4"/>
        <v>6.1518282710497125</v>
      </c>
      <c r="AF14" s="889">
        <f t="shared" si="4"/>
        <v>6.335460385203401</v>
      </c>
      <c r="AG14" s="889">
        <f t="shared" si="4"/>
        <v>6.7900250421792947</v>
      </c>
      <c r="AI14" s="873">
        <f>AI13+0.25</f>
        <v>0.75</v>
      </c>
      <c r="AK14" s="889">
        <f t="shared" si="5"/>
        <v>3.3335249456411411</v>
      </c>
      <c r="AL14" s="889">
        <f t="shared" si="5"/>
        <v>3.9482595433884216</v>
      </c>
      <c r="AM14" s="889">
        <f t="shared" si="5"/>
        <v>3.7701905050466324</v>
      </c>
      <c r="AN14" s="889">
        <f t="shared" si="5"/>
        <v>4.4798035919165748</v>
      </c>
      <c r="AO14" s="889">
        <f t="shared" si="5"/>
        <v>4.0450413197414399</v>
      </c>
      <c r="AP14" s="889">
        <f t="shared" si="5"/>
        <v>4.429837286460077</v>
      </c>
      <c r="AQ14" s="889">
        <f t="shared" si="5"/>
        <v>6.1518282710497125</v>
      </c>
      <c r="AR14" s="889">
        <f t="shared" si="5"/>
        <v>4.6993493217842879</v>
      </c>
      <c r="AS14" s="869"/>
    </row>
    <row r="15" spans="1:45">
      <c r="B15" s="873">
        <f>B14+0.25</f>
        <v>1</v>
      </c>
      <c r="D15" s="347">
        <f t="shared" si="2"/>
        <v>135.7159025711</v>
      </c>
      <c r="E15" s="347">
        <f t="shared" si="2"/>
        <v>72.781294545407633</v>
      </c>
      <c r="F15" s="347">
        <f t="shared" si="2"/>
        <v>53.41679976827151</v>
      </c>
      <c r="G15" s="347">
        <f t="shared" si="2"/>
        <v>43.734552379703452</v>
      </c>
      <c r="H15" s="347">
        <f t="shared" si="2"/>
        <v>31.631743143993383</v>
      </c>
      <c r="I15" s="347">
        <f t="shared" si="2"/>
        <v>29.211181296851372</v>
      </c>
      <c r="J15" s="347">
        <f t="shared" si="2"/>
        <v>26.790619449709361</v>
      </c>
      <c r="K15" s="347">
        <f t="shared" si="2"/>
        <v>21.949495755425328</v>
      </c>
      <c r="M15" s="873">
        <f>M14+0.25</f>
        <v>1</v>
      </c>
      <c r="O15" s="347">
        <f t="shared" si="3"/>
        <v>52.155331114765062</v>
      </c>
      <c r="P15" s="347">
        <f t="shared" si="3"/>
        <v>46.218434847593258</v>
      </c>
      <c r="Q15" s="347">
        <f t="shared" si="3"/>
        <v>44.849988483061793</v>
      </c>
      <c r="R15" s="347">
        <f t="shared" si="3"/>
        <v>35.854359938432069</v>
      </c>
      <c r="S15" s="347">
        <f t="shared" si="3"/>
        <v>28.893689548189652</v>
      </c>
      <c r="T15" s="347">
        <f t="shared" si="3"/>
        <v>37.725901728980915</v>
      </c>
      <c r="U15" s="347">
        <f t="shared" si="3"/>
        <v>26.790619449709361</v>
      </c>
      <c r="V15" s="347">
        <f t="shared" si="3"/>
        <v>18.542287302155703</v>
      </c>
      <c r="X15" s="873">
        <f>X14+0.25</f>
        <v>1</v>
      </c>
      <c r="Z15" s="889">
        <f t="shared" si="4"/>
        <v>2.194111388953278</v>
      </c>
      <c r="AA15" s="889">
        <f t="shared" si="4"/>
        <v>3.1469198392457507</v>
      </c>
      <c r="AB15" s="889">
        <f t="shared" si="4"/>
        <v>3.6604065325587349</v>
      </c>
      <c r="AC15" s="889">
        <f t="shared" si="4"/>
        <v>4.0125959808985421</v>
      </c>
      <c r="AD15" s="889">
        <f t="shared" si="4"/>
        <v>4.6296330293862873</v>
      </c>
      <c r="AE15" s="889">
        <f t="shared" si="4"/>
        <v>4.792692202587709</v>
      </c>
      <c r="AF15" s="889">
        <f t="shared" si="4"/>
        <v>4.9763243167413975</v>
      </c>
      <c r="AG15" s="889">
        <f t="shared" si="4"/>
        <v>5.4308889737172912</v>
      </c>
      <c r="AI15" s="873">
        <f>AI14+0.25</f>
        <v>1</v>
      </c>
      <c r="AK15" s="889">
        <f t="shared" si="5"/>
        <v>2.6435739251190107</v>
      </c>
      <c r="AL15" s="889">
        <f t="shared" si="5"/>
        <v>3.1636381801200217</v>
      </c>
      <c r="AM15" s="889">
        <f t="shared" si="5"/>
        <v>3.0199213506944647</v>
      </c>
      <c r="AN15" s="889">
        <f t="shared" si="5"/>
        <v>3.5540955432752206</v>
      </c>
      <c r="AO15" s="889">
        <f t="shared" si="5"/>
        <v>3.2315390363450796</v>
      </c>
      <c r="AP15" s="889">
        <f t="shared" si="5"/>
        <v>3.5141469938766141</v>
      </c>
      <c r="AQ15" s="889">
        <f t="shared" si="5"/>
        <v>4.792692202587709</v>
      </c>
      <c r="AR15" s="889">
        <f t="shared" si="5"/>
        <v>3.7054741920140568</v>
      </c>
    </row>
    <row r="16" spans="1:45">
      <c r="B16" s="873">
        <v>1.5</v>
      </c>
      <c r="D16" s="347">
        <f t="shared" si="2"/>
        <v>208.34514565406488</v>
      </c>
      <c r="E16" s="347">
        <f t="shared" si="2"/>
        <v>109.78109762540861</v>
      </c>
      <c r="F16" s="347">
        <f t="shared" si="2"/>
        <v>79.453698231975906</v>
      </c>
      <c r="G16" s="347">
        <f t="shared" si="2"/>
        <v>64.289998535259542</v>
      </c>
      <c r="H16" s="347">
        <f t="shared" si="2"/>
        <v>45.335373914364112</v>
      </c>
      <c r="I16" s="347">
        <f t="shared" si="2"/>
        <v>41.544448990185025</v>
      </c>
      <c r="J16" s="347">
        <f t="shared" si="2"/>
        <v>37.753524066005944</v>
      </c>
      <c r="K16" s="347">
        <f t="shared" si="2"/>
        <v>30.171674217647762</v>
      </c>
      <c r="M16" s="873">
        <v>1.5</v>
      </c>
      <c r="O16" s="347">
        <f t="shared" si="3"/>
        <v>62.603115074067915</v>
      </c>
      <c r="P16" s="347">
        <f t="shared" si="3"/>
        <v>56.785169023091541</v>
      </c>
      <c r="Q16" s="347">
        <f t="shared" si="3"/>
        <v>55.578599377604277</v>
      </c>
      <c r="R16" s="347">
        <f t="shared" si="3"/>
        <v>46.71761574396136</v>
      </c>
      <c r="S16" s="347">
        <f t="shared" si="3"/>
        <v>39.846389707376019</v>
      </c>
      <c r="T16" s="347">
        <f t="shared" si="3"/>
        <v>48.480907173755398</v>
      </c>
      <c r="U16" s="347">
        <f t="shared" si="3"/>
        <v>37.753524066005944</v>
      </c>
      <c r="V16" s="347">
        <f t="shared" si="3"/>
        <v>29.598945494293343</v>
      </c>
      <c r="X16" s="873">
        <v>1.5</v>
      </c>
      <c r="Z16" s="889">
        <f t="shared" si="4"/>
        <v>1</v>
      </c>
      <c r="AA16" s="889">
        <f t="shared" si="4"/>
        <v>1.3535387462125215</v>
      </c>
      <c r="AB16" s="889">
        <f t="shared" si="4"/>
        <v>1.8670254395255057</v>
      </c>
      <c r="AC16" s="889">
        <f t="shared" si="4"/>
        <v>2.2192148878653128</v>
      </c>
      <c r="AD16" s="889">
        <f t="shared" si="4"/>
        <v>2.8362519363530581</v>
      </c>
      <c r="AE16" s="889">
        <f t="shared" si="4"/>
        <v>2.9993111095544798</v>
      </c>
      <c r="AF16" s="889">
        <f t="shared" si="4"/>
        <v>3.1829432237081683</v>
      </c>
      <c r="AG16" s="889">
        <f t="shared" si="4"/>
        <v>3.6375078806840619</v>
      </c>
      <c r="AI16" s="873">
        <v>1.5</v>
      </c>
      <c r="AK16" s="889">
        <f t="shared" si="5"/>
        <v>1.6713034512847962</v>
      </c>
      <c r="AL16" s="889">
        <f t="shared" si="5"/>
        <v>2.0676274815384135</v>
      </c>
      <c r="AM16" s="889">
        <f t="shared" si="5"/>
        <v>1.9711576188710227</v>
      </c>
      <c r="AN16" s="889">
        <f t="shared" si="5"/>
        <v>2.2499016450292082</v>
      </c>
      <c r="AO16" s="889">
        <f t="shared" si="5"/>
        <v>2.0943197176014472</v>
      </c>
      <c r="AP16" s="889">
        <f t="shared" si="5"/>
        <v>2.2605307796725134</v>
      </c>
      <c r="AQ16" s="889">
        <f t="shared" si="5"/>
        <v>2.9993111095544798</v>
      </c>
      <c r="AR16" s="889">
        <f t="shared" si="5"/>
        <v>2.3491149765405535</v>
      </c>
    </row>
    <row r="17" spans="2:45">
      <c r="B17" s="873">
        <v>2</v>
      </c>
      <c r="D17" s="347">
        <f t="shared" si="2"/>
        <v>283.64568441124675</v>
      </c>
      <c r="E17" s="347">
        <f t="shared" si="2"/>
        <v>148.14174944510503</v>
      </c>
      <c r="F17" s="347">
        <f t="shared" si="2"/>
        <v>106.4482309939845</v>
      </c>
      <c r="G17" s="347">
        <f t="shared" si="2"/>
        <v>85.601471768424233</v>
      </c>
      <c r="H17" s="347">
        <f t="shared" si="2"/>
        <v>59.543022736473894</v>
      </c>
      <c r="I17" s="347">
        <f t="shared" si="2"/>
        <v>54.331332930083832</v>
      </c>
      <c r="J17" s="347">
        <f t="shared" si="2"/>
        <v>49.11964312369377</v>
      </c>
      <c r="K17" s="347">
        <f t="shared" si="2"/>
        <v>38.696263510913639</v>
      </c>
      <c r="M17" s="873">
        <v>2</v>
      </c>
      <c r="O17" s="347">
        <f t="shared" si="3"/>
        <v>73.277259845850551</v>
      </c>
      <c r="P17" s="347">
        <f t="shared" si="3"/>
        <v>67.616965665436794</v>
      </c>
      <c r="Q17" s="347">
        <f t="shared" si="3"/>
        <v>66.569861026383023</v>
      </c>
      <c r="R17" s="347">
        <f t="shared" si="3"/>
        <v>57.899214883530568</v>
      </c>
      <c r="S17" s="347">
        <f t="shared" si="3"/>
        <v>51.159923320735714</v>
      </c>
      <c r="T17" s="347">
        <f t="shared" si="3"/>
        <v>59.56160834316087</v>
      </c>
      <c r="U17" s="347">
        <f t="shared" si="3"/>
        <v>49.11964312369377</v>
      </c>
      <c r="V17" s="347">
        <f t="shared" si="3"/>
        <v>41.137182734964135</v>
      </c>
      <c r="X17" s="873">
        <v>2</v>
      </c>
      <c r="Z17" s="889">
        <f t="shared" si="4"/>
        <v>1</v>
      </c>
      <c r="AA17" s="889">
        <f t="shared" si="4"/>
        <v>1</v>
      </c>
      <c r="AB17" s="889">
        <f t="shared" si="4"/>
        <v>1</v>
      </c>
      <c r="AC17" s="889">
        <f t="shared" si="4"/>
        <v>1.0282648198031339</v>
      </c>
      <c r="AD17" s="889">
        <f t="shared" si="4"/>
        <v>1.6453018682908791</v>
      </c>
      <c r="AE17" s="889">
        <f t="shared" si="4"/>
        <v>1.8083610414923008</v>
      </c>
      <c r="AF17" s="889">
        <f t="shared" si="4"/>
        <v>1.9919931556459893</v>
      </c>
      <c r="AG17" s="889">
        <f t="shared" si="4"/>
        <v>2.446557812621883</v>
      </c>
      <c r="AI17" s="873">
        <v>2</v>
      </c>
      <c r="AK17" s="889">
        <f t="shared" si="5"/>
        <v>1</v>
      </c>
      <c r="AL17" s="889">
        <f t="shared" si="5"/>
        <v>1.2969261480884073</v>
      </c>
      <c r="AM17" s="889">
        <f t="shared" si="5"/>
        <v>1.2331596289612365</v>
      </c>
      <c r="AN17" s="889">
        <f t="shared" si="5"/>
        <v>1.3249289620134412</v>
      </c>
      <c r="AO17" s="889">
        <f t="shared" si="5"/>
        <v>1.294031073140868</v>
      </c>
      <c r="AP17" s="889">
        <f t="shared" si="5"/>
        <v>1.396601102895807</v>
      </c>
      <c r="AQ17" s="889">
        <f t="shared" si="5"/>
        <v>1.8083610414923008</v>
      </c>
      <c r="AR17" s="889">
        <f t="shared" si="5"/>
        <v>1.4173408573438646</v>
      </c>
    </row>
    <row r="18" spans="2:45">
      <c r="B18" s="873">
        <v>2.5</v>
      </c>
      <c r="D18" s="347">
        <f t="shared" si="2"/>
        <v>360.99706596394589</v>
      </c>
      <c r="E18" s="347">
        <f t="shared" si="2"/>
        <v>187.54717023610272</v>
      </c>
      <c r="F18" s="347">
        <f t="shared" si="2"/>
        <v>134.17797155061248</v>
      </c>
      <c r="G18" s="347">
        <f t="shared" si="2"/>
        <v>107.4933722078674</v>
      </c>
      <c r="H18" s="347">
        <f t="shared" si="2"/>
        <v>74.137623029436014</v>
      </c>
      <c r="I18" s="347">
        <f t="shared" si="2"/>
        <v>67.466473193749735</v>
      </c>
      <c r="J18" s="347">
        <f t="shared" si="2"/>
        <v>60.795323358063456</v>
      </c>
      <c r="K18" s="347">
        <f t="shared" si="2"/>
        <v>47.453023686690898</v>
      </c>
      <c r="M18" s="873">
        <v>2.5</v>
      </c>
      <c r="O18" s="347">
        <f t="shared" si="3"/>
        <v>84.122947367641643</v>
      </c>
      <c r="P18" s="347">
        <f t="shared" si="3"/>
        <v>78.650228614347469</v>
      </c>
      <c r="Q18" s="347">
        <f t="shared" si="3"/>
        <v>77.760652006609092</v>
      </c>
      <c r="R18" s="347">
        <f t="shared" si="3"/>
        <v>69.323658189145107</v>
      </c>
      <c r="S18" s="347">
        <f t="shared" si="3"/>
        <v>62.749574662227118</v>
      </c>
      <c r="T18" s="347">
        <f t="shared" si="3"/>
        <v>70.89097120281032</v>
      </c>
      <c r="U18" s="347">
        <f t="shared" si="3"/>
        <v>60.795323358063456</v>
      </c>
      <c r="V18" s="347">
        <f t="shared" si="3"/>
        <v>53.047279296013265</v>
      </c>
      <c r="X18" s="873">
        <v>2.5</v>
      </c>
      <c r="Z18" s="889">
        <f t="shared" si="4"/>
        <v>1</v>
      </c>
      <c r="AA18" s="889">
        <f t="shared" si="4"/>
        <v>1</v>
      </c>
      <c r="AB18" s="889">
        <f t="shared" si="4"/>
        <v>1</v>
      </c>
      <c r="AC18" s="889">
        <f t="shared" si="4"/>
        <v>1</v>
      </c>
      <c r="AD18" s="889">
        <f t="shared" si="4"/>
        <v>1</v>
      </c>
      <c r="AE18" s="889">
        <f t="shared" si="4"/>
        <v>1</v>
      </c>
      <c r="AF18" s="889">
        <f t="shared" si="4"/>
        <v>1.1121529622892652</v>
      </c>
      <c r="AG18" s="889">
        <f t="shared" si="4"/>
        <v>1.5667176192651588</v>
      </c>
      <c r="AI18" s="873">
        <v>2.5</v>
      </c>
      <c r="AK18" s="889">
        <f t="shared" si="5"/>
        <v>1</v>
      </c>
      <c r="AL18" s="889">
        <f t="shared" si="5"/>
        <v>1</v>
      </c>
      <c r="AM18" s="889">
        <f t="shared" si="5"/>
        <v>1</v>
      </c>
      <c r="AN18" s="889">
        <f t="shared" si="5"/>
        <v>1</v>
      </c>
      <c r="AO18" s="889">
        <f t="shared" si="5"/>
        <v>1</v>
      </c>
      <c r="AP18" s="889">
        <f t="shared" si="5"/>
        <v>1</v>
      </c>
      <c r="AQ18" s="889">
        <f t="shared" si="5"/>
        <v>1</v>
      </c>
      <c r="AR18" s="889">
        <f t="shared" si="5"/>
        <v>1</v>
      </c>
    </row>
    <row r="19" spans="2:45">
      <c r="B19" s="1076"/>
      <c r="AS19" s="869"/>
    </row>
    <row r="20" spans="2:45">
      <c r="D20" s="1075" t="str">
        <f t="shared" ref="D20:K20" si="6">INDEX(gebruiksfuncties_fitcurve_NTA8800,MATCH($E$4,gebruiksfuncties_namen,0))
&amp;INDEX(ventilatiesystemen_code,MATCH($J$4,ventilatiesystemen_namen,0))
&amp;$E$6
&amp;$J$6</f>
        <v>woningD2450Q;H;nd</v>
      </c>
      <c r="E20" s="1075" t="str">
        <f t="shared" si="6"/>
        <v>woningD2450Q;H;nd</v>
      </c>
      <c r="F20" s="1075" t="str">
        <f t="shared" si="6"/>
        <v>woningD2450Q;H;nd</v>
      </c>
      <c r="G20" s="1075" t="str">
        <f t="shared" si="6"/>
        <v>woningD2450Q;H;nd</v>
      </c>
      <c r="H20" s="1075" t="str">
        <f t="shared" si="6"/>
        <v>woningD2450Q;H;nd</v>
      </c>
      <c r="I20" s="1075" t="str">
        <f t="shared" si="6"/>
        <v>woningD2450Q;H;nd</v>
      </c>
      <c r="J20" s="1075" t="str">
        <f t="shared" si="6"/>
        <v>woningD2450Q;H;nd</v>
      </c>
      <c r="K20" s="1075" t="str">
        <f t="shared" si="6"/>
        <v>woningD2450Q;H;nd</v>
      </c>
      <c r="O20" s="1075" t="str">
        <f t="shared" ref="O20:V20" si="7">INDEX(gebruiksfuncties_fitcurve_NTA8800,MATCH($P$4,gebruiksfuncties_namen,0))
&amp;INDEX(ventilatiesystemen_code,MATCH(O$11,ventilatiesystemen_namen,0))
&amp;$P$6
&amp;$U$6</f>
        <v>woningA1450Q;H;nd</v>
      </c>
      <c r="P20" s="1075" t="str">
        <f t="shared" si="7"/>
        <v>woningA2a450Q;H;nd</v>
      </c>
      <c r="Q20" s="1075" t="str">
        <f t="shared" si="7"/>
        <v>woningC1450Q;H;nd</v>
      </c>
      <c r="R20" s="1075" t="str">
        <f t="shared" si="7"/>
        <v>woningC3b450Q;H;nd</v>
      </c>
      <c r="S20" s="1075" t="str">
        <f t="shared" si="7"/>
        <v>woningC3c450Q;H;nd</v>
      </c>
      <c r="T20" s="1075" t="str">
        <f t="shared" si="7"/>
        <v>woningD1450Q;H;nd</v>
      </c>
      <c r="U20" s="1075" t="str">
        <f t="shared" si="7"/>
        <v>woningD2450Q;H;nd</v>
      </c>
      <c r="V20" s="1075" t="str">
        <f t="shared" si="7"/>
        <v>woningD5450Q;H;nd</v>
      </c>
      <c r="Z20" s="1075" t="str">
        <f t="shared" ref="Z20:AG20" si="8">INDEX(gebruiksfuncties_fitcurve_NTA8800,MATCH($AA$4,gebruiksfuncties_namen,0))
&amp;INDEX(ventilatiesystemen_code,MATCH($AF$4,ventilatiesystemen_namen,0))
&amp;$AA$6
&amp;$AF$6</f>
        <v>woningD2450Q;C;nd</v>
      </c>
      <c r="AA20" s="1075" t="str">
        <f t="shared" si="8"/>
        <v>woningD2450Q;C;nd</v>
      </c>
      <c r="AB20" s="1075" t="str">
        <f t="shared" si="8"/>
        <v>woningD2450Q;C;nd</v>
      </c>
      <c r="AC20" s="1075" t="str">
        <f t="shared" si="8"/>
        <v>woningD2450Q;C;nd</v>
      </c>
      <c r="AD20" s="1075" t="str">
        <f t="shared" si="8"/>
        <v>woningD2450Q;C;nd</v>
      </c>
      <c r="AE20" s="1075" t="str">
        <f t="shared" si="8"/>
        <v>woningD2450Q;C;nd</v>
      </c>
      <c r="AF20" s="1075" t="str">
        <f t="shared" si="8"/>
        <v>woningD2450Q;C;nd</v>
      </c>
      <c r="AG20" s="1075" t="str">
        <f t="shared" si="8"/>
        <v>woningD2450Q;C;nd</v>
      </c>
      <c r="AK20" s="1075" t="str">
        <f t="shared" ref="AK20:AR20" si="9">INDEX(gebruiksfuncties_fitcurve_NTA8800,MATCH($AL$4,gebruiksfuncties_namen,0))
&amp;INDEX(ventilatiesystemen_code,MATCH(AK$11,ventilatiesystemen_namen,0))
&amp;$AL$6
&amp;$AQ$6</f>
        <v>woningA1450Q;C;nd</v>
      </c>
      <c r="AL20" s="1075" t="str">
        <f t="shared" si="9"/>
        <v>woningA2a450Q;C;nd</v>
      </c>
      <c r="AM20" s="1075" t="str">
        <f t="shared" si="9"/>
        <v>woningC1450Q;C;nd</v>
      </c>
      <c r="AN20" s="1075" t="str">
        <f t="shared" si="9"/>
        <v>woningC3b450Q;C;nd</v>
      </c>
      <c r="AO20" s="1075" t="str">
        <f t="shared" si="9"/>
        <v>woningC3c450Q;C;nd</v>
      </c>
      <c r="AP20" s="1075" t="str">
        <f t="shared" si="9"/>
        <v>woningD1450Q;C;nd</v>
      </c>
      <c r="AQ20" s="1075" t="str">
        <f t="shared" si="9"/>
        <v>woningD2450Q;C;nd</v>
      </c>
      <c r="AR20" s="1075" t="str">
        <f t="shared" si="9"/>
        <v>woningD5450Q;C;nd</v>
      </c>
    </row>
    <row r="21" spans="2:45">
      <c r="B21" t="str">
        <f>IF(E6="450","zwaar","licht")</f>
        <v>licht</v>
      </c>
      <c r="D21" s="1075" t="s">
        <v>1881</v>
      </c>
      <c r="M21" t="str">
        <f>IF(P6="450","zwaar","licht")</f>
        <v>licht</v>
      </c>
      <c r="X21" t="str">
        <f>IF(AA6="450","zwaar","licht")</f>
        <v>licht</v>
      </c>
      <c r="AI21" t="str">
        <f>IF(AL6="450","zwaar","licht")</f>
        <v>licht</v>
      </c>
    </row>
    <row r="22" spans="2:45">
      <c r="D22" s="1075" t="s">
        <v>1882</v>
      </c>
      <c r="M22" t="s">
        <v>737</v>
      </c>
      <c r="X22" t="str">
        <f>TEXT($AF$5,"#.##0,00")&amp;" m2 raam/m2 GBO"</f>
        <v>0,15 m2 raam/m2 GBO</v>
      </c>
      <c r="AI22" t="str">
        <f>TEXT($AQ$5,"#.##0,00")&amp;" m2 raam/m2 GBO"</f>
        <v>0,15 m2 raam/m2 GBO</v>
      </c>
    </row>
  </sheetData>
  <sheetProtection algorithmName="SHA-512" hashValue="s2lxnbP1U/tpSu8shkBygbSyU9ii3kADMFsv2nI8knqRrSR2xFE1Y2iiW7hIEVcF+SnlCifTByvvKoqN83RU9Q==" saltValue="YHHtwUhJbSn6/i+hyZXfqQ==" spinCount="100000" sheet="1" objects="1" scenarios="1" formatColumns="0" selectLockedCells="1" autoFilter="0"/>
  <mergeCells count="36">
    <mergeCell ref="O12:V12"/>
    <mergeCell ref="AA6:AB6"/>
    <mergeCell ref="AL6:AM6"/>
    <mergeCell ref="AF6:AG6"/>
    <mergeCell ref="P4:Q4"/>
    <mergeCell ref="U4:V4"/>
    <mergeCell ref="AL8:AR8"/>
    <mergeCell ref="AQ6:AR6"/>
    <mergeCell ref="AK10:AR10"/>
    <mergeCell ref="AK12:AR12"/>
    <mergeCell ref="AI2:AR2"/>
    <mergeCell ref="AL4:AM4"/>
    <mergeCell ref="AL5:AM5"/>
    <mergeCell ref="AA4:AB4"/>
    <mergeCell ref="AF4:AG4"/>
    <mergeCell ref="AA5:AB5"/>
    <mergeCell ref="AF5:AG5"/>
    <mergeCell ref="X2:AG2"/>
    <mergeCell ref="AQ4:AR4"/>
    <mergeCell ref="AQ5:AR5"/>
    <mergeCell ref="B2:K2"/>
    <mergeCell ref="M2:V2"/>
    <mergeCell ref="Z10:AG10"/>
    <mergeCell ref="Z8:AG8"/>
    <mergeCell ref="Z12:AG12"/>
    <mergeCell ref="J4:K4"/>
    <mergeCell ref="E4:F4"/>
    <mergeCell ref="P8:V8"/>
    <mergeCell ref="D12:K12"/>
    <mergeCell ref="D10:K10"/>
    <mergeCell ref="D8:K8"/>
    <mergeCell ref="E6:F6"/>
    <mergeCell ref="P6:Q6"/>
    <mergeCell ref="J6:K6"/>
    <mergeCell ref="U6:V6"/>
    <mergeCell ref="O10:V10"/>
  </mergeCells>
  <conditionalFormatting sqref="E4:F4">
    <cfRule type="expression" dxfId="9" priority="14">
      <formula>ISERROR(MATCH(E4,gebruiksfuncties_namen,0))=TRUE</formula>
    </cfRule>
  </conditionalFormatting>
  <conditionalFormatting sqref="E6:F6">
    <cfRule type="expression" dxfId="8" priority="8">
      <formula>ISERROR(MATCH(E6,specifieke_interne_warmtecapaciteit,0))=TRUE</formula>
    </cfRule>
  </conditionalFormatting>
  <conditionalFormatting sqref="J4:K4">
    <cfRule type="expression" dxfId="7" priority="10">
      <formula>ISERROR(MATCH(J4,ventilatiesystemen_namen,0))=TRUE</formula>
    </cfRule>
  </conditionalFormatting>
  <conditionalFormatting sqref="P4:Q4">
    <cfRule type="expression" dxfId="6" priority="13">
      <formula>ISERROR(MATCH(P4,gebruiksfuncties_namen,0))=TRUE</formula>
    </cfRule>
  </conditionalFormatting>
  <conditionalFormatting sqref="P6:Q6">
    <cfRule type="expression" dxfId="5" priority="7">
      <formula>ISERROR(MATCH(P6,specifieke_interne_warmtecapaciteit,0))=TRUE</formula>
    </cfRule>
  </conditionalFormatting>
  <conditionalFormatting sqref="AA4:AB4">
    <cfRule type="expression" dxfId="4" priority="12">
      <formula>ISERROR(MATCH(AA4,gebruiksfuncties_namen,0))=TRUE</formula>
    </cfRule>
  </conditionalFormatting>
  <conditionalFormatting sqref="AA6:AB6">
    <cfRule type="expression" dxfId="3" priority="6">
      <formula>ISERROR(MATCH(AA6,specifieke_interne_warmtecapaciteit,0))=TRUE</formula>
    </cfRule>
  </conditionalFormatting>
  <conditionalFormatting sqref="AF4:AG4">
    <cfRule type="expression" dxfId="2" priority="9">
      <formula>ISERROR(MATCH(AF4,ventilatiesystemen_namen,0))=TRUE</formula>
    </cfRule>
  </conditionalFormatting>
  <conditionalFormatting sqref="AL4:AM4">
    <cfRule type="expression" dxfId="1" priority="11">
      <formula>ISERROR(MATCH(AL4,gebruiksfuncties_namen,0))=TRUE</formula>
    </cfRule>
  </conditionalFormatting>
  <conditionalFormatting sqref="AL6:AM6">
    <cfRule type="expression" dxfId="0" priority="5">
      <formula>ISERROR(MATCH(AL6,specifieke_interne_warmtecapaciteit,0))=TRUE</formula>
    </cfRule>
  </conditionalFormatting>
  <dataValidations count="7">
    <dataValidation type="decimal" operator="greaterThanOrEqual" allowBlank="1" showInputMessage="1" showErrorMessage="1" sqref="AL5 AA5" xr:uid="{E3F6B050-99BD-48CE-BD5F-794E3A392A0E}">
      <formula1>20</formula1>
    </dataValidation>
    <dataValidation type="decimal" allowBlank="1" showInputMessage="1" showErrorMessage="1" sqref="AF5 AQ5" xr:uid="{C292D8FC-3655-49D4-B723-3763E2D81279}">
      <formula1>0.05</formula1>
      <formula2>0.5</formula2>
    </dataValidation>
    <dataValidation type="list" allowBlank="1" showInputMessage="1" showErrorMessage="1" sqref="E4:E5 AA4:AA5 P4:P5 AL4:AL5" xr:uid="{2C40FEB7-B545-4E21-B577-7C4908FFB2FD}">
      <formula1>gebruiksfuncties_namen</formula1>
    </dataValidation>
    <dataValidation type="list" allowBlank="1" showInputMessage="1" showErrorMessage="1" sqref="J4:J5 AF4:AF5" xr:uid="{F72F76DF-9436-4E5B-8AA9-86D9ADF6F874}">
      <formula1>ventilatiesystemen_namen</formula1>
    </dataValidation>
    <dataValidation type="list" allowBlank="1" showInputMessage="1" showErrorMessage="1" sqref="U4:V5 AQ4:AQ5" xr:uid="{8B6DB1A0-3650-4D5F-BA3E-B9F51B5F0E6C}">
      <formula1>$D$11:$K$11</formula1>
    </dataValidation>
    <dataValidation type="list" allowBlank="1" showInputMessage="1" showErrorMessage="1" sqref="E6:F6 AA6:AB6 P6:Q6 AL6:AM6" xr:uid="{DEC2045A-5835-4833-8C71-5CAA57A23CEC}">
      <formula1>specifieke_interne_warmtecapaciteit</formula1>
    </dataValidation>
    <dataValidation type="list" allowBlank="1" showInputMessage="1" showErrorMessage="1" sqref="J6:K6 AQ6:AR6 U6:V6 AF6" xr:uid="{1C558356-5802-43D6-899B-BBF7E9D37768}">
      <formula1>beschikbare_fitformules_NTA8800</formula1>
    </dataValidation>
  </dataValidations>
  <pageMargins left="0.7" right="0.7" top="0.75" bottom="0.75" header="0.3" footer="0.3"/>
  <pageSetup paperSize="9" orientation="portrait" horizontalDpi="4294967295" verticalDpi="4294967295" r:id="rId1"/>
  <headerFooter>
    <oddFooter>&amp;L_x000D_&amp;1#&amp;"Calibri"&amp;10&amp;K000000 Intern gebruik</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tabColor rgb="FF0070C0"/>
    <outlinePr showOutlineSymbols="0"/>
    <pageSetUpPr fitToPage="1"/>
  </sheetPr>
  <dimension ref="B1:BH39"/>
  <sheetViews>
    <sheetView showGridLines="0" showRowColHeaders="0" zoomScaleNormal="100" workbookViewId="0">
      <pane ySplit="4" topLeftCell="A5" activePane="bottomLeft" state="frozen"/>
      <selection activeCell="E8" sqref="E8"/>
      <selection pane="bottomLeft"/>
    </sheetView>
  </sheetViews>
  <sheetFormatPr defaultRowHeight="12.75"/>
  <cols>
    <col min="1" max="1" width="0.5703125" customWidth="1"/>
    <col min="2" max="4" width="2.7109375" customWidth="1"/>
    <col min="5" max="5" width="104" style="451" customWidth="1"/>
  </cols>
  <sheetData>
    <row r="1" spans="2:60" s="822" customFormat="1" ht="21">
      <c r="B1" s="816"/>
      <c r="C1" s="816"/>
      <c r="D1" s="816"/>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2:60" ht="23.25">
      <c r="B2" s="3"/>
      <c r="C2" s="661"/>
      <c r="D2" s="3"/>
      <c r="E2" s="639" t="s">
        <v>21</v>
      </c>
      <c r="F2" s="3"/>
    </row>
    <row r="3" spans="2:60" ht="19.5">
      <c r="B3" s="3"/>
      <c r="C3" s="379"/>
      <c r="D3" s="609"/>
      <c r="E3" s="664"/>
      <c r="F3" s="649"/>
      <c r="G3" s="33"/>
      <c r="H3" s="33"/>
      <c r="I3" s="33"/>
      <c r="J3" s="81"/>
      <c r="K3" s="78"/>
      <c r="L3" s="78"/>
      <c r="M3" s="33"/>
      <c r="N3" s="33"/>
      <c r="O3" s="33"/>
      <c r="P3" s="33"/>
      <c r="Q3" s="33"/>
      <c r="R3" s="33"/>
      <c r="S3" s="33"/>
      <c r="T3" s="4"/>
      <c r="U3" s="4"/>
    </row>
    <row r="4" spans="2:60" s="611" customFormat="1" ht="9" customHeight="1">
      <c r="B4" s="641"/>
      <c r="C4" s="641"/>
      <c r="D4" s="610"/>
      <c r="E4" s="610"/>
      <c r="F4" s="642"/>
      <c r="G4" s="642"/>
      <c r="H4" s="642"/>
      <c r="I4" s="642"/>
      <c r="J4" s="643"/>
      <c r="K4" s="643"/>
      <c r="L4" s="643"/>
      <c r="M4" s="642"/>
      <c r="N4" s="642"/>
      <c r="O4" s="642"/>
      <c r="P4" s="642"/>
      <c r="Q4" s="642"/>
      <c r="R4" s="642"/>
      <c r="S4" s="642"/>
      <c r="T4" s="610"/>
      <c r="U4" s="610"/>
    </row>
    <row r="5" spans="2:60" ht="15.75">
      <c r="B5" s="51"/>
      <c r="C5" s="41"/>
      <c r="D5" s="51"/>
      <c r="E5" s="660" t="s">
        <v>22</v>
      </c>
      <c r="F5" s="51"/>
    </row>
    <row r="6" spans="2:60" ht="242.25">
      <c r="B6" s="51"/>
      <c r="C6" s="43"/>
      <c r="D6" s="51"/>
      <c r="E6" s="662" t="s">
        <v>23</v>
      </c>
      <c r="F6" s="51"/>
    </row>
    <row r="7" spans="2:60" ht="15.75">
      <c r="B7" s="51"/>
      <c r="C7" s="43"/>
      <c r="D7" s="51"/>
      <c r="E7" s="1102" t="s">
        <v>24</v>
      </c>
      <c r="F7" s="51"/>
      <c r="G7" s="276"/>
    </row>
    <row r="8" spans="2:60" ht="15.75">
      <c r="B8" s="51"/>
      <c r="C8" s="51"/>
      <c r="D8" s="51"/>
      <c r="E8" s="450"/>
      <c r="F8" s="51"/>
    </row>
    <row r="9" spans="2:60" ht="15.75">
      <c r="B9" s="51"/>
      <c r="C9" s="41"/>
      <c r="D9" s="51"/>
      <c r="E9" s="660" t="s">
        <v>25</v>
      </c>
      <c r="F9" s="51"/>
      <c r="G9" s="490"/>
    </row>
    <row r="10" spans="2:60" ht="76.5">
      <c r="B10" s="52"/>
      <c r="C10" s="47"/>
      <c r="D10" s="52"/>
      <c r="E10" s="662" t="s">
        <v>26</v>
      </c>
      <c r="F10" s="52"/>
    </row>
    <row r="11" spans="2:60" ht="15.75">
      <c r="B11" s="51"/>
      <c r="C11" s="51"/>
      <c r="D11" s="51"/>
      <c r="E11" s="450"/>
      <c r="F11" s="51"/>
    </row>
    <row r="12" spans="2:60" ht="15.75">
      <c r="B12" s="51"/>
      <c r="C12" s="41"/>
      <c r="D12" s="51"/>
      <c r="E12" s="660" t="s">
        <v>27</v>
      </c>
      <c r="F12" s="51"/>
      <c r="G12" s="490"/>
    </row>
    <row r="13" spans="2:60" ht="178.5">
      <c r="B13" s="52"/>
      <c r="C13" s="47"/>
      <c r="D13" s="52"/>
      <c r="E13" s="663" t="s">
        <v>28</v>
      </c>
      <c r="F13" s="52"/>
    </row>
    <row r="14" spans="2:60" ht="15.75">
      <c r="B14" s="51"/>
      <c r="C14" s="51"/>
      <c r="D14" s="51"/>
      <c r="E14" s="450"/>
      <c r="F14" s="51"/>
    </row>
    <row r="15" spans="2:60" ht="15.75">
      <c r="B15" s="51"/>
      <c r="C15" s="41"/>
      <c r="D15" s="51"/>
      <c r="E15" s="660" t="s">
        <v>29</v>
      </c>
      <c r="F15" s="51"/>
      <c r="G15" s="490"/>
    </row>
    <row r="16" spans="2:60" ht="15.75">
      <c r="B16" s="52"/>
      <c r="C16" s="47"/>
      <c r="D16" s="52"/>
      <c r="E16" s="662" t="s">
        <v>30</v>
      </c>
      <c r="F16" s="52"/>
    </row>
    <row r="17" spans="2:7" ht="15.75">
      <c r="B17" s="52"/>
      <c r="C17" s="47"/>
      <c r="D17" s="52"/>
      <c r="E17" s="738" t="s">
        <v>31</v>
      </c>
      <c r="F17" s="52"/>
    </row>
    <row r="18" spans="2:7" ht="15.75">
      <c r="B18" s="52"/>
      <c r="C18" s="47"/>
      <c r="D18" s="52"/>
      <c r="E18" s="739" t="s">
        <v>32</v>
      </c>
      <c r="F18" s="52"/>
    </row>
    <row r="19" spans="2:7" ht="15.75">
      <c r="B19" s="52"/>
      <c r="C19" s="47"/>
      <c r="D19" s="52"/>
      <c r="E19" s="740" t="s">
        <v>33</v>
      </c>
      <c r="F19" s="52"/>
    </row>
    <row r="20" spans="2:7" ht="15.75">
      <c r="B20" s="52"/>
      <c r="C20" s="47"/>
      <c r="D20" s="52"/>
      <c r="E20" s="741" t="s">
        <v>34</v>
      </c>
      <c r="F20" s="52"/>
    </row>
    <row r="21" spans="2:7" ht="15.75">
      <c r="B21" s="51"/>
      <c r="C21" s="51"/>
      <c r="D21" s="51"/>
      <c r="E21" s="450"/>
      <c r="F21" s="51"/>
    </row>
    <row r="22" spans="2:7" ht="15.75">
      <c r="B22" s="51"/>
      <c r="C22" s="41"/>
      <c r="D22" s="51"/>
      <c r="E22" s="660" t="s">
        <v>35</v>
      </c>
      <c r="F22" s="51"/>
      <c r="G22" s="490"/>
    </row>
    <row r="23" spans="2:7" ht="76.5">
      <c r="B23" s="52"/>
      <c r="C23" s="47"/>
      <c r="D23" s="52"/>
      <c r="E23" s="662" t="s">
        <v>36</v>
      </c>
      <c r="F23" s="52"/>
    </row>
    <row r="24" spans="2:7" ht="15.75">
      <c r="B24" s="51"/>
      <c r="C24" s="51"/>
      <c r="D24" s="51"/>
      <c r="E24" s="450"/>
      <c r="F24" s="51"/>
    </row>
    <row r="25" spans="2:7" ht="15.75">
      <c r="B25" s="51"/>
      <c r="C25" s="41"/>
      <c r="D25" s="51"/>
      <c r="E25" s="660" t="s">
        <v>37</v>
      </c>
      <c r="F25" s="51"/>
    </row>
    <row r="26" spans="2:7" ht="242.25">
      <c r="B26" s="51"/>
      <c r="C26" s="47"/>
      <c r="D26" s="51"/>
      <c r="E26" s="662" t="s">
        <v>38</v>
      </c>
      <c r="F26" s="51"/>
    </row>
    <row r="27" spans="2:7" ht="15.75">
      <c r="B27" s="51"/>
      <c r="C27" s="51"/>
      <c r="D27" s="51"/>
      <c r="E27" s="450"/>
      <c r="F27" s="51"/>
    </row>
    <row r="28" spans="2:7" ht="15.75">
      <c r="B28" s="51"/>
      <c r="C28" s="50"/>
      <c r="D28" s="51"/>
      <c r="E28" s="660" t="s">
        <v>39</v>
      </c>
      <c r="F28" s="51"/>
    </row>
    <row r="29" spans="2:7" ht="51">
      <c r="B29" s="51"/>
      <c r="C29" s="49"/>
      <c r="D29" s="51"/>
      <c r="E29" s="662" t="s">
        <v>40</v>
      </c>
      <c r="F29" s="51"/>
    </row>
    <row r="30" spans="2:7" ht="15.75">
      <c r="B30" s="51"/>
      <c r="C30" s="51"/>
      <c r="D30" s="51"/>
      <c r="E30" s="450"/>
      <c r="F30" s="51"/>
    </row>
    <row r="31" spans="2:7" ht="15.75">
      <c r="B31" s="51"/>
      <c r="C31" s="50"/>
      <c r="D31" s="51"/>
      <c r="E31" s="660" t="s">
        <v>41</v>
      </c>
      <c r="F31" s="51"/>
    </row>
    <row r="32" spans="2:7" ht="38.25">
      <c r="B32" s="51"/>
      <c r="C32" s="49"/>
      <c r="D32" s="51"/>
      <c r="E32" s="662" t="s">
        <v>42</v>
      </c>
      <c r="F32" s="51"/>
    </row>
    <row r="33" spans="2:7" ht="63.75">
      <c r="B33" s="51"/>
      <c r="C33" s="49"/>
      <c r="D33" s="51"/>
      <c r="E33" s="662" t="s">
        <v>43</v>
      </c>
      <c r="F33" s="51"/>
    </row>
    <row r="34" spans="2:7" ht="15.75">
      <c r="B34" s="51"/>
      <c r="C34" s="40"/>
      <c r="D34" s="51"/>
      <c r="E34" s="450"/>
      <c r="F34" s="51"/>
    </row>
    <row r="35" spans="2:7" ht="15.75">
      <c r="B35" s="51"/>
      <c r="C35" s="50"/>
      <c r="D35" s="51"/>
      <c r="E35" s="660" t="s">
        <v>44</v>
      </c>
      <c r="F35" s="51"/>
    </row>
    <row r="36" spans="2:7" ht="38.25">
      <c r="B36" s="51"/>
      <c r="C36" s="49"/>
      <c r="D36" s="51"/>
      <c r="E36" s="662" t="s">
        <v>45</v>
      </c>
      <c r="F36" s="51"/>
    </row>
    <row r="37" spans="2:7" ht="15.75">
      <c r="B37" s="51"/>
      <c r="C37" s="40"/>
      <c r="D37" s="51"/>
      <c r="E37" s="450"/>
      <c r="F37" s="51"/>
    </row>
    <row r="38" spans="2:7" ht="15.75">
      <c r="B38" s="51"/>
      <c r="C38" s="41"/>
      <c r="D38" s="51"/>
      <c r="E38" s="660" t="s">
        <v>46</v>
      </c>
      <c r="F38" s="51"/>
      <c r="G38" s="490"/>
    </row>
    <row r="39" spans="2:7" ht="38.25">
      <c r="B39" s="51"/>
      <c r="C39" s="49"/>
      <c r="D39" s="51"/>
      <c r="E39" s="662" t="s">
        <v>47</v>
      </c>
      <c r="F39" s="51"/>
    </row>
  </sheetData>
  <sheetProtection algorithmName="SHA-512" hashValue="Ic+k82pfQv0tvRmDqDWGHzuvMM+P4a13t2pEjpb7mjm1dCEju0WHT99cQ3pzfZ+5nM7SDfLcmggbc0S6TO+vxA==" saltValue="s75+DWE1IvE0MoKgJzwR4w==" spinCount="100000" sheet="1" objects="1" scenarios="1" formatColumns="0" autoFilter="0"/>
  <phoneticPr fontId="4" type="noConversion"/>
  <hyperlinks>
    <hyperlink ref="E7" r:id="rId1" xr:uid="{A1A8C231-69DE-400F-BB3A-2FF5DA8C3C05}"/>
  </hyperlinks>
  <pageMargins left="0.25" right="0.25" top="0.75" bottom="0.75" header="0.3" footer="0.3"/>
  <pageSetup paperSize="9" scale="91" fitToHeight="0" orientation="portrait" r:id="rId2"/>
  <headerFooter>
    <oddFooter>&amp;L_x000D_&amp;1#&amp;"Calibri"&amp;10&amp;K000000 Intern gebruik</oddFooter>
  </headerFooter>
  <rowBreaks count="2" manualBreakCount="2">
    <brk id="24" min="2" max="2" man="1"/>
    <brk id="30" min="2" max="2"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1CDE-CC8F-4275-81BF-B5F9CB14A7EE}">
  <sheetPr codeName="Blad2">
    <tabColor theme="6" tint="0.59999389629810485"/>
    <outlinePr showOutlineSymbols="0"/>
    <pageSetUpPr fitToPage="1"/>
  </sheetPr>
  <dimension ref="A1:BH70"/>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3" sqref="F3:G3"/>
    </sheetView>
  </sheetViews>
  <sheetFormatPr defaultRowHeight="15.75"/>
  <cols>
    <col min="1" max="1" width="0.5703125" style="612" customWidth="1"/>
    <col min="2" max="3" width="2.7109375" customWidth="1"/>
    <col min="4" max="4" width="2.7109375" style="868" customWidth="1"/>
    <col min="5" max="6" width="31.5703125" customWidth="1"/>
    <col min="7" max="7" width="20.7109375" customWidth="1"/>
    <col min="8" max="9" width="0.28515625" customWidth="1"/>
    <col min="10" max="10" width="15.7109375" customWidth="1"/>
    <col min="11" max="11" width="0.28515625" customWidth="1"/>
    <col min="12" max="20" width="15.7109375" customWidth="1"/>
    <col min="21" max="21" width="1" customWidth="1"/>
  </cols>
  <sheetData>
    <row r="1" spans="1:60" s="822" customFormat="1" ht="21">
      <c r="A1" s="816"/>
      <c r="B1" s="816"/>
      <c r="C1" s="816"/>
      <c r="D1" s="85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ht="23.25">
      <c r="B2" s="69"/>
      <c r="C2" s="69"/>
      <c r="D2" s="750" t="s">
        <v>48</v>
      </c>
      <c r="E2" s="639" t="s">
        <v>49</v>
      </c>
      <c r="F2" s="4"/>
      <c r="G2" s="786" t="str">
        <f>IF(ISERROR(SUM(J11:J12))=TRUE,"controleer invoer","")</f>
        <v/>
      </c>
      <c r="H2" s="4"/>
      <c r="I2" s="9"/>
      <c r="J2" s="73"/>
      <c r="K2" s="73"/>
      <c r="L2" s="73"/>
      <c r="M2" s="73"/>
      <c r="N2" s="73"/>
      <c r="O2" s="72"/>
      <c r="P2" s="71"/>
      <c r="Q2" s="71"/>
      <c r="R2" s="71"/>
      <c r="S2" s="71"/>
      <c r="T2" s="71"/>
      <c r="U2" s="71"/>
    </row>
    <row r="3" spans="1:60" ht="15.75" customHeight="1">
      <c r="B3" s="35"/>
      <c r="C3" s="35"/>
      <c r="D3" s="36"/>
      <c r="E3" s="854" t="s">
        <v>50</v>
      </c>
      <c r="F3" s="1103"/>
      <c r="G3" s="1104"/>
      <c r="H3" s="5"/>
      <c r="I3" s="16"/>
      <c r="J3" s="74"/>
      <c r="K3" s="74"/>
      <c r="L3" s="74"/>
      <c r="M3" s="74"/>
      <c r="N3" s="74"/>
      <c r="O3" s="74"/>
      <c r="P3" s="74"/>
      <c r="Q3" s="74"/>
      <c r="R3" s="74"/>
      <c r="S3" s="74"/>
      <c r="T3" s="74"/>
      <c r="U3" s="74"/>
    </row>
    <row r="4" spans="1:60" ht="15.75" customHeight="1">
      <c r="B4" s="1106" t="s">
        <v>51</v>
      </c>
      <c r="C4" s="34"/>
      <c r="D4" s="70"/>
      <c r="E4" s="855" t="s">
        <v>52</v>
      </c>
      <c r="F4" s="1108"/>
      <c r="G4" s="1109"/>
      <c r="H4" s="4"/>
      <c r="I4" s="9"/>
      <c r="J4" s="71"/>
      <c r="K4" s="71"/>
      <c r="L4" s="71"/>
      <c r="M4" s="71"/>
      <c r="N4" s="71"/>
      <c r="O4" s="71"/>
      <c r="P4" s="71"/>
      <c r="Q4" s="71"/>
      <c r="R4" s="71"/>
      <c r="S4" s="71"/>
      <c r="T4" s="71"/>
      <c r="U4" s="71"/>
    </row>
    <row r="5" spans="1:60" ht="15.75" customHeight="1">
      <c r="B5" s="1106"/>
      <c r="C5" s="34"/>
      <c r="D5" s="36"/>
      <c r="E5" s="856" t="s">
        <v>53</v>
      </c>
      <c r="F5" s="1110"/>
      <c r="G5" s="1111"/>
      <c r="H5" s="4"/>
      <c r="I5" s="9"/>
      <c r="J5" s="71"/>
      <c r="K5" s="71"/>
      <c r="L5" s="71"/>
      <c r="M5" s="71"/>
      <c r="N5" s="71"/>
      <c r="O5" s="71"/>
      <c r="P5" s="71"/>
      <c r="Q5" s="71"/>
      <c r="R5" s="71"/>
      <c r="S5" s="71"/>
      <c r="T5" s="71"/>
      <c r="U5" s="71"/>
    </row>
    <row r="6" spans="1:60" s="611" customFormat="1" ht="9" customHeight="1">
      <c r="A6" s="657"/>
      <c r="B6" s="1106"/>
      <c r="C6" s="610"/>
      <c r="D6" s="864"/>
      <c r="E6" s="642"/>
      <c r="F6" s="642"/>
      <c r="G6" s="642"/>
      <c r="H6" s="642"/>
      <c r="I6" s="643"/>
      <c r="J6" s="643"/>
      <c r="K6" s="643"/>
      <c r="L6" s="642"/>
      <c r="M6" s="642"/>
      <c r="N6" s="642"/>
      <c r="O6" s="642"/>
      <c r="P6" s="642"/>
      <c r="Q6" s="642"/>
      <c r="R6" s="642"/>
      <c r="S6" s="642"/>
      <c r="T6" s="610"/>
      <c r="U6" s="610"/>
    </row>
    <row r="7" spans="1:60" ht="19.5">
      <c r="A7" s="665"/>
      <c r="B7" s="379"/>
      <c r="C7" s="609"/>
      <c r="D7" s="744" t="s">
        <v>48</v>
      </c>
      <c r="E7" s="649"/>
      <c r="F7" s="33"/>
      <c r="G7" s="33"/>
      <c r="H7" s="33"/>
      <c r="I7" s="81"/>
      <c r="J7" s="78"/>
      <c r="K7" s="78"/>
      <c r="L7" s="33"/>
      <c r="M7" s="33"/>
      <c r="N7" s="33"/>
      <c r="O7" s="33"/>
      <c r="P7" s="33"/>
      <c r="Q7" s="33"/>
      <c r="R7" s="33"/>
      <c r="S7" s="33"/>
      <c r="T7" s="4"/>
      <c r="U7" s="4"/>
    </row>
    <row r="8" spans="1:60" s="611" customFormat="1" ht="9" customHeight="1">
      <c r="A8" s="657"/>
      <c r="B8" s="641"/>
      <c r="C8" s="610"/>
      <c r="D8" s="864"/>
      <c r="E8" s="642"/>
      <c r="F8" s="642"/>
      <c r="G8" s="642"/>
      <c r="H8" s="642"/>
      <c r="I8" s="643"/>
      <c r="J8" s="643"/>
      <c r="K8" s="643"/>
      <c r="L8" s="642"/>
      <c r="M8" s="642"/>
      <c r="N8" s="642"/>
      <c r="O8" s="642"/>
      <c r="P8" s="642"/>
      <c r="Q8" s="642"/>
      <c r="R8" s="642"/>
      <c r="S8" s="642"/>
      <c r="T8" s="610"/>
      <c r="U8" s="610"/>
    </row>
    <row r="9" spans="1:60" ht="21">
      <c r="B9" s="656" t="s">
        <v>54</v>
      </c>
      <c r="C9" s="38"/>
      <c r="D9" s="865"/>
      <c r="E9" s="253" t="s">
        <v>55</v>
      </c>
      <c r="F9" s="1105"/>
      <c r="G9" s="1105"/>
      <c r="H9" s="80"/>
      <c r="I9" s="76"/>
      <c r="J9" s="318" t="s">
        <v>56</v>
      </c>
      <c r="K9" s="76"/>
      <c r="L9" s="440" t="s">
        <v>57</v>
      </c>
      <c r="M9" s="440" t="s">
        <v>58</v>
      </c>
    </row>
    <row r="10" spans="1:60" ht="18.75">
      <c r="B10" s="656" t="s">
        <v>54</v>
      </c>
      <c r="C10" s="475"/>
      <c r="D10" s="866" t="s">
        <v>59</v>
      </c>
      <c r="E10" s="236" t="s">
        <v>60</v>
      </c>
      <c r="F10" s="236"/>
      <c r="G10" s="236"/>
      <c r="H10" s="89"/>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38"/>
      <c r="BC10" s="38"/>
      <c r="BD10" s="274"/>
    </row>
    <row r="11" spans="1:60" s="38" customFormat="1">
      <c r="A11" s="612"/>
      <c r="B11" s="656" t="s">
        <v>54</v>
      </c>
      <c r="D11" s="865"/>
      <c r="E11" s="182" t="s">
        <v>61</v>
      </c>
      <c r="F11" s="182"/>
      <c r="G11" s="183" t="s">
        <v>62</v>
      </c>
      <c r="H11" s="76"/>
      <c r="I11" s="474"/>
      <c r="J11" s="230">
        <f>SUM(K11:U11)</f>
        <v>0</v>
      </c>
      <c r="K11" s="474"/>
      <c r="L11" s="465">
        <f>J22+J36+J50+J64</f>
        <v>0</v>
      </c>
      <c r="M11" s="465">
        <f>J23+J37+J51+J65</f>
        <v>0</v>
      </c>
    </row>
    <row r="12" spans="1:60" s="38" customFormat="1">
      <c r="A12" s="612"/>
      <c r="B12" s="656" t="s">
        <v>54</v>
      </c>
      <c r="D12" s="865"/>
      <c r="E12" s="182" t="s">
        <v>63</v>
      </c>
      <c r="F12" s="182"/>
      <c r="G12" s="183" t="s">
        <v>64</v>
      </c>
      <c r="H12" s="76"/>
      <c r="I12" s="474"/>
      <c r="J12" s="230">
        <f>SUM(K12:U12)</f>
        <v>0</v>
      </c>
      <c r="K12" s="474"/>
      <c r="L12" s="465">
        <f>SUMPRODUCT(K22:U22,$K$24:$U$24)+SUMPRODUCT(K36:U36,$K$38:$U$38)+SUMPRODUCT(K50:U50,$K$52:$U$52)+SUMPRODUCT(K64:U64,$K$66:$U$66)</f>
        <v>0</v>
      </c>
      <c r="M12" s="465">
        <f>SUMPRODUCT(K23:U23,$K$24:$U$24)+SUMPRODUCT(K37:U37,$K$38:$U$38)+SUMPRODUCT(K51:U51,$K$52:$U$52)+SUMPRODUCT(K65:U65,$K$66:$U$66)</f>
        <v>0</v>
      </c>
    </row>
    <row r="13" spans="1:60">
      <c r="B13" s="656" t="s">
        <v>54</v>
      </c>
      <c r="C13" s="38"/>
      <c r="D13" s="865"/>
      <c r="E13" s="38"/>
      <c r="F13" s="38"/>
      <c r="G13" s="38"/>
      <c r="H13" s="38"/>
      <c r="I13" s="38"/>
      <c r="J13" s="75"/>
      <c r="K13" s="38"/>
      <c r="L13" s="75"/>
      <c r="M13" s="75"/>
      <c r="N13" s="75"/>
      <c r="O13" s="75"/>
      <c r="P13" s="75"/>
      <c r="Q13" s="75"/>
      <c r="R13" s="75"/>
      <c r="S13" s="75"/>
      <c r="T13" s="75"/>
      <c r="U13" s="75"/>
    </row>
    <row r="14" spans="1:60">
      <c r="B14" s="656" t="s">
        <v>65</v>
      </c>
      <c r="C14" s="38"/>
      <c r="D14" s="865"/>
      <c r="E14" s="38"/>
      <c r="F14" s="38"/>
      <c r="G14" s="38"/>
      <c r="H14" s="38"/>
      <c r="I14" s="38"/>
      <c r="J14" s="75"/>
      <c r="K14" s="38"/>
      <c r="L14" s="75"/>
      <c r="M14" s="75"/>
      <c r="N14" s="75"/>
      <c r="O14" s="75"/>
      <c r="P14" s="75"/>
      <c r="Q14" s="75"/>
      <c r="R14" s="75"/>
      <c r="S14" s="75"/>
      <c r="T14" s="75"/>
      <c r="U14" s="75"/>
    </row>
    <row r="15" spans="1:60" ht="21">
      <c r="B15" s="656" t="s">
        <v>65</v>
      </c>
      <c r="C15" s="38"/>
      <c r="D15" s="865"/>
      <c r="E15" s="253" t="s">
        <v>65</v>
      </c>
      <c r="F15" s="1105"/>
      <c r="G15" s="1105"/>
      <c r="H15" s="80"/>
      <c r="I15" s="76"/>
      <c r="J15" s="318" t="s">
        <v>56</v>
      </c>
      <c r="K15" s="76"/>
      <c r="L15" s="440">
        <f ca="1">OFFSET(L15,0,-1)+1</f>
        <v>1</v>
      </c>
      <c r="M15" s="440">
        <f t="shared" ref="M15:T15" ca="1" si="0">OFFSET(M15,0,-1)+1</f>
        <v>2</v>
      </c>
      <c r="N15" s="440">
        <f t="shared" ca="1" si="0"/>
        <v>3</v>
      </c>
      <c r="O15" s="440">
        <f t="shared" ca="1" si="0"/>
        <v>4</v>
      </c>
      <c r="P15" s="440">
        <f t="shared" ca="1" si="0"/>
        <v>5</v>
      </c>
      <c r="Q15" s="440">
        <f t="shared" ca="1" si="0"/>
        <v>6</v>
      </c>
      <c r="R15" s="440">
        <f t="shared" ca="1" si="0"/>
        <v>7</v>
      </c>
      <c r="S15" s="440">
        <f t="shared" ca="1" si="0"/>
        <v>8</v>
      </c>
      <c r="T15" s="440">
        <f t="shared" ca="1" si="0"/>
        <v>9</v>
      </c>
      <c r="U15" s="76"/>
    </row>
    <row r="16" spans="1:60" ht="18.75">
      <c r="B16" s="656" t="s">
        <v>65</v>
      </c>
      <c r="C16" s="475"/>
      <c r="D16" s="866" t="s">
        <v>59</v>
      </c>
      <c r="E16" s="236" t="s">
        <v>66</v>
      </c>
      <c r="F16" s="236"/>
      <c r="G16" s="236"/>
      <c r="H16" s="89"/>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38"/>
      <c r="BC16" s="38"/>
      <c r="BD16" s="274"/>
    </row>
    <row r="17" spans="1:56" s="2" customFormat="1">
      <c r="A17" s="613"/>
      <c r="B17" s="656" t="s">
        <v>65</v>
      </c>
      <c r="D17" s="867"/>
      <c r="E17" s="220" t="s">
        <v>67</v>
      </c>
      <c r="F17" s="220"/>
      <c r="G17" s="221" t="s">
        <v>68</v>
      </c>
      <c r="H17" s="4"/>
      <c r="I17" s="478"/>
      <c r="J17" s="631"/>
      <c r="K17" s="478"/>
      <c r="L17" s="1107"/>
      <c r="M17" s="1107"/>
      <c r="N17" s="1107"/>
      <c r="O17" s="1107"/>
      <c r="P17" s="1107"/>
      <c r="Q17" s="1107"/>
      <c r="R17" s="1107"/>
      <c r="S17" s="1107"/>
      <c r="T17" s="1107"/>
      <c r="U17" s="632"/>
    </row>
    <row r="18" spans="1:56" s="2" customFormat="1">
      <c r="A18" s="613"/>
      <c r="B18" s="656" t="s">
        <v>65</v>
      </c>
      <c r="D18" s="747" t="s">
        <v>48</v>
      </c>
      <c r="E18" s="220" t="s">
        <v>69</v>
      </c>
      <c r="F18" s="220"/>
      <c r="G18" s="221" t="s">
        <v>68</v>
      </c>
      <c r="H18" s="4"/>
      <c r="I18" s="478"/>
      <c r="J18" s="631"/>
      <c r="K18" s="478"/>
      <c r="L18" s="1082"/>
      <c r="M18" s="1082"/>
      <c r="N18" s="1082"/>
      <c r="O18" s="1082"/>
      <c r="P18" s="1082"/>
      <c r="Q18" s="1082"/>
      <c r="R18" s="1082"/>
      <c r="S18" s="1082"/>
      <c r="T18" s="1082"/>
      <c r="U18" s="632"/>
    </row>
    <row r="19" spans="1:56" s="2" customFormat="1">
      <c r="A19" s="613"/>
      <c r="B19" s="656"/>
      <c r="D19" s="867"/>
      <c r="E19" s="317" t="s">
        <v>71</v>
      </c>
      <c r="F19" s="220"/>
      <c r="G19" s="221" t="s">
        <v>68</v>
      </c>
      <c r="H19" s="4"/>
      <c r="I19" s="478"/>
      <c r="J19" s="631"/>
      <c r="K19" s="478"/>
      <c r="L19" s="698" t="str">
        <f>IF(L18="","",INDEX(bibliotheek!$H$14:$EC$14,MATCH(L18,woningen_gebouwen_namen,0)))</f>
        <v/>
      </c>
      <c r="M19" s="698" t="str">
        <f>IF(M18="","",INDEX(bibliotheek!$H$14:$EC$14,MATCH(M18,woningen_gebouwen_namen,0)))</f>
        <v/>
      </c>
      <c r="N19" s="698" t="str">
        <f>IF(N18="","",INDEX(bibliotheek!$H$14:$EC$14,MATCH(N18,woningen_gebouwen_namen,0)))</f>
        <v/>
      </c>
      <c r="O19" s="698" t="str">
        <f>IF(O18="","",INDEX(bibliotheek!$H$14:$EC$14,MATCH(O18,woningen_gebouwen_namen,0)))</f>
        <v/>
      </c>
      <c r="P19" s="698" t="str">
        <f>IF(P18="","",INDEX(bibliotheek!$H$14:$EC$14,MATCH(P18,woningen_gebouwen_namen,0)))</f>
        <v/>
      </c>
      <c r="Q19" s="698" t="str">
        <f>IF(Q18="","",INDEX(bibliotheek!$H$14:$EC$14,MATCH(Q18,woningen_gebouwen_namen,0)))</f>
        <v/>
      </c>
      <c r="R19" s="698" t="str">
        <f>IF(R18="","",INDEX(bibliotheek!$H$14:$EC$14,MATCH(R18,woningen_gebouwen_namen,0)))</f>
        <v/>
      </c>
      <c r="S19" s="698" t="str">
        <f>IF(S18="","",INDEX(bibliotheek!$H$14:$EC$14,MATCH(S18,woningen_gebouwen_namen,0)))</f>
        <v/>
      </c>
      <c r="T19" s="698" t="str">
        <f>IF(T18="","",INDEX(bibliotheek!$H$14:$EC$14,MATCH(T18,woningen_gebouwen_namen,0)))</f>
        <v/>
      </c>
      <c r="U19" s="632"/>
    </row>
    <row r="20" spans="1:56" s="2" customFormat="1">
      <c r="A20" s="613"/>
      <c r="B20" s="656" t="s">
        <v>65</v>
      </c>
      <c r="D20" s="867"/>
      <c r="E20" s="412" t="s">
        <v>72</v>
      </c>
      <c r="F20" s="220"/>
      <c r="G20" s="221" t="s">
        <v>68</v>
      </c>
      <c r="H20" s="4"/>
      <c r="I20" s="478"/>
      <c r="J20" s="631"/>
      <c r="K20" s="478"/>
      <c r="L20" s="697"/>
      <c r="M20" s="697"/>
      <c r="N20" s="697"/>
      <c r="O20" s="697"/>
      <c r="P20" s="697"/>
      <c r="Q20" s="697"/>
      <c r="R20" s="697"/>
      <c r="S20" s="697"/>
      <c r="T20" s="697"/>
      <c r="U20" s="632"/>
    </row>
    <row r="21" spans="1:56" s="2" customFormat="1">
      <c r="A21" s="613"/>
      <c r="B21" s="656" t="s">
        <v>65</v>
      </c>
      <c r="D21" s="867"/>
      <c r="E21" s="220" t="s">
        <v>73</v>
      </c>
      <c r="F21" s="220"/>
      <c r="G21" s="221" t="s">
        <v>62</v>
      </c>
      <c r="H21" s="4"/>
      <c r="I21" s="13"/>
      <c r="J21" s="230">
        <f>J22+J23</f>
        <v>0</v>
      </c>
      <c r="K21" s="478"/>
      <c r="L21" s="329"/>
      <c r="M21" s="329"/>
      <c r="N21" s="329"/>
      <c r="O21" s="329"/>
      <c r="P21" s="329"/>
      <c r="Q21" s="329"/>
      <c r="R21" s="329"/>
      <c r="S21" s="329"/>
      <c r="T21" s="329"/>
      <c r="U21" s="479"/>
    </row>
    <row r="22" spans="1:56" s="2" customFormat="1">
      <c r="A22" s="613"/>
      <c r="B22" s="656" t="s">
        <v>65</v>
      </c>
      <c r="D22" s="867"/>
      <c r="E22" s="316" t="s">
        <v>74</v>
      </c>
      <c r="F22" s="316"/>
      <c r="G22" s="354" t="s">
        <v>75</v>
      </c>
      <c r="H22" s="4"/>
      <c r="I22" s="13"/>
      <c r="J22" s="230">
        <f>SUM(K22:U22)</f>
        <v>0</v>
      </c>
      <c r="K22" s="478"/>
      <c r="L22" s="633" t="str">
        <f>IF(L18="","",IF(OR(HLOOKUP(L18,woningen_gebouwen_gegevens,ROWS(bibliotheek!$E$13:$E$14),FALSE)=woning,HLOOKUP(L18,woningen_gebouwen_gegevens,ROWS(bibliotheek!$E$13:$E$14),FALSE)=woongebouw),L21,0))</f>
        <v/>
      </c>
      <c r="M22" s="633" t="str">
        <f>IF(M18="","",IF(OR(HLOOKUP(M18,woningen_gebouwen_gegevens,ROWS(bibliotheek!$E$13:$E$14),FALSE)=woning,HLOOKUP(M18,woningen_gebouwen_gegevens,ROWS(bibliotheek!$E$13:$E$14),FALSE)=woongebouw),M21,0))</f>
        <v/>
      </c>
      <c r="N22" s="633" t="str">
        <f>IF(N18="","",IF(OR(HLOOKUP(N18,woningen_gebouwen_gegevens,ROWS(bibliotheek!$E$13:$E$14),FALSE)=woning,HLOOKUP(N18,woningen_gebouwen_gegevens,ROWS(bibliotheek!$E$13:$E$14),FALSE)=woongebouw),N21,0))</f>
        <v/>
      </c>
      <c r="O22" s="633" t="str">
        <f>IF(O18="","",IF(OR(HLOOKUP(O18,woningen_gebouwen_gegevens,ROWS(bibliotheek!$E$13:$E$14),FALSE)=woning,HLOOKUP(O18,woningen_gebouwen_gegevens,ROWS(bibliotheek!$E$13:$E$14),FALSE)=woongebouw),O21,0))</f>
        <v/>
      </c>
      <c r="P22" s="633" t="str">
        <f>IF(P18="","",IF(OR(HLOOKUP(P18,woningen_gebouwen_gegevens,ROWS(bibliotheek!$E$13:$E$14),FALSE)=woning,HLOOKUP(P18,woningen_gebouwen_gegevens,ROWS(bibliotheek!$E$13:$E$14),FALSE)=woongebouw),P21,0))</f>
        <v/>
      </c>
      <c r="Q22" s="633" t="str">
        <f>IF(Q18="","",IF(OR(HLOOKUP(Q18,woningen_gebouwen_gegevens,ROWS(bibliotheek!$E$13:$E$14),FALSE)=woning,HLOOKUP(Q18,woningen_gebouwen_gegevens,ROWS(bibliotheek!$E$13:$E$14),FALSE)=woongebouw),Q21,0))</f>
        <v/>
      </c>
      <c r="R22" s="633" t="str">
        <f>IF(R18="","",IF(OR(HLOOKUP(R18,woningen_gebouwen_gegevens,ROWS(bibliotheek!$E$13:$E$14),FALSE)=woning,HLOOKUP(R18,woningen_gebouwen_gegevens,ROWS(bibliotheek!$E$13:$E$14),FALSE)=woongebouw),R21,0))</f>
        <v/>
      </c>
      <c r="S22" s="633" t="str">
        <f>IF(S18="","",IF(OR(HLOOKUP(S18,woningen_gebouwen_gegevens,ROWS(bibliotheek!$E$13:$E$14),FALSE)=woning,HLOOKUP(S18,woningen_gebouwen_gegevens,ROWS(bibliotheek!$E$13:$E$14),FALSE)=woongebouw),S21,0))</f>
        <v/>
      </c>
      <c r="T22" s="633" t="str">
        <f>IF(T18="","",IF(OR(HLOOKUP(T18,woningen_gebouwen_gegevens,ROWS(bibliotheek!$E$13:$E$14),FALSE)=woning,HLOOKUP(T18,woningen_gebouwen_gegevens,ROWS(bibliotheek!$E$13:$E$14),FALSE)=woongebouw),T21,0))</f>
        <v/>
      </c>
      <c r="U22" s="479"/>
    </row>
    <row r="23" spans="1:56" s="2" customFormat="1">
      <c r="A23" s="613"/>
      <c r="B23" s="656" t="s">
        <v>65</v>
      </c>
      <c r="D23" s="867"/>
      <c r="E23" s="316" t="s">
        <v>76</v>
      </c>
      <c r="F23" s="316"/>
      <c r="G23" s="354" t="s">
        <v>77</v>
      </c>
      <c r="H23" s="4"/>
      <c r="I23" s="13"/>
      <c r="J23" s="230">
        <f>SUM(K23:U23)</f>
        <v>0</v>
      </c>
      <c r="K23" s="478"/>
      <c r="L23" s="466" t="str">
        <f>IF(L18="","""",L21-L22)</f>
        <v>"</v>
      </c>
      <c r="M23" s="466" t="str">
        <f t="shared" ref="M23:T23" si="1">IF(M18="","""",M21-M22)</f>
        <v>"</v>
      </c>
      <c r="N23" s="466" t="str">
        <f t="shared" si="1"/>
        <v>"</v>
      </c>
      <c r="O23" s="466" t="str">
        <f t="shared" si="1"/>
        <v>"</v>
      </c>
      <c r="P23" s="466" t="str">
        <f t="shared" si="1"/>
        <v>"</v>
      </c>
      <c r="Q23" s="466" t="str">
        <f t="shared" si="1"/>
        <v>"</v>
      </c>
      <c r="R23" s="466" t="str">
        <f t="shared" si="1"/>
        <v>"</v>
      </c>
      <c r="S23" s="466" t="str">
        <f>IF(S18="","""",S21-S22)</f>
        <v>"</v>
      </c>
      <c r="T23" s="466" t="str">
        <f t="shared" si="1"/>
        <v>"</v>
      </c>
      <c r="U23" s="479"/>
    </row>
    <row r="24" spans="1:56" s="2" customFormat="1">
      <c r="A24" s="613"/>
      <c r="B24" s="656" t="s">
        <v>65</v>
      </c>
      <c r="D24" s="867"/>
      <c r="E24" s="316" t="s">
        <v>78</v>
      </c>
      <c r="F24" s="316"/>
      <c r="G24" s="354" t="s">
        <v>79</v>
      </c>
      <c r="J24" s="229">
        <f>SUMPRODUCT(K21:U21,K24:U24)</f>
        <v>0</v>
      </c>
      <c r="L24" s="452" t="str">
        <f>IF(L18="","",IF(L25&lt;&gt;"",L25,HLOOKUP(L18,woningen_gebouwen_gegevens,ROWS(bibliotheek!$E$13:$E$16),FALSE)))</f>
        <v/>
      </c>
      <c r="M24" s="452" t="str">
        <f>IF(M18="","",IF(M25&lt;&gt;"",M25,HLOOKUP(M18,woningen_gebouwen_gegevens,ROWS(bibliotheek!$E$13:$E$16),FALSE)))</f>
        <v/>
      </c>
      <c r="N24" s="452" t="str">
        <f>IF(N18="","",IF(N25&lt;&gt;"",N25,HLOOKUP(N18,woningen_gebouwen_gegevens,ROWS(bibliotheek!$E$13:$E$16),FALSE)))</f>
        <v/>
      </c>
      <c r="O24" s="452" t="str">
        <f>IF(O18="","",IF(O25&lt;&gt;"",O25,HLOOKUP(O18,woningen_gebouwen_gegevens,ROWS(bibliotheek!$E$13:$E$16),FALSE)))</f>
        <v/>
      </c>
      <c r="P24" s="452" t="str">
        <f>IF(P18="","",IF(P25&lt;&gt;"",P25,HLOOKUP(P18,woningen_gebouwen_gegevens,ROWS(bibliotheek!$E$13:$E$16),FALSE)))</f>
        <v/>
      </c>
      <c r="Q24" s="452" t="str">
        <f>IF(Q18="","",IF(Q25&lt;&gt;"",Q25,HLOOKUP(Q18,woningen_gebouwen_gegevens,ROWS(bibliotheek!$E$13:$E$16),FALSE)))</f>
        <v/>
      </c>
      <c r="R24" s="452" t="str">
        <f>IF(R18="","",IF(R25&lt;&gt;"",R25,HLOOKUP(R18,woningen_gebouwen_gegevens,ROWS(bibliotheek!$E$13:$E$16),FALSE)))</f>
        <v/>
      </c>
      <c r="S24" s="452" t="str">
        <f>IF(S18="","",IF(S25&lt;&gt;"",S25,HLOOKUP(S18,woningen_gebouwen_gegevens,ROWS(bibliotheek!$E$13:$E$16),FALSE)))</f>
        <v/>
      </c>
      <c r="T24" s="452" t="str">
        <f>IF(T18="","",IF(T25&lt;&gt;"",T25,HLOOKUP(T18,woningen_gebouwen_gegevens,ROWS(bibliotheek!$E$13:$E$16),FALSE)))</f>
        <v/>
      </c>
      <c r="U24" s="441"/>
    </row>
    <row r="25" spans="1:56" s="2" customFormat="1">
      <c r="A25" s="613"/>
      <c r="B25" s="656" t="s">
        <v>65</v>
      </c>
      <c r="D25" s="867"/>
      <c r="E25" s="412" t="s">
        <v>80</v>
      </c>
      <c r="F25" s="317"/>
      <c r="G25" s="355"/>
      <c r="J25" s="239"/>
      <c r="L25" s="159"/>
      <c r="M25" s="159"/>
      <c r="N25" s="159"/>
      <c r="O25" s="159"/>
      <c r="P25" s="159"/>
      <c r="Q25" s="159"/>
      <c r="R25" s="159"/>
      <c r="S25" s="159"/>
      <c r="T25" s="159"/>
      <c r="U25" s="441"/>
    </row>
    <row r="26" spans="1:56" s="2" customFormat="1">
      <c r="A26" s="613"/>
      <c r="B26" s="656" t="s">
        <v>65</v>
      </c>
      <c r="D26" s="867"/>
      <c r="E26" s="442" t="s">
        <v>81</v>
      </c>
      <c r="F26" s="220"/>
      <c r="G26" s="464" t="s">
        <v>79</v>
      </c>
      <c r="H26" s="4"/>
      <c r="I26" s="478"/>
      <c r="J26" s="230">
        <f>SUMPRODUCT(K21:U21,K26:U26)</f>
        <v>0</v>
      </c>
      <c r="K26" s="478"/>
      <c r="L26" s="272" t="str">
        <f>IF(L18="","",L24*HLOOKUP(L18,woningen_gebouwen_gegevens,ROWS(bibliotheek!$E$13:$E$26),FALSE))</f>
        <v/>
      </c>
      <c r="M26" s="272" t="str">
        <f>IF(M18="","",M24*HLOOKUP(M18,woningen_gebouwen_gegevens,ROWS(bibliotheek!$E$13:$E$26),FALSE))</f>
        <v/>
      </c>
      <c r="N26" s="272" t="str">
        <f>IF(N18="","",N24*HLOOKUP(N18,woningen_gebouwen_gegevens,ROWS(bibliotheek!$E$13:$E$26),FALSE))</f>
        <v/>
      </c>
      <c r="O26" s="272" t="str">
        <f>IF(O18="","",O24*HLOOKUP(O18,woningen_gebouwen_gegevens,ROWS(bibliotheek!$E$13:$E$26),FALSE))</f>
        <v/>
      </c>
      <c r="P26" s="272" t="str">
        <f>IF(P18="","",P24*HLOOKUP(P18,woningen_gebouwen_gegevens,ROWS(bibliotheek!$E$13:$E$26),FALSE))</f>
        <v/>
      </c>
      <c r="Q26" s="272" t="str">
        <f>IF(Q18="","",Q24*HLOOKUP(Q18,woningen_gebouwen_gegevens,ROWS(bibliotheek!$E$13:$E$26),FALSE))</f>
        <v/>
      </c>
      <c r="R26" s="272" t="str">
        <f>IF(R18="","",R24*HLOOKUP(R18,woningen_gebouwen_gegevens,ROWS(bibliotheek!$E$13:$E$26),FALSE))</f>
        <v/>
      </c>
      <c r="S26" s="272" t="str">
        <f>IF(S18="","",S24*HLOOKUP(S18,woningen_gebouwen_gegevens,ROWS(bibliotheek!$E$13:$E$26),FALSE))</f>
        <v/>
      </c>
      <c r="T26" s="272" t="str">
        <f>IF(T18="","",T24*HLOOKUP(T18,woningen_gebouwen_gegevens,ROWS(bibliotheek!$E$13:$E$26),FALSE))</f>
        <v/>
      </c>
      <c r="U26" s="443"/>
    </row>
    <row r="27" spans="1:56">
      <c r="B27" s="656" t="s">
        <v>65</v>
      </c>
      <c r="C27" s="38"/>
      <c r="D27" s="865"/>
      <c r="E27" s="38"/>
      <c r="F27" s="38"/>
      <c r="G27" s="38"/>
      <c r="H27" s="38"/>
      <c r="I27" s="38"/>
      <c r="J27" s="75"/>
      <c r="K27" s="38"/>
      <c r="L27" s="75"/>
      <c r="M27" s="75"/>
      <c r="N27" s="75"/>
      <c r="O27" s="75"/>
      <c r="P27" s="75"/>
      <c r="Q27" s="75"/>
      <c r="R27" s="75"/>
      <c r="S27" s="75"/>
      <c r="T27" s="75"/>
      <c r="U27" s="75"/>
    </row>
    <row r="28" spans="1:56">
      <c r="B28" s="656" t="s">
        <v>82</v>
      </c>
      <c r="C28" s="38"/>
      <c r="D28" s="865"/>
      <c r="E28" s="38"/>
      <c r="F28" s="38"/>
      <c r="G28" s="38"/>
      <c r="H28" s="38"/>
      <c r="I28" s="38"/>
      <c r="J28" s="75"/>
      <c r="K28" s="38"/>
      <c r="L28" s="75"/>
      <c r="M28" s="75"/>
      <c r="N28" s="75"/>
      <c r="O28" s="75"/>
      <c r="P28" s="75"/>
      <c r="Q28" s="75"/>
      <c r="R28" s="75"/>
      <c r="S28" s="75"/>
      <c r="T28" s="75"/>
      <c r="U28" s="75"/>
    </row>
    <row r="29" spans="1:56" ht="21">
      <c r="B29" s="656" t="s">
        <v>82</v>
      </c>
      <c r="C29" s="38"/>
      <c r="D29" s="865"/>
      <c r="E29" s="253" t="s">
        <v>82</v>
      </c>
      <c r="F29" s="1105"/>
      <c r="G29" s="1105"/>
      <c r="H29" s="80"/>
      <c r="I29" s="76"/>
      <c r="J29" s="318" t="str">
        <f>$J$15</f>
        <v>totaal</v>
      </c>
      <c r="K29" s="76"/>
      <c r="L29" s="440">
        <f ca="1">OFFSET(L29,0,-1)+1</f>
        <v>1</v>
      </c>
      <c r="M29" s="440">
        <f t="shared" ref="M29:T29" ca="1" si="2">OFFSET(M29,0,-1)+1</f>
        <v>2</v>
      </c>
      <c r="N29" s="440">
        <f t="shared" ca="1" si="2"/>
        <v>3</v>
      </c>
      <c r="O29" s="440">
        <f t="shared" ca="1" si="2"/>
        <v>4</v>
      </c>
      <c r="P29" s="440">
        <f t="shared" ca="1" si="2"/>
        <v>5</v>
      </c>
      <c r="Q29" s="440">
        <f t="shared" ca="1" si="2"/>
        <v>6</v>
      </c>
      <c r="R29" s="440">
        <f t="shared" ca="1" si="2"/>
        <v>7</v>
      </c>
      <c r="S29" s="440">
        <f t="shared" ca="1" si="2"/>
        <v>8</v>
      </c>
      <c r="T29" s="440">
        <f t="shared" ca="1" si="2"/>
        <v>9</v>
      </c>
      <c r="U29" s="76"/>
    </row>
    <row r="30" spans="1:56" ht="18.75">
      <c r="B30" s="656" t="s">
        <v>82</v>
      </c>
      <c r="C30" s="475"/>
      <c r="D30" s="866"/>
      <c r="E30" s="236" t="s">
        <v>66</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38"/>
      <c r="BC30" s="38"/>
      <c r="BD30" s="274"/>
    </row>
    <row r="31" spans="1:56" s="2" customFormat="1" ht="15.75" customHeight="1">
      <c r="A31" s="613"/>
      <c r="B31" s="656" t="s">
        <v>82</v>
      </c>
      <c r="D31" s="867"/>
      <c r="E31" s="220" t="s">
        <v>67</v>
      </c>
      <c r="F31" s="220"/>
      <c r="G31" s="221" t="s">
        <v>68</v>
      </c>
      <c r="H31" s="4"/>
      <c r="I31" s="478"/>
      <c r="J31" s="631"/>
      <c r="K31" s="478"/>
      <c r="L31" s="1107"/>
      <c r="M31" s="1107"/>
      <c r="N31" s="1107"/>
      <c r="O31" s="1107"/>
      <c r="P31" s="1107"/>
      <c r="Q31" s="1107"/>
      <c r="R31" s="1107"/>
      <c r="S31" s="1107"/>
      <c r="T31" s="1107"/>
      <c r="U31" s="632"/>
    </row>
    <row r="32" spans="1:56" s="2" customFormat="1">
      <c r="A32" s="613"/>
      <c r="B32" s="656" t="s">
        <v>82</v>
      </c>
      <c r="D32" s="747" t="s">
        <v>48</v>
      </c>
      <c r="E32" s="220" t="s">
        <v>69</v>
      </c>
      <c r="F32" s="220"/>
      <c r="G32" s="221" t="s">
        <v>68</v>
      </c>
      <c r="H32" s="4"/>
      <c r="I32" s="478"/>
      <c r="J32" s="631"/>
      <c r="K32" s="478"/>
      <c r="L32" s="1082"/>
      <c r="M32" s="1082"/>
      <c r="N32" s="1082"/>
      <c r="O32" s="1082"/>
      <c r="P32" s="1082"/>
      <c r="Q32" s="1082"/>
      <c r="R32" s="1082"/>
      <c r="S32" s="1082"/>
      <c r="T32" s="1082"/>
      <c r="U32" s="632"/>
    </row>
    <row r="33" spans="1:56" s="2" customFormat="1">
      <c r="A33" s="613"/>
      <c r="B33" s="656"/>
      <c r="D33" s="867"/>
      <c r="E33" s="317" t="s">
        <v>71</v>
      </c>
      <c r="F33" s="220"/>
      <c r="G33" s="221" t="s">
        <v>68</v>
      </c>
      <c r="H33" s="4"/>
      <c r="I33" s="478"/>
      <c r="J33" s="631"/>
      <c r="K33" s="478"/>
      <c r="L33" s="698" t="str">
        <f>IF(L32="","",INDEX(bibliotheek!$H$14:$EC$14,MATCH(L32,woningen_gebouwen_namen,0)))</f>
        <v/>
      </c>
      <c r="M33" s="698" t="str">
        <f>IF(M32="","",INDEX(bibliotheek!$H$14:$EC$14,MATCH(M32,woningen_gebouwen_namen,0)))</f>
        <v/>
      </c>
      <c r="N33" s="698" t="str">
        <f>IF(N32="","",INDEX(bibliotheek!$H$14:$EC$14,MATCH(N32,woningen_gebouwen_namen,0)))</f>
        <v/>
      </c>
      <c r="O33" s="698" t="str">
        <f>IF(O32="","",INDEX(bibliotheek!$H$14:$EC$14,MATCH(O32,woningen_gebouwen_namen,0)))</f>
        <v/>
      </c>
      <c r="P33" s="698" t="str">
        <f>IF(P32="","",INDEX(bibliotheek!$H$14:$EC$14,MATCH(P32,woningen_gebouwen_namen,0)))</f>
        <v/>
      </c>
      <c r="Q33" s="698" t="str">
        <f>IF(Q32="","",INDEX(bibliotheek!$H$14:$EC$14,MATCH(Q32,woningen_gebouwen_namen,0)))</f>
        <v/>
      </c>
      <c r="R33" s="698" t="str">
        <f>IF(R32="","",INDEX(bibliotheek!$H$14:$EC$14,MATCH(R32,woningen_gebouwen_namen,0)))</f>
        <v/>
      </c>
      <c r="S33" s="698" t="str">
        <f>IF(S32="","",INDEX(bibliotheek!$H$14:$EC$14,MATCH(S32,woningen_gebouwen_namen,0)))</f>
        <v/>
      </c>
      <c r="T33" s="698" t="str">
        <f>IF(T32="","",INDEX(bibliotheek!$H$14:$EC$14,MATCH(T32,woningen_gebouwen_namen,0)))</f>
        <v/>
      </c>
      <c r="U33" s="632"/>
    </row>
    <row r="34" spans="1:56" s="2" customFormat="1">
      <c r="A34" s="613"/>
      <c r="B34" s="656" t="s">
        <v>82</v>
      </c>
      <c r="D34" s="867"/>
      <c r="E34" s="412" t="s">
        <v>72</v>
      </c>
      <c r="F34" s="220"/>
      <c r="G34" s="221" t="s">
        <v>68</v>
      </c>
      <c r="H34" s="4"/>
      <c r="I34" s="478"/>
      <c r="J34" s="631"/>
      <c r="K34" s="478"/>
      <c r="L34" s="697"/>
      <c r="M34" s="697"/>
      <c r="N34" s="697"/>
      <c r="O34" s="697"/>
      <c r="P34" s="697"/>
      <c r="Q34" s="697"/>
      <c r="R34" s="697"/>
      <c r="S34" s="697"/>
      <c r="T34" s="697"/>
      <c r="U34" s="632"/>
    </row>
    <row r="35" spans="1:56" s="2" customFormat="1">
      <c r="A35" s="613"/>
      <c r="B35" s="656" t="s">
        <v>82</v>
      </c>
      <c r="D35" s="867"/>
      <c r="E35" s="220" t="s">
        <v>73</v>
      </c>
      <c r="F35" s="220"/>
      <c r="G35" s="221" t="s">
        <v>62</v>
      </c>
      <c r="H35" s="4"/>
      <c r="I35" s="13"/>
      <c r="J35" s="230">
        <f>J36+J37</f>
        <v>0</v>
      </c>
      <c r="K35" s="478"/>
      <c r="L35" s="329"/>
      <c r="M35" s="329"/>
      <c r="N35" s="329"/>
      <c r="O35" s="329"/>
      <c r="P35" s="329"/>
      <c r="Q35" s="329"/>
      <c r="R35" s="329"/>
      <c r="S35" s="329"/>
      <c r="T35" s="329"/>
      <c r="U35" s="479"/>
    </row>
    <row r="36" spans="1:56" s="2" customFormat="1">
      <c r="A36" s="613"/>
      <c r="B36" s="656" t="s">
        <v>82</v>
      </c>
      <c r="D36" s="867"/>
      <c r="E36" s="316" t="s">
        <v>74</v>
      </c>
      <c r="F36" s="316"/>
      <c r="G36" s="354" t="s">
        <v>75</v>
      </c>
      <c r="H36" s="4"/>
      <c r="I36" s="13"/>
      <c r="J36" s="230">
        <f>SUM(K36:U36)</f>
        <v>0</v>
      </c>
      <c r="K36" s="478"/>
      <c r="L36" s="633" t="str">
        <f>IF(L32="","",IF(OR(HLOOKUP(L32,woningen_gebouwen_gegevens,ROWS(bibliotheek!$E$13:$E$14),FALSE)=woning,HLOOKUP(L32,woningen_gebouwen_gegevens,ROWS(bibliotheek!$E$13:$E$14),FALSE)=woongebouw),L35,0))</f>
        <v/>
      </c>
      <c r="M36" s="633" t="str">
        <f>IF(M32="","",IF(OR(HLOOKUP(M32,woningen_gebouwen_gegevens,ROWS(bibliotheek!$E$13:$E$14),FALSE)=woning,HLOOKUP(M32,woningen_gebouwen_gegevens,ROWS(bibliotheek!$E$13:$E$14),FALSE)=woongebouw),M35,0))</f>
        <v/>
      </c>
      <c r="N36" s="633" t="str">
        <f>IF(N32="","",IF(OR(HLOOKUP(N32,woningen_gebouwen_gegevens,ROWS(bibliotheek!$E$13:$E$14),FALSE)=woning,HLOOKUP(N32,woningen_gebouwen_gegevens,ROWS(bibliotheek!$E$13:$E$14),FALSE)=woongebouw),N35,0))</f>
        <v/>
      </c>
      <c r="O36" s="633" t="str">
        <f>IF(O32="","",IF(OR(HLOOKUP(O32,woningen_gebouwen_gegevens,ROWS(bibliotheek!$E$13:$E$14),FALSE)=woning,HLOOKUP(O32,woningen_gebouwen_gegevens,ROWS(bibliotheek!$E$13:$E$14),FALSE)=woongebouw),O35,0))</f>
        <v/>
      </c>
      <c r="P36" s="633" t="str">
        <f>IF(P32="","",IF(OR(HLOOKUP(P32,woningen_gebouwen_gegevens,ROWS(bibliotheek!$E$13:$E$14),FALSE)=woning,HLOOKUP(P32,woningen_gebouwen_gegevens,ROWS(bibliotheek!$E$13:$E$14),FALSE)=woongebouw),P35,0))</f>
        <v/>
      </c>
      <c r="Q36" s="633" t="str">
        <f>IF(Q32="","",IF(OR(HLOOKUP(Q32,woningen_gebouwen_gegevens,ROWS(bibliotheek!$E$13:$E$14),FALSE)=woning,HLOOKUP(Q32,woningen_gebouwen_gegevens,ROWS(bibliotheek!$E$13:$E$14),FALSE)=woongebouw),Q35,0))</f>
        <v/>
      </c>
      <c r="R36" s="633" t="str">
        <f>IF(R32="","",IF(OR(HLOOKUP(R32,woningen_gebouwen_gegevens,ROWS(bibliotheek!$E$13:$E$14),FALSE)=woning,HLOOKUP(R32,woningen_gebouwen_gegevens,ROWS(bibliotheek!$E$13:$E$14),FALSE)=woongebouw),R35,0))</f>
        <v/>
      </c>
      <c r="S36" s="633" t="str">
        <f>IF(S32="","",IF(OR(HLOOKUP(S32,woningen_gebouwen_gegevens,ROWS(bibliotheek!$E$13:$E$14),FALSE)=woning,HLOOKUP(S32,woningen_gebouwen_gegevens,ROWS(bibliotheek!$E$13:$E$14),FALSE)=woongebouw),S35,0))</f>
        <v/>
      </c>
      <c r="T36" s="633" t="str">
        <f>IF(T32="","",IF(OR(HLOOKUP(T32,woningen_gebouwen_gegevens,ROWS(bibliotheek!$E$13:$E$14),FALSE)=woning,HLOOKUP(T32,woningen_gebouwen_gegevens,ROWS(bibliotheek!$E$13:$E$14),FALSE)=woongebouw),T35,0))</f>
        <v/>
      </c>
      <c r="U36" s="479"/>
    </row>
    <row r="37" spans="1:56" s="2" customFormat="1">
      <c r="A37" s="613"/>
      <c r="B37" s="656" t="s">
        <v>82</v>
      </c>
      <c r="D37" s="867"/>
      <c r="E37" s="316" t="s">
        <v>76</v>
      </c>
      <c r="F37" s="316"/>
      <c r="G37" s="354" t="s">
        <v>77</v>
      </c>
      <c r="H37" s="4"/>
      <c r="I37" s="13"/>
      <c r="J37" s="230">
        <f>SUM(K37:U37)</f>
        <v>0</v>
      </c>
      <c r="K37" s="478"/>
      <c r="L37" s="466" t="str">
        <f t="shared" ref="L37:T37" si="3">IF(L32="","""",L35-L36)</f>
        <v>"</v>
      </c>
      <c r="M37" s="466" t="str">
        <f t="shared" si="3"/>
        <v>"</v>
      </c>
      <c r="N37" s="466" t="str">
        <f t="shared" si="3"/>
        <v>"</v>
      </c>
      <c r="O37" s="466" t="str">
        <f t="shared" si="3"/>
        <v>"</v>
      </c>
      <c r="P37" s="466" t="str">
        <f t="shared" si="3"/>
        <v>"</v>
      </c>
      <c r="Q37" s="466" t="str">
        <f t="shared" si="3"/>
        <v>"</v>
      </c>
      <c r="R37" s="466" t="str">
        <f t="shared" si="3"/>
        <v>"</v>
      </c>
      <c r="S37" s="466" t="str">
        <f t="shared" si="3"/>
        <v>"</v>
      </c>
      <c r="T37" s="466" t="str">
        <f t="shared" si="3"/>
        <v>"</v>
      </c>
      <c r="U37" s="479"/>
    </row>
    <row r="38" spans="1:56" s="2" customFormat="1">
      <c r="A38" s="613"/>
      <c r="B38" s="656" t="s">
        <v>82</v>
      </c>
      <c r="D38" s="867"/>
      <c r="E38" s="316" t="s">
        <v>78</v>
      </c>
      <c r="F38" s="316"/>
      <c r="G38" s="354" t="s">
        <v>79</v>
      </c>
      <c r="J38" s="229">
        <f>SUMPRODUCT(K35:U35,K38:U38)</f>
        <v>0</v>
      </c>
      <c r="L38" s="452" t="str">
        <f>IF(L32="","",IF(L39&lt;&gt;"",L39,HLOOKUP(L32,woningen_gebouwen_gegevens,ROWS(bibliotheek!$E$13:$E$16),FALSE)))</f>
        <v/>
      </c>
      <c r="M38" s="452" t="str">
        <f>IF(M32="","",IF(M39&lt;&gt;"",M39,HLOOKUP(M32,woningen_gebouwen_gegevens,ROWS(bibliotheek!$E$13:$E$16),FALSE)))</f>
        <v/>
      </c>
      <c r="N38" s="452" t="str">
        <f>IF(N32="","",IF(N39&lt;&gt;"",N39,HLOOKUP(N32,woningen_gebouwen_gegevens,ROWS(bibliotheek!$E$13:$E$16),FALSE)))</f>
        <v/>
      </c>
      <c r="O38" s="452" t="str">
        <f>IF(O32="","",IF(O39&lt;&gt;"",O39,HLOOKUP(O32,woningen_gebouwen_gegevens,ROWS(bibliotheek!$E$13:$E$16),FALSE)))</f>
        <v/>
      </c>
      <c r="P38" s="452" t="str">
        <f>IF(P32="","",IF(P39&lt;&gt;"",P39,HLOOKUP(P32,woningen_gebouwen_gegevens,ROWS(bibliotheek!$E$13:$E$16),FALSE)))</f>
        <v/>
      </c>
      <c r="Q38" s="452" t="str">
        <f>IF(Q32="","",IF(Q39&lt;&gt;"",Q39,HLOOKUP(Q32,woningen_gebouwen_gegevens,ROWS(bibliotheek!$E$13:$E$16),FALSE)))</f>
        <v/>
      </c>
      <c r="R38" s="452" t="str">
        <f>IF(R32="","",IF(R39&lt;&gt;"",R39,HLOOKUP(R32,woningen_gebouwen_gegevens,ROWS(bibliotheek!$E$13:$E$16),FALSE)))</f>
        <v/>
      </c>
      <c r="S38" s="452" t="str">
        <f>IF(S32="","",IF(S39&lt;&gt;"",S39,HLOOKUP(S32,woningen_gebouwen_gegevens,ROWS(bibliotheek!$E$13:$E$16),FALSE)))</f>
        <v/>
      </c>
      <c r="T38" s="452" t="str">
        <f>IF(T32="","",IF(T39&lt;&gt;"",T39,HLOOKUP(T32,woningen_gebouwen_gegevens,ROWS(bibliotheek!$E$13:$E$16),FALSE)))</f>
        <v/>
      </c>
      <c r="U38" s="441"/>
    </row>
    <row r="39" spans="1:56" s="2" customFormat="1">
      <c r="A39" s="613"/>
      <c r="B39" s="656" t="s">
        <v>82</v>
      </c>
      <c r="D39" s="867"/>
      <c r="E39" s="412" t="s">
        <v>80</v>
      </c>
      <c r="F39" s="317"/>
      <c r="G39" s="355"/>
      <c r="J39" s="239"/>
      <c r="L39" s="159"/>
      <c r="M39" s="159"/>
      <c r="N39" s="159"/>
      <c r="O39" s="159"/>
      <c r="P39" s="159"/>
      <c r="Q39" s="159"/>
      <c r="R39" s="159"/>
      <c r="S39" s="159"/>
      <c r="T39" s="159"/>
      <c r="U39" s="441"/>
    </row>
    <row r="40" spans="1:56" s="2" customFormat="1">
      <c r="A40" s="613"/>
      <c r="B40" s="656" t="s">
        <v>82</v>
      </c>
      <c r="D40" s="867"/>
      <c r="E40" s="442" t="s">
        <v>81</v>
      </c>
      <c r="F40" s="220"/>
      <c r="G40" s="464" t="s">
        <v>79</v>
      </c>
      <c r="H40" s="4"/>
      <c r="I40" s="478"/>
      <c r="J40" s="230">
        <f>SUMPRODUCT(K35:U35,K40:U40)</f>
        <v>0</v>
      </c>
      <c r="K40" s="478"/>
      <c r="L40" s="272" t="str">
        <f>IF(L32="","",L38*HLOOKUP(L32,woningen_gebouwen_gegevens,ROWS(bibliotheek!$E$13:$E$26),FALSE))</f>
        <v/>
      </c>
      <c r="M40" s="272" t="str">
        <f>IF(M32="","",M38*HLOOKUP(M32,woningen_gebouwen_gegevens,ROWS(bibliotheek!$E$13:$E$26),FALSE))</f>
        <v/>
      </c>
      <c r="N40" s="272" t="str">
        <f>IF(N32="","",N38*HLOOKUP(N32,woningen_gebouwen_gegevens,ROWS(bibliotheek!$E$13:$E$26),FALSE))</f>
        <v/>
      </c>
      <c r="O40" s="272" t="str">
        <f>IF(O32="","",O38*HLOOKUP(O32,woningen_gebouwen_gegevens,ROWS(bibliotheek!$E$13:$E$26),FALSE))</f>
        <v/>
      </c>
      <c r="P40" s="272" t="str">
        <f>IF(P32="","",P38*HLOOKUP(P32,woningen_gebouwen_gegevens,ROWS(bibliotheek!$E$13:$E$26),FALSE))</f>
        <v/>
      </c>
      <c r="Q40" s="272" t="str">
        <f>IF(Q32="","",Q38*HLOOKUP(Q32,woningen_gebouwen_gegevens,ROWS(bibliotheek!$E$13:$E$26),FALSE))</f>
        <v/>
      </c>
      <c r="R40" s="272" t="str">
        <f>IF(R32="","",R38*HLOOKUP(R32,woningen_gebouwen_gegevens,ROWS(bibliotheek!$E$13:$E$26),FALSE))</f>
        <v/>
      </c>
      <c r="S40" s="272" t="str">
        <f>IF(S32="","",S38*HLOOKUP(S32,woningen_gebouwen_gegevens,ROWS(bibliotheek!$E$13:$E$26),FALSE))</f>
        <v/>
      </c>
      <c r="T40" s="272" t="str">
        <f>IF(T32="","",T38*HLOOKUP(T32,woningen_gebouwen_gegevens,ROWS(bibliotheek!$E$13:$E$26),FALSE))</f>
        <v/>
      </c>
      <c r="U40" s="443"/>
    </row>
    <row r="41" spans="1:56">
      <c r="B41" s="656" t="s">
        <v>82</v>
      </c>
      <c r="C41" s="38"/>
      <c r="D41" s="865"/>
      <c r="E41" s="38"/>
      <c r="F41" s="38"/>
      <c r="G41" s="38"/>
      <c r="H41" s="38"/>
      <c r="I41" s="38"/>
      <c r="J41" s="75"/>
      <c r="K41" s="38"/>
      <c r="L41" s="75"/>
      <c r="M41" s="75"/>
      <c r="N41" s="75"/>
      <c r="O41" s="75"/>
      <c r="P41" s="75"/>
      <c r="Q41" s="75"/>
      <c r="R41" s="75"/>
      <c r="S41" s="75"/>
      <c r="T41" s="75"/>
      <c r="U41" s="75"/>
    </row>
    <row r="42" spans="1:56">
      <c r="B42" s="656" t="s">
        <v>83</v>
      </c>
      <c r="C42" s="38"/>
      <c r="D42" s="865"/>
      <c r="E42" s="38"/>
      <c r="F42" s="38"/>
      <c r="G42" s="38"/>
      <c r="H42" s="38"/>
      <c r="I42" s="38"/>
      <c r="J42" s="75"/>
      <c r="K42" s="38"/>
      <c r="L42" s="75"/>
      <c r="M42" s="75"/>
      <c r="N42" s="75"/>
      <c r="O42" s="75"/>
      <c r="P42" s="75"/>
      <c r="Q42" s="75"/>
      <c r="R42" s="75"/>
      <c r="S42" s="75"/>
      <c r="T42" s="75"/>
      <c r="U42" s="75"/>
    </row>
    <row r="43" spans="1:56" ht="21">
      <c r="B43" s="656" t="s">
        <v>83</v>
      </c>
      <c r="C43" s="38"/>
      <c r="D43" s="865"/>
      <c r="E43" s="253" t="s">
        <v>83</v>
      </c>
      <c r="F43" s="1105"/>
      <c r="G43" s="1105"/>
      <c r="H43" s="80"/>
      <c r="I43" s="76"/>
      <c r="J43" s="318" t="str">
        <f>$J$15</f>
        <v>totaal</v>
      </c>
      <c r="K43" s="76"/>
      <c r="L43" s="440">
        <f ca="1">OFFSET(L43,0,-1)+1</f>
        <v>1</v>
      </c>
      <c r="M43" s="440">
        <f t="shared" ref="M43:T43" ca="1" si="4">OFFSET(M43,0,-1)+1</f>
        <v>2</v>
      </c>
      <c r="N43" s="440">
        <f t="shared" ca="1" si="4"/>
        <v>3</v>
      </c>
      <c r="O43" s="440">
        <f t="shared" ca="1" si="4"/>
        <v>4</v>
      </c>
      <c r="P43" s="440">
        <f t="shared" ca="1" si="4"/>
        <v>5</v>
      </c>
      <c r="Q43" s="440">
        <f t="shared" ca="1" si="4"/>
        <v>6</v>
      </c>
      <c r="R43" s="440">
        <f t="shared" ca="1" si="4"/>
        <v>7</v>
      </c>
      <c r="S43" s="440">
        <f t="shared" ca="1" si="4"/>
        <v>8</v>
      </c>
      <c r="T43" s="440">
        <f t="shared" ca="1" si="4"/>
        <v>9</v>
      </c>
      <c r="U43" s="76"/>
    </row>
    <row r="44" spans="1:56" ht="18.75">
      <c r="B44" s="656" t="s">
        <v>83</v>
      </c>
      <c r="C44" s="475"/>
      <c r="D44" s="866"/>
      <c r="E44" s="236" t="s">
        <v>66</v>
      </c>
      <c r="F44" s="236"/>
      <c r="G44" s="236"/>
      <c r="H44" s="89"/>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38"/>
      <c r="BC44" s="38"/>
      <c r="BD44" s="274"/>
    </row>
    <row r="45" spans="1:56" s="2" customFormat="1" ht="15.75" customHeight="1">
      <c r="A45" s="613"/>
      <c r="B45" s="656" t="s">
        <v>83</v>
      </c>
      <c r="D45" s="867"/>
      <c r="E45" s="220" t="s">
        <v>67</v>
      </c>
      <c r="F45" s="220"/>
      <c r="G45" s="221" t="s">
        <v>68</v>
      </c>
      <c r="H45" s="4"/>
      <c r="I45" s="478"/>
      <c r="J45" s="631"/>
      <c r="K45" s="478"/>
      <c r="L45" s="1107"/>
      <c r="M45" s="1107"/>
      <c r="N45" s="1107"/>
      <c r="O45" s="1107"/>
      <c r="P45" s="1107"/>
      <c r="Q45" s="1107"/>
      <c r="R45" s="1107"/>
      <c r="S45" s="1107"/>
      <c r="T45" s="1107"/>
      <c r="U45" s="632"/>
    </row>
    <row r="46" spans="1:56" s="2" customFormat="1">
      <c r="A46" s="613"/>
      <c r="B46" s="656" t="s">
        <v>83</v>
      </c>
      <c r="D46" s="747" t="s">
        <v>48</v>
      </c>
      <c r="E46" s="220" t="s">
        <v>69</v>
      </c>
      <c r="F46" s="220"/>
      <c r="G46" s="221" t="s">
        <v>68</v>
      </c>
      <c r="H46" s="4"/>
      <c r="I46" s="478"/>
      <c r="J46" s="631"/>
      <c r="K46" s="478"/>
      <c r="L46" s="1082"/>
      <c r="M46" s="1082"/>
      <c r="N46" s="1082"/>
      <c r="O46" s="1082"/>
      <c r="P46" s="1082"/>
      <c r="Q46" s="1082"/>
      <c r="R46" s="1082"/>
      <c r="S46" s="1082"/>
      <c r="T46" s="1082"/>
      <c r="U46" s="632"/>
    </row>
    <row r="47" spans="1:56" s="2" customFormat="1">
      <c r="A47" s="613"/>
      <c r="B47" s="656"/>
      <c r="D47" s="867"/>
      <c r="E47" s="317" t="s">
        <v>71</v>
      </c>
      <c r="F47" s="220"/>
      <c r="G47" s="221" t="s">
        <v>68</v>
      </c>
      <c r="H47" s="4"/>
      <c r="I47" s="478"/>
      <c r="J47" s="631"/>
      <c r="K47" s="478"/>
      <c r="L47" s="698" t="str">
        <f>IF(L46="","",INDEX(bibliotheek!$H$14:$EC$14,MATCH(L46,woningen_gebouwen_namen,0)))</f>
        <v/>
      </c>
      <c r="M47" s="698" t="str">
        <f>IF(M46="","",INDEX(bibliotheek!$H$14:$EC$14,MATCH(M46,woningen_gebouwen_namen,0)))</f>
        <v/>
      </c>
      <c r="N47" s="698" t="str">
        <f>IF(N46="","",INDEX(bibliotheek!$H$14:$EC$14,MATCH(N46,woningen_gebouwen_namen,0)))</f>
        <v/>
      </c>
      <c r="O47" s="698" t="str">
        <f>IF(O46="","",INDEX(bibliotheek!$H$14:$EC$14,MATCH(O46,woningen_gebouwen_namen,0)))</f>
        <v/>
      </c>
      <c r="P47" s="698" t="str">
        <f>IF(P46="","",INDEX(bibliotheek!$H$14:$EC$14,MATCH(P46,woningen_gebouwen_namen,0)))</f>
        <v/>
      </c>
      <c r="Q47" s="698" t="str">
        <f>IF(Q46="","",INDEX(bibliotheek!$H$14:$EC$14,MATCH(Q46,woningen_gebouwen_namen,0)))</f>
        <v/>
      </c>
      <c r="R47" s="698" t="str">
        <f>IF(R46="","",INDEX(bibliotheek!$H$14:$EC$14,MATCH(R46,woningen_gebouwen_namen,0)))</f>
        <v/>
      </c>
      <c r="S47" s="698" t="str">
        <f>IF(S46="","",INDEX(bibliotheek!$H$14:$EC$14,MATCH(S46,woningen_gebouwen_namen,0)))</f>
        <v/>
      </c>
      <c r="T47" s="698" t="str">
        <f>IF(T46="","",INDEX(bibliotheek!$H$14:$EC$14,MATCH(T46,woningen_gebouwen_namen,0)))</f>
        <v/>
      </c>
      <c r="U47" s="632"/>
    </row>
    <row r="48" spans="1:56" s="2" customFormat="1">
      <c r="A48" s="613"/>
      <c r="B48" s="656" t="s">
        <v>83</v>
      </c>
      <c r="D48" s="867"/>
      <c r="E48" s="412" t="s">
        <v>72</v>
      </c>
      <c r="F48" s="220"/>
      <c r="G48" s="221" t="s">
        <v>68</v>
      </c>
      <c r="H48" s="4"/>
      <c r="I48" s="478"/>
      <c r="J48" s="631"/>
      <c r="K48" s="478"/>
      <c r="L48" s="697"/>
      <c r="M48" s="697"/>
      <c r="N48" s="697"/>
      <c r="O48" s="697"/>
      <c r="P48" s="697"/>
      <c r="Q48" s="697"/>
      <c r="R48" s="697"/>
      <c r="S48" s="697"/>
      <c r="T48" s="697"/>
      <c r="U48" s="632"/>
    </row>
    <row r="49" spans="1:56" s="2" customFormat="1">
      <c r="A49" s="613"/>
      <c r="B49" s="656" t="s">
        <v>83</v>
      </c>
      <c r="D49" s="867"/>
      <c r="E49" s="220" t="s">
        <v>73</v>
      </c>
      <c r="F49" s="220"/>
      <c r="G49" s="221" t="s">
        <v>62</v>
      </c>
      <c r="H49" s="4"/>
      <c r="I49" s="13"/>
      <c r="J49" s="230">
        <f>J50+J51</f>
        <v>0</v>
      </c>
      <c r="K49" s="478"/>
      <c r="L49" s="329"/>
      <c r="M49" s="329"/>
      <c r="N49" s="329"/>
      <c r="O49" s="329"/>
      <c r="P49" s="329"/>
      <c r="Q49" s="329"/>
      <c r="R49" s="329"/>
      <c r="S49" s="329"/>
      <c r="T49" s="329"/>
      <c r="U49" s="479"/>
    </row>
    <row r="50" spans="1:56" s="2" customFormat="1">
      <c r="A50" s="613"/>
      <c r="B50" s="656" t="s">
        <v>83</v>
      </c>
      <c r="D50" s="867"/>
      <c r="E50" s="316" t="s">
        <v>74</v>
      </c>
      <c r="F50" s="316"/>
      <c r="G50" s="354" t="s">
        <v>75</v>
      </c>
      <c r="H50" s="4"/>
      <c r="I50" s="13"/>
      <c r="J50" s="230">
        <f>SUM(K50:U50)</f>
        <v>0</v>
      </c>
      <c r="K50" s="478"/>
      <c r="L50" s="633" t="str">
        <f>IF(L46="","",IF(OR(HLOOKUP(L46,woningen_gebouwen_gegevens,ROWS(bibliotheek!$E$13:$E$14),FALSE)=woning,HLOOKUP(L46,woningen_gebouwen_gegevens,ROWS(bibliotheek!$E$13:$E$14),FALSE)=woongebouw),L49,0))</f>
        <v/>
      </c>
      <c r="M50" s="633" t="str">
        <f>IF(M46="","",IF(OR(HLOOKUP(M46,woningen_gebouwen_gegevens,ROWS(bibliotheek!$E$13:$E$14),FALSE)=woning,HLOOKUP(M46,woningen_gebouwen_gegevens,ROWS(bibliotheek!$E$13:$E$14),FALSE)=woongebouw),M49,0))</f>
        <v/>
      </c>
      <c r="N50" s="633" t="str">
        <f>IF(N46="","",IF(OR(HLOOKUP(N46,woningen_gebouwen_gegevens,ROWS(bibliotheek!$E$13:$E$14),FALSE)=woning,HLOOKUP(N46,woningen_gebouwen_gegevens,ROWS(bibliotheek!$E$13:$E$14),FALSE)=woongebouw),N49,0))</f>
        <v/>
      </c>
      <c r="O50" s="633" t="str">
        <f>IF(O46="","",IF(OR(HLOOKUP(O46,woningen_gebouwen_gegevens,ROWS(bibliotheek!$E$13:$E$14),FALSE)=woning,HLOOKUP(O46,woningen_gebouwen_gegevens,ROWS(bibliotheek!$E$13:$E$14),FALSE)=woongebouw),O49,0))</f>
        <v/>
      </c>
      <c r="P50" s="633" t="str">
        <f>IF(P46="","",IF(OR(HLOOKUP(P46,woningen_gebouwen_gegevens,ROWS(bibliotheek!$E$13:$E$14),FALSE)=woning,HLOOKUP(P46,woningen_gebouwen_gegevens,ROWS(bibliotheek!$E$13:$E$14),FALSE)=woongebouw),P49,0))</f>
        <v/>
      </c>
      <c r="Q50" s="633" t="str">
        <f>IF(Q46="","",IF(OR(HLOOKUP(Q46,woningen_gebouwen_gegevens,ROWS(bibliotheek!$E$13:$E$14),FALSE)=woning,HLOOKUP(Q46,woningen_gebouwen_gegevens,ROWS(bibliotheek!$E$13:$E$14),FALSE)=woongebouw),Q49,0))</f>
        <v/>
      </c>
      <c r="R50" s="633" t="str">
        <f>IF(R46="","",IF(OR(HLOOKUP(R46,woningen_gebouwen_gegevens,ROWS(bibliotheek!$E$13:$E$14),FALSE)=woning,HLOOKUP(R46,woningen_gebouwen_gegevens,ROWS(bibliotheek!$E$13:$E$14),FALSE)=woongebouw),R49,0))</f>
        <v/>
      </c>
      <c r="S50" s="633" t="str">
        <f>IF(S46="","",IF(OR(HLOOKUP(S46,woningen_gebouwen_gegevens,ROWS(bibliotheek!$E$13:$E$14),FALSE)=woning,HLOOKUP(S46,woningen_gebouwen_gegevens,ROWS(bibliotheek!$E$13:$E$14),FALSE)=woongebouw),S49,0))</f>
        <v/>
      </c>
      <c r="T50" s="633" t="str">
        <f>IF(T46="","",IF(OR(HLOOKUP(T46,woningen_gebouwen_gegevens,ROWS(bibliotheek!$E$13:$E$14),FALSE)=woning,HLOOKUP(T46,woningen_gebouwen_gegevens,ROWS(bibliotheek!$E$13:$E$14),FALSE)=woongebouw),T49,0))</f>
        <v/>
      </c>
      <c r="U50" s="479"/>
    </row>
    <row r="51" spans="1:56" s="2" customFormat="1">
      <c r="A51" s="613"/>
      <c r="B51" s="656" t="s">
        <v>83</v>
      </c>
      <c r="D51" s="867"/>
      <c r="E51" s="316" t="s">
        <v>76</v>
      </c>
      <c r="F51" s="316"/>
      <c r="G51" s="354" t="s">
        <v>77</v>
      </c>
      <c r="H51" s="4"/>
      <c r="I51" s="13"/>
      <c r="J51" s="230">
        <f>SUM(K51:U51)</f>
        <v>0</v>
      </c>
      <c r="K51" s="478"/>
      <c r="L51" s="466" t="str">
        <f t="shared" ref="L51:T51" si="5">IF(L46="","""",L49-L50)</f>
        <v>"</v>
      </c>
      <c r="M51" s="466" t="str">
        <f t="shared" si="5"/>
        <v>"</v>
      </c>
      <c r="N51" s="466" t="str">
        <f t="shared" si="5"/>
        <v>"</v>
      </c>
      <c r="O51" s="466" t="str">
        <f t="shared" si="5"/>
        <v>"</v>
      </c>
      <c r="P51" s="466" t="str">
        <f t="shared" si="5"/>
        <v>"</v>
      </c>
      <c r="Q51" s="466" t="str">
        <f t="shared" si="5"/>
        <v>"</v>
      </c>
      <c r="R51" s="466" t="str">
        <f t="shared" si="5"/>
        <v>"</v>
      </c>
      <c r="S51" s="466" t="str">
        <f t="shared" si="5"/>
        <v>"</v>
      </c>
      <c r="T51" s="466" t="str">
        <f t="shared" si="5"/>
        <v>"</v>
      </c>
      <c r="U51" s="479"/>
    </row>
    <row r="52" spans="1:56" s="2" customFormat="1">
      <c r="A52" s="613"/>
      <c r="B52" s="656" t="s">
        <v>83</v>
      </c>
      <c r="D52" s="867"/>
      <c r="E52" s="316" t="s">
        <v>78</v>
      </c>
      <c r="F52" s="316"/>
      <c r="G52" s="354" t="s">
        <v>79</v>
      </c>
      <c r="J52" s="229">
        <f>SUMPRODUCT(K49:U49,K52:U52)</f>
        <v>0</v>
      </c>
      <c r="L52" s="452" t="str">
        <f>IF(L46="","",IF(L53&lt;&gt;"",L53,HLOOKUP(L46,woningen_gebouwen_gegevens,ROWS(bibliotheek!$E$13:$E$16),FALSE)))</f>
        <v/>
      </c>
      <c r="M52" s="452" t="str">
        <f>IF(M46="","",IF(M53&lt;&gt;"",M53,HLOOKUP(M46,woningen_gebouwen_gegevens,ROWS(bibliotheek!$E$13:$E$16),FALSE)))</f>
        <v/>
      </c>
      <c r="N52" s="452" t="str">
        <f>IF(N46="","",IF(N53&lt;&gt;"",N53,HLOOKUP(N46,woningen_gebouwen_gegevens,ROWS(bibliotheek!$E$13:$E$16),FALSE)))</f>
        <v/>
      </c>
      <c r="O52" s="452" t="str">
        <f>IF(O46="","",IF(O53&lt;&gt;"",O53,HLOOKUP(O46,woningen_gebouwen_gegevens,ROWS(bibliotheek!$E$13:$E$16),FALSE)))</f>
        <v/>
      </c>
      <c r="P52" s="452" t="str">
        <f>IF(P46="","",IF(P53&lt;&gt;"",P53,HLOOKUP(P46,woningen_gebouwen_gegevens,ROWS(bibliotheek!$E$13:$E$16),FALSE)))</f>
        <v/>
      </c>
      <c r="Q52" s="452" t="str">
        <f>IF(Q46="","",IF(Q53&lt;&gt;"",Q53,HLOOKUP(Q46,woningen_gebouwen_gegevens,ROWS(bibliotheek!$E$13:$E$16),FALSE)))</f>
        <v/>
      </c>
      <c r="R52" s="452" t="str">
        <f>IF(R46="","",IF(R53&lt;&gt;"",R53,HLOOKUP(R46,woningen_gebouwen_gegevens,ROWS(bibliotheek!$E$13:$E$16),FALSE)))</f>
        <v/>
      </c>
      <c r="S52" s="452" t="str">
        <f>IF(S46="","",IF(S53&lt;&gt;"",S53,HLOOKUP(S46,woningen_gebouwen_gegevens,ROWS(bibliotheek!$E$13:$E$16),FALSE)))</f>
        <v/>
      </c>
      <c r="T52" s="452" t="str">
        <f>IF(T46="","",IF(T53&lt;&gt;"",T53,HLOOKUP(T46,woningen_gebouwen_gegevens,ROWS(bibliotheek!$E$13:$E$16),FALSE)))</f>
        <v/>
      </c>
      <c r="U52" s="441"/>
    </row>
    <row r="53" spans="1:56" s="2" customFormat="1">
      <c r="A53" s="613"/>
      <c r="B53" s="656" t="s">
        <v>83</v>
      </c>
      <c r="D53" s="867"/>
      <c r="E53" s="412" t="s">
        <v>80</v>
      </c>
      <c r="F53" s="317"/>
      <c r="G53" s="355"/>
      <c r="J53" s="239"/>
      <c r="L53" s="159"/>
      <c r="M53" s="159"/>
      <c r="N53" s="159"/>
      <c r="O53" s="159"/>
      <c r="P53" s="159"/>
      <c r="Q53" s="159"/>
      <c r="R53" s="159"/>
      <c r="S53" s="159"/>
      <c r="T53" s="159"/>
      <c r="U53" s="441"/>
    </row>
    <row r="54" spans="1:56" s="2" customFormat="1">
      <c r="A54" s="613"/>
      <c r="B54" s="656" t="s">
        <v>83</v>
      </c>
      <c r="D54" s="867"/>
      <c r="E54" s="442" t="s">
        <v>81</v>
      </c>
      <c r="F54" s="220"/>
      <c r="G54" s="464" t="s">
        <v>79</v>
      </c>
      <c r="H54" s="4"/>
      <c r="I54" s="478"/>
      <c r="J54" s="230">
        <f>SUMPRODUCT(K49:U49,K54:U54)</f>
        <v>0</v>
      </c>
      <c r="K54" s="478"/>
      <c r="L54" s="272" t="str">
        <f>IF(L46="","",L52*HLOOKUP(L46,woningen_gebouwen_gegevens,ROWS(bibliotheek!$E$13:$E$26),FALSE))</f>
        <v/>
      </c>
      <c r="M54" s="272" t="str">
        <f>IF(M46="","",M52*HLOOKUP(M46,woningen_gebouwen_gegevens,ROWS(bibliotheek!$E$13:$E$26),FALSE))</f>
        <v/>
      </c>
      <c r="N54" s="272" t="str">
        <f>IF(N46="","",N52*HLOOKUP(N46,woningen_gebouwen_gegevens,ROWS(bibliotheek!$E$13:$E$26),FALSE))</f>
        <v/>
      </c>
      <c r="O54" s="272" t="str">
        <f>IF(O46="","",O52*HLOOKUP(O46,woningen_gebouwen_gegevens,ROWS(bibliotheek!$E$13:$E$26),FALSE))</f>
        <v/>
      </c>
      <c r="P54" s="272" t="str">
        <f>IF(P46="","",P52*HLOOKUP(P46,woningen_gebouwen_gegevens,ROWS(bibliotheek!$E$13:$E$26),FALSE))</f>
        <v/>
      </c>
      <c r="Q54" s="272" t="str">
        <f>IF(Q46="","",Q52*HLOOKUP(Q46,woningen_gebouwen_gegevens,ROWS(bibliotheek!$E$13:$E$26),FALSE))</f>
        <v/>
      </c>
      <c r="R54" s="272" t="str">
        <f>IF(R46="","",R52*HLOOKUP(R46,woningen_gebouwen_gegevens,ROWS(bibliotheek!$E$13:$E$26),FALSE))</f>
        <v/>
      </c>
      <c r="S54" s="272" t="str">
        <f>IF(S46="","",S52*HLOOKUP(S46,woningen_gebouwen_gegevens,ROWS(bibliotheek!$E$13:$E$26),FALSE))</f>
        <v/>
      </c>
      <c r="T54" s="272" t="str">
        <f>IF(T46="","",T52*HLOOKUP(T46,woningen_gebouwen_gegevens,ROWS(bibliotheek!$E$13:$E$26),FALSE))</f>
        <v/>
      </c>
      <c r="U54" s="443"/>
    </row>
    <row r="55" spans="1:56">
      <c r="B55" s="656" t="s">
        <v>83</v>
      </c>
      <c r="C55" s="38"/>
      <c r="D55" s="865"/>
      <c r="E55" s="38"/>
      <c r="F55" s="38"/>
      <c r="G55" s="38"/>
      <c r="H55" s="38"/>
      <c r="I55" s="38"/>
      <c r="J55" s="75"/>
      <c r="K55" s="38"/>
      <c r="L55" s="75"/>
      <c r="M55" s="75"/>
      <c r="N55" s="75"/>
      <c r="O55" s="75"/>
      <c r="P55" s="75"/>
      <c r="Q55" s="75"/>
      <c r="R55" s="75"/>
      <c r="S55" s="75"/>
      <c r="T55" s="75"/>
      <c r="U55" s="75"/>
    </row>
    <row r="56" spans="1:56">
      <c r="B56" s="656" t="s">
        <v>84</v>
      </c>
      <c r="C56" s="38"/>
      <c r="D56" s="865"/>
      <c r="E56" s="38"/>
      <c r="F56" s="38"/>
      <c r="G56" s="38"/>
      <c r="H56" s="38"/>
      <c r="I56" s="38"/>
      <c r="J56" s="75"/>
      <c r="K56" s="38"/>
      <c r="L56" s="75"/>
      <c r="M56" s="75"/>
      <c r="N56" s="75"/>
      <c r="O56" s="75"/>
      <c r="P56" s="75"/>
      <c r="Q56" s="75"/>
      <c r="R56" s="75"/>
      <c r="S56" s="75"/>
      <c r="T56" s="75"/>
      <c r="U56" s="75"/>
    </row>
    <row r="57" spans="1:56" ht="21">
      <c r="B57" s="656" t="s">
        <v>84</v>
      </c>
      <c r="C57" s="38"/>
      <c r="D57" s="865"/>
      <c r="E57" s="253" t="s">
        <v>84</v>
      </c>
      <c r="F57" s="1105"/>
      <c r="G57" s="1105"/>
      <c r="H57" s="80"/>
      <c r="I57" s="76"/>
      <c r="J57" s="318" t="str">
        <f>$J$15</f>
        <v>totaal</v>
      </c>
      <c r="K57" s="76"/>
      <c r="L57" s="440">
        <f ca="1">OFFSET(L57,0,-1)+1</f>
        <v>1</v>
      </c>
      <c r="M57" s="440">
        <f t="shared" ref="M57:T57" ca="1" si="6">OFFSET(M57,0,-1)+1</f>
        <v>2</v>
      </c>
      <c r="N57" s="440">
        <f t="shared" ca="1" si="6"/>
        <v>3</v>
      </c>
      <c r="O57" s="440">
        <f t="shared" ca="1" si="6"/>
        <v>4</v>
      </c>
      <c r="P57" s="440">
        <f t="shared" ca="1" si="6"/>
        <v>5</v>
      </c>
      <c r="Q57" s="440">
        <f t="shared" ca="1" si="6"/>
        <v>6</v>
      </c>
      <c r="R57" s="440">
        <f t="shared" ca="1" si="6"/>
        <v>7</v>
      </c>
      <c r="S57" s="440">
        <f t="shared" ca="1" si="6"/>
        <v>8</v>
      </c>
      <c r="T57" s="440">
        <f t="shared" ca="1" si="6"/>
        <v>9</v>
      </c>
      <c r="U57" s="76"/>
    </row>
    <row r="58" spans="1:56" ht="18.75">
      <c r="B58" s="656" t="s">
        <v>84</v>
      </c>
      <c r="C58" s="475"/>
      <c r="D58" s="866"/>
      <c r="E58" s="236" t="s">
        <v>66</v>
      </c>
      <c r="F58" s="236"/>
      <c r="G58" s="236"/>
      <c r="H58" s="89"/>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38"/>
      <c r="BC58" s="38"/>
      <c r="BD58" s="274"/>
    </row>
    <row r="59" spans="1:56" s="2" customFormat="1" ht="15.75" customHeight="1">
      <c r="A59" s="613"/>
      <c r="B59" s="656" t="s">
        <v>84</v>
      </c>
      <c r="D59" s="867"/>
      <c r="E59" s="220" t="s">
        <v>67</v>
      </c>
      <c r="F59" s="220"/>
      <c r="G59" s="221" t="s">
        <v>68</v>
      </c>
      <c r="H59" s="4"/>
      <c r="I59" s="478"/>
      <c r="J59" s="631"/>
      <c r="K59" s="478"/>
      <c r="L59" s="1107"/>
      <c r="M59" s="1107"/>
      <c r="N59" s="1107"/>
      <c r="O59" s="1107"/>
      <c r="P59" s="1107"/>
      <c r="Q59" s="1107"/>
      <c r="R59" s="1107"/>
      <c r="S59" s="1107"/>
      <c r="T59" s="1107"/>
      <c r="U59" s="632"/>
    </row>
    <row r="60" spans="1:56" s="2" customFormat="1">
      <c r="A60" s="613"/>
      <c r="B60" s="656" t="s">
        <v>84</v>
      </c>
      <c r="D60" s="747" t="s">
        <v>48</v>
      </c>
      <c r="E60" s="220" t="s">
        <v>69</v>
      </c>
      <c r="F60" s="220"/>
      <c r="G60" s="221" t="s">
        <v>68</v>
      </c>
      <c r="H60" s="4"/>
      <c r="I60" s="478"/>
      <c r="J60" s="631"/>
      <c r="K60" s="478"/>
      <c r="L60" s="1082"/>
      <c r="M60" s="1082"/>
      <c r="N60" s="1082"/>
      <c r="O60" s="1082"/>
      <c r="P60" s="1082"/>
      <c r="Q60" s="1082"/>
      <c r="R60" s="1082"/>
      <c r="S60" s="1082"/>
      <c r="T60" s="1082"/>
      <c r="U60" s="632"/>
    </row>
    <row r="61" spans="1:56" s="2" customFormat="1">
      <c r="A61" s="613"/>
      <c r="B61" s="656"/>
      <c r="D61" s="867"/>
      <c r="E61" s="317" t="s">
        <v>71</v>
      </c>
      <c r="F61" s="220"/>
      <c r="G61" s="221" t="s">
        <v>68</v>
      </c>
      <c r="H61" s="4"/>
      <c r="I61" s="478"/>
      <c r="J61" s="631"/>
      <c r="K61" s="478"/>
      <c r="L61" s="698" t="str">
        <f>IF(L60="","",INDEX(bibliotheek!$H$14:$EC$14,MATCH(L60,woningen_gebouwen_namen,0)))</f>
        <v/>
      </c>
      <c r="M61" s="698" t="str">
        <f>IF(M60="","",INDEX(bibliotheek!$H$14:$EC$14,MATCH(M60,woningen_gebouwen_namen,0)))</f>
        <v/>
      </c>
      <c r="N61" s="698" t="str">
        <f>IF(N60="","",INDEX(bibliotheek!$H$14:$EC$14,MATCH(N60,woningen_gebouwen_namen,0)))</f>
        <v/>
      </c>
      <c r="O61" s="698" t="str">
        <f>IF(O60="","",INDEX(bibliotheek!$H$14:$EC$14,MATCH(O60,woningen_gebouwen_namen,0)))</f>
        <v/>
      </c>
      <c r="P61" s="698" t="str">
        <f>IF(P60="","",INDEX(bibliotheek!$H$14:$EC$14,MATCH(P60,woningen_gebouwen_namen,0)))</f>
        <v/>
      </c>
      <c r="Q61" s="698" t="str">
        <f>IF(Q60="","",INDEX(bibliotheek!$H$14:$EC$14,MATCH(Q60,woningen_gebouwen_namen,0)))</f>
        <v/>
      </c>
      <c r="R61" s="698" t="str">
        <f>IF(R60="","",INDEX(bibliotheek!$H$14:$EC$14,MATCH(R60,woningen_gebouwen_namen,0)))</f>
        <v/>
      </c>
      <c r="S61" s="698" t="str">
        <f>IF(S60="","",INDEX(bibliotheek!$H$14:$EC$14,MATCH(S60,woningen_gebouwen_namen,0)))</f>
        <v/>
      </c>
      <c r="T61" s="698" t="str">
        <f>IF(T60="","",INDEX(bibliotheek!$H$14:$EC$14,MATCH(T60,woningen_gebouwen_namen,0)))</f>
        <v/>
      </c>
      <c r="U61" s="632"/>
    </row>
    <row r="62" spans="1:56" s="2" customFormat="1">
      <c r="A62" s="613"/>
      <c r="B62" s="656" t="s">
        <v>84</v>
      </c>
      <c r="D62" s="867"/>
      <c r="E62" s="412" t="s">
        <v>72</v>
      </c>
      <c r="F62" s="220"/>
      <c r="G62" s="221" t="s">
        <v>68</v>
      </c>
      <c r="H62" s="4"/>
      <c r="I62" s="478"/>
      <c r="J62" s="631"/>
      <c r="K62" s="478"/>
      <c r="L62" s="697"/>
      <c r="M62" s="697"/>
      <c r="N62" s="697"/>
      <c r="O62" s="697"/>
      <c r="P62" s="697"/>
      <c r="Q62" s="697"/>
      <c r="R62" s="697"/>
      <c r="S62" s="697"/>
      <c r="T62" s="697"/>
      <c r="U62" s="632"/>
    </row>
    <row r="63" spans="1:56" s="2" customFormat="1">
      <c r="A63" s="613"/>
      <c r="B63" s="656" t="s">
        <v>84</v>
      </c>
      <c r="D63" s="867"/>
      <c r="E63" s="220" t="s">
        <v>73</v>
      </c>
      <c r="F63" s="220"/>
      <c r="G63" s="221" t="s">
        <v>62</v>
      </c>
      <c r="H63" s="4"/>
      <c r="I63" s="13"/>
      <c r="J63" s="230">
        <f>J64+J65</f>
        <v>0</v>
      </c>
      <c r="K63" s="478"/>
      <c r="L63" s="329"/>
      <c r="M63" s="329"/>
      <c r="N63" s="329"/>
      <c r="O63" s="329"/>
      <c r="P63" s="329"/>
      <c r="Q63" s="329"/>
      <c r="R63" s="329"/>
      <c r="S63" s="329"/>
      <c r="T63" s="329"/>
      <c r="U63" s="479"/>
    </row>
    <row r="64" spans="1:56" s="2" customFormat="1">
      <c r="A64" s="613"/>
      <c r="B64" s="656" t="s">
        <v>84</v>
      </c>
      <c r="D64" s="867"/>
      <c r="E64" s="316" t="s">
        <v>74</v>
      </c>
      <c r="F64" s="316"/>
      <c r="G64" s="354" t="s">
        <v>75</v>
      </c>
      <c r="H64" s="4"/>
      <c r="I64" s="13"/>
      <c r="J64" s="230">
        <f>SUM(K64:U64)</f>
        <v>0</v>
      </c>
      <c r="K64" s="478"/>
      <c r="L64" s="633" t="str">
        <f>IF(L60="","",IF(OR(HLOOKUP(L60,woningen_gebouwen_gegevens,ROWS(bibliotheek!$E$13:$E$14),FALSE)=woning,HLOOKUP(L60,woningen_gebouwen_gegevens,ROWS(bibliotheek!$E$13:$E$14),FALSE)=woongebouw),L63,0))</f>
        <v/>
      </c>
      <c r="M64" s="633" t="str">
        <f>IF(M60="","",IF(OR(HLOOKUP(M60,woningen_gebouwen_gegevens,ROWS(bibliotheek!$E$13:$E$14),FALSE)=woning,HLOOKUP(M60,woningen_gebouwen_gegevens,ROWS(bibliotheek!$E$13:$E$14),FALSE)=woongebouw),M63,0))</f>
        <v/>
      </c>
      <c r="N64" s="633" t="str">
        <f>IF(N60="","",IF(OR(HLOOKUP(N60,woningen_gebouwen_gegevens,ROWS(bibliotheek!$E$13:$E$14),FALSE)=woning,HLOOKUP(N60,woningen_gebouwen_gegevens,ROWS(bibliotheek!$E$13:$E$14),FALSE)=woongebouw),N63,0))</f>
        <v/>
      </c>
      <c r="O64" s="633" t="str">
        <f>IF(O60="","",IF(OR(HLOOKUP(O60,woningen_gebouwen_gegevens,ROWS(bibliotheek!$E$13:$E$14),FALSE)=woning,HLOOKUP(O60,woningen_gebouwen_gegevens,ROWS(bibliotheek!$E$13:$E$14),FALSE)=woongebouw),O63,0))</f>
        <v/>
      </c>
      <c r="P64" s="633" t="str">
        <f>IF(P60="","",IF(OR(HLOOKUP(P60,woningen_gebouwen_gegevens,ROWS(bibliotheek!$E$13:$E$14),FALSE)=woning,HLOOKUP(P60,woningen_gebouwen_gegevens,ROWS(bibliotheek!$E$13:$E$14),FALSE)=woongebouw),P63,0))</f>
        <v/>
      </c>
      <c r="Q64" s="633" t="str">
        <f>IF(Q60="","",IF(OR(HLOOKUP(Q60,woningen_gebouwen_gegevens,ROWS(bibliotheek!$E$13:$E$14),FALSE)=woning,HLOOKUP(Q60,woningen_gebouwen_gegevens,ROWS(bibliotheek!$E$13:$E$14),FALSE)=woongebouw),Q63,0))</f>
        <v/>
      </c>
      <c r="R64" s="633" t="str">
        <f>IF(R60="","",IF(OR(HLOOKUP(R60,woningen_gebouwen_gegevens,ROWS(bibliotheek!$E$13:$E$14),FALSE)=woning,HLOOKUP(R60,woningen_gebouwen_gegevens,ROWS(bibliotheek!$E$13:$E$14),FALSE)=woongebouw),R63,0))</f>
        <v/>
      </c>
      <c r="S64" s="633" t="str">
        <f>IF(S60="","",IF(OR(HLOOKUP(S60,woningen_gebouwen_gegevens,ROWS(bibliotheek!$E$13:$E$14),FALSE)=woning,HLOOKUP(S60,woningen_gebouwen_gegevens,ROWS(bibliotheek!$E$13:$E$14),FALSE)=woongebouw),S63,0))</f>
        <v/>
      </c>
      <c r="T64" s="633" t="str">
        <f>IF(T60="","",IF(OR(HLOOKUP(T60,woningen_gebouwen_gegevens,ROWS(bibliotheek!$E$13:$E$14),FALSE)=woning,HLOOKUP(T60,woningen_gebouwen_gegevens,ROWS(bibliotheek!$E$13:$E$14),FALSE)=woongebouw),T63,0))</f>
        <v/>
      </c>
      <c r="U64" s="479"/>
    </row>
    <row r="65" spans="1:21" s="2" customFormat="1">
      <c r="A65" s="613"/>
      <c r="B65" s="656" t="s">
        <v>84</v>
      </c>
      <c r="D65" s="867"/>
      <c r="E65" s="316" t="s">
        <v>76</v>
      </c>
      <c r="F65" s="316"/>
      <c r="G65" s="354" t="s">
        <v>77</v>
      </c>
      <c r="H65" s="4"/>
      <c r="I65" s="13"/>
      <c r="J65" s="230">
        <f>SUM(K65:U65)</f>
        <v>0</v>
      </c>
      <c r="K65" s="478"/>
      <c r="L65" s="466" t="str">
        <f t="shared" ref="L65:T65" si="7">IF(L60="","""",L63-L64)</f>
        <v>"</v>
      </c>
      <c r="M65" s="466" t="str">
        <f t="shared" si="7"/>
        <v>"</v>
      </c>
      <c r="N65" s="466" t="str">
        <f t="shared" si="7"/>
        <v>"</v>
      </c>
      <c r="O65" s="466" t="str">
        <f t="shared" si="7"/>
        <v>"</v>
      </c>
      <c r="P65" s="466" t="str">
        <f t="shared" si="7"/>
        <v>"</v>
      </c>
      <c r="Q65" s="466" t="str">
        <f t="shared" si="7"/>
        <v>"</v>
      </c>
      <c r="R65" s="466" t="str">
        <f t="shared" si="7"/>
        <v>"</v>
      </c>
      <c r="S65" s="466" t="str">
        <f t="shared" si="7"/>
        <v>"</v>
      </c>
      <c r="T65" s="466" t="str">
        <f t="shared" si="7"/>
        <v>"</v>
      </c>
      <c r="U65" s="479"/>
    </row>
    <row r="66" spans="1:21" s="2" customFormat="1">
      <c r="A66" s="613"/>
      <c r="B66" s="656" t="s">
        <v>84</v>
      </c>
      <c r="D66" s="867"/>
      <c r="E66" s="316" t="s">
        <v>78</v>
      </c>
      <c r="F66" s="316"/>
      <c r="G66" s="354" t="s">
        <v>79</v>
      </c>
      <c r="J66" s="229">
        <f>SUMPRODUCT(K63:U63,K66:U66)</f>
        <v>0</v>
      </c>
      <c r="L66" s="452" t="str">
        <f>IF(L60="","",IF(L67&lt;&gt;"",L67,HLOOKUP(L60,woningen_gebouwen_gegevens,ROWS(bibliotheek!$E$13:$E$16),FALSE)))</f>
        <v/>
      </c>
      <c r="M66" s="452" t="str">
        <f>IF(M60="","",IF(M67&lt;&gt;"",M67,HLOOKUP(M60,woningen_gebouwen_gegevens,ROWS(bibliotheek!$E$13:$E$16),FALSE)))</f>
        <v/>
      </c>
      <c r="N66" s="452" t="str">
        <f>IF(N60="","",IF(N67&lt;&gt;"",N67,HLOOKUP(N60,woningen_gebouwen_gegevens,ROWS(bibliotheek!$E$13:$E$16),FALSE)))</f>
        <v/>
      </c>
      <c r="O66" s="452" t="str">
        <f>IF(O60="","",IF(O67&lt;&gt;"",O67,HLOOKUP(O60,woningen_gebouwen_gegevens,ROWS(bibliotheek!$E$13:$E$16),FALSE)))</f>
        <v/>
      </c>
      <c r="P66" s="452" t="str">
        <f>IF(P60="","",IF(P67&lt;&gt;"",P67,HLOOKUP(P60,woningen_gebouwen_gegevens,ROWS(bibliotheek!$E$13:$E$16),FALSE)))</f>
        <v/>
      </c>
      <c r="Q66" s="452" t="str">
        <f>IF(Q60="","",IF(Q67&lt;&gt;"",Q67,HLOOKUP(Q60,woningen_gebouwen_gegevens,ROWS(bibliotheek!$E$13:$E$16),FALSE)))</f>
        <v/>
      </c>
      <c r="R66" s="452" t="str">
        <f>IF(R60="","",IF(R67&lt;&gt;"",R67,HLOOKUP(R60,woningen_gebouwen_gegevens,ROWS(bibliotheek!$E$13:$E$16),FALSE)))</f>
        <v/>
      </c>
      <c r="S66" s="452" t="str">
        <f>IF(S60="","",IF(S67&lt;&gt;"",S67,HLOOKUP(S60,woningen_gebouwen_gegevens,ROWS(bibliotheek!$E$13:$E$16),FALSE)))</f>
        <v/>
      </c>
      <c r="T66" s="452" t="str">
        <f>IF(T60="","",IF(T67&lt;&gt;"",T67,HLOOKUP(T60,woningen_gebouwen_gegevens,ROWS(bibliotheek!$E$13:$E$16),FALSE)))</f>
        <v/>
      </c>
      <c r="U66" s="441"/>
    </row>
    <row r="67" spans="1:21" s="2" customFormat="1">
      <c r="A67" s="613"/>
      <c r="B67" s="656" t="s">
        <v>84</v>
      </c>
      <c r="D67" s="867"/>
      <c r="E67" s="412" t="s">
        <v>80</v>
      </c>
      <c r="F67" s="317"/>
      <c r="G67" s="355"/>
      <c r="J67" s="239"/>
      <c r="L67" s="159"/>
      <c r="M67" s="159"/>
      <c r="N67" s="159"/>
      <c r="O67" s="159"/>
      <c r="P67" s="159"/>
      <c r="Q67" s="159"/>
      <c r="R67" s="159"/>
      <c r="S67" s="159"/>
      <c r="T67" s="159"/>
      <c r="U67" s="441"/>
    </row>
    <row r="68" spans="1:21" s="2" customFormat="1">
      <c r="A68" s="613"/>
      <c r="B68" s="656" t="s">
        <v>84</v>
      </c>
      <c r="D68" s="867"/>
      <c r="E68" s="442" t="s">
        <v>81</v>
      </c>
      <c r="F68" s="220"/>
      <c r="G68" s="464" t="s">
        <v>79</v>
      </c>
      <c r="H68" s="4"/>
      <c r="I68" s="478"/>
      <c r="J68" s="230">
        <f>SUMPRODUCT(K63:U63,K68:U68)</f>
        <v>0</v>
      </c>
      <c r="K68" s="478"/>
      <c r="L68" s="272" t="str">
        <f>IF(L60="","",L66*HLOOKUP(L60,woningen_gebouwen_gegevens,ROWS(bibliotheek!$E$13:$E$26),FALSE))</f>
        <v/>
      </c>
      <c r="M68" s="272" t="str">
        <f>IF(M60="","",M66*HLOOKUP(M60,woningen_gebouwen_gegevens,ROWS(bibliotheek!$E$13:$E$26),FALSE))</f>
        <v/>
      </c>
      <c r="N68" s="272" t="str">
        <f>IF(N60="","",N66*HLOOKUP(N60,woningen_gebouwen_gegevens,ROWS(bibliotheek!$E$13:$E$26),FALSE))</f>
        <v/>
      </c>
      <c r="O68" s="272" t="str">
        <f>IF(O60="","",O66*HLOOKUP(O60,woningen_gebouwen_gegevens,ROWS(bibliotheek!$E$13:$E$26),FALSE))</f>
        <v/>
      </c>
      <c r="P68" s="272" t="str">
        <f>IF(P60="","",P66*HLOOKUP(P60,woningen_gebouwen_gegevens,ROWS(bibliotheek!$E$13:$E$26),FALSE))</f>
        <v/>
      </c>
      <c r="Q68" s="272" t="str">
        <f>IF(Q60="","",Q66*HLOOKUP(Q60,woningen_gebouwen_gegevens,ROWS(bibliotheek!$E$13:$E$26),FALSE))</f>
        <v/>
      </c>
      <c r="R68" s="272" t="str">
        <f>IF(R60="","",R66*HLOOKUP(R60,woningen_gebouwen_gegevens,ROWS(bibliotheek!$E$13:$E$26),FALSE))</f>
        <v/>
      </c>
      <c r="S68" s="272" t="str">
        <f>IF(S60="","",S66*HLOOKUP(S60,woningen_gebouwen_gegevens,ROWS(bibliotheek!$E$13:$E$26),FALSE))</f>
        <v/>
      </c>
      <c r="T68" s="272" t="str">
        <f>IF(T60="","",T66*HLOOKUP(T60,woningen_gebouwen_gegevens,ROWS(bibliotheek!$E$13:$E$26),FALSE))</f>
        <v/>
      </c>
      <c r="U68" s="443"/>
    </row>
    <row r="69" spans="1:21">
      <c r="B69" s="656" t="s">
        <v>84</v>
      </c>
    </row>
    <row r="70" spans="1:21" ht="21">
      <c r="A70" s="645"/>
      <c r="B70" s="492" t="s">
        <v>85</v>
      </c>
      <c r="C70" s="653" t="s">
        <v>86</v>
      </c>
      <c r="D70" s="748" t="s">
        <v>87</v>
      </c>
      <c r="E70" s="553" t="s">
        <v>85</v>
      </c>
      <c r="F70" s="553" t="s">
        <v>85</v>
      </c>
      <c r="G70" s="553" t="s">
        <v>85</v>
      </c>
      <c r="H70" s="553" t="s">
        <v>85</v>
      </c>
      <c r="I70" s="553" t="s">
        <v>85</v>
      </c>
      <c r="J70" s="553" t="s">
        <v>85</v>
      </c>
      <c r="K70" s="553" t="s">
        <v>85</v>
      </c>
      <c r="L70" s="553" t="s">
        <v>85</v>
      </c>
      <c r="M70" s="553" t="s">
        <v>85</v>
      </c>
      <c r="N70" s="553" t="s">
        <v>85</v>
      </c>
      <c r="O70" s="553" t="s">
        <v>85</v>
      </c>
      <c r="P70" s="553" t="s">
        <v>85</v>
      </c>
      <c r="Q70" s="553" t="s">
        <v>85</v>
      </c>
      <c r="R70" s="553" t="s">
        <v>85</v>
      </c>
      <c r="S70" s="553" t="s">
        <v>85</v>
      </c>
      <c r="T70" s="553" t="s">
        <v>85</v>
      </c>
    </row>
  </sheetData>
  <sheetProtection algorithmName="SHA-512" hashValue="Ht+NEyExtfePdmSm5Nva0aQD7G21GbgU6twU5DEgOimr2/ZQlnGbSjGFf8m+J/UWa7XCditZnkl9ke9Yaslx3A==" saltValue="R3oqiRtUVwj1YX47q+/f+g==" spinCount="100000" sheet="1" objects="1" scenarios="1" formatColumns="0" autoFilter="0"/>
  <autoFilter ref="B7:B70" xr:uid="{18FFC9CE-6F07-49A1-A37C-715ECAC0CC7F}"/>
  <mergeCells count="13">
    <mergeCell ref="L31:T31"/>
    <mergeCell ref="L45:T45"/>
    <mergeCell ref="L59:T59"/>
    <mergeCell ref="F9:G9"/>
    <mergeCell ref="F43:G43"/>
    <mergeCell ref="F57:G57"/>
    <mergeCell ref="F3:G3"/>
    <mergeCell ref="F15:G15"/>
    <mergeCell ref="F29:G29"/>
    <mergeCell ref="B4:B6"/>
    <mergeCell ref="L17:T17"/>
    <mergeCell ref="F4:G4"/>
    <mergeCell ref="F5:G5"/>
  </mergeCells>
  <conditionalFormatting sqref="B70:C70">
    <cfRule type="expression" dxfId="1186" priority="78">
      <formula>B70=""</formula>
    </cfRule>
  </conditionalFormatting>
  <conditionalFormatting sqref="F3:F5">
    <cfRule type="expression" dxfId="1185" priority="149">
      <formula>F3=""</formula>
    </cfRule>
  </conditionalFormatting>
  <conditionalFormatting sqref="G2">
    <cfRule type="expression" dxfId="1184" priority="13">
      <formula>ISERROR(SUM($J$11:$J$12))=TRUE</formula>
    </cfRule>
  </conditionalFormatting>
  <conditionalFormatting sqref="L17">
    <cfRule type="expression" dxfId="1183" priority="237">
      <formula>L17=""</formula>
    </cfRule>
  </conditionalFormatting>
  <conditionalFormatting sqref="L31">
    <cfRule type="expression" dxfId="1182" priority="77">
      <formula>L31=""</formula>
    </cfRule>
  </conditionalFormatting>
  <conditionalFormatting sqref="L45">
    <cfRule type="expression" dxfId="1181" priority="75">
      <formula>L45=""</formula>
    </cfRule>
  </conditionalFormatting>
  <conditionalFormatting sqref="L59">
    <cfRule type="expression" dxfId="1180" priority="73">
      <formula>L59=""</formula>
    </cfRule>
  </conditionalFormatting>
  <conditionalFormatting sqref="L18:T18">
    <cfRule type="expression" dxfId="1179" priority="258">
      <formula>AND(L18&lt;&gt;"",ISERROR(MATCH(L18,woningen_gebouwen_namen,0))=TRUE)</formula>
    </cfRule>
    <cfRule type="expression" dxfId="1178" priority="259">
      <formula>L18=""</formula>
    </cfRule>
  </conditionalFormatting>
  <conditionalFormatting sqref="L19:T19">
    <cfRule type="expression" dxfId="1177" priority="17">
      <formula>L18=""</formula>
    </cfRule>
  </conditionalFormatting>
  <conditionalFormatting sqref="L20:T20">
    <cfRule type="expression" dxfId="1176" priority="65">
      <formula>L18=""</formula>
    </cfRule>
    <cfRule type="expression" dxfId="1175" priority="66">
      <formula>AND(L18&lt;&gt;"",L20="")</formula>
    </cfRule>
  </conditionalFormatting>
  <conditionalFormatting sqref="L21:T21">
    <cfRule type="expression" dxfId="1174" priority="71">
      <formula>L18=""</formula>
    </cfRule>
    <cfRule type="expression" dxfId="1173" priority="27">
      <formula>AND(L18&lt;&gt;"",L21="")</formula>
    </cfRule>
  </conditionalFormatting>
  <conditionalFormatting sqref="L22:T22">
    <cfRule type="expression" dxfId="1172" priority="63">
      <formula>L22=""</formula>
    </cfRule>
  </conditionalFormatting>
  <conditionalFormatting sqref="L23:T23">
    <cfRule type="expression" dxfId="1171" priority="64">
      <formula>L18=""</formula>
    </cfRule>
  </conditionalFormatting>
  <conditionalFormatting sqref="L24:T24">
    <cfRule type="expression" dxfId="1170" priority="62">
      <formula>L24=""</formula>
    </cfRule>
  </conditionalFormatting>
  <conditionalFormatting sqref="L25:T25">
    <cfRule type="expression" dxfId="1169" priority="69">
      <formula>L18=""</formula>
    </cfRule>
    <cfRule type="expression" dxfId="1168" priority="70">
      <formula>AND(L18&lt;&gt;"",L25="")</formula>
    </cfRule>
  </conditionalFormatting>
  <conditionalFormatting sqref="L26:T26">
    <cfRule type="expression" dxfId="1167" priority="61">
      <formula>L26=""</formula>
    </cfRule>
  </conditionalFormatting>
  <conditionalFormatting sqref="L32:T32">
    <cfRule type="expression" dxfId="1166" priority="9">
      <formula>AND(L32&lt;&gt;"",ISERROR(MATCH(L32,woningen_gebouwen_namen,0))=TRUE)</formula>
    </cfRule>
    <cfRule type="expression" dxfId="1165" priority="10">
      <formula>L32=""</formula>
    </cfRule>
  </conditionalFormatting>
  <conditionalFormatting sqref="L33:T33">
    <cfRule type="expression" dxfId="1164" priority="16">
      <formula>L32=""</formula>
    </cfRule>
  </conditionalFormatting>
  <conditionalFormatting sqref="L34:T34">
    <cfRule type="expression" dxfId="1163" priority="55">
      <formula>AND(L32&lt;&gt;"",L34="")</formula>
    </cfRule>
    <cfRule type="expression" dxfId="1162" priority="54">
      <formula>L32=""</formula>
    </cfRule>
  </conditionalFormatting>
  <conditionalFormatting sqref="L35:T35">
    <cfRule type="expression" dxfId="1161" priority="25">
      <formula>L32=""</formula>
    </cfRule>
    <cfRule type="expression" dxfId="1160" priority="24">
      <formula>AND(L32&lt;&gt;"",L35="")</formula>
    </cfRule>
  </conditionalFormatting>
  <conditionalFormatting sqref="L36:T36">
    <cfRule type="expression" dxfId="1159" priority="52">
      <formula>L36=""</formula>
    </cfRule>
  </conditionalFormatting>
  <conditionalFormatting sqref="L37:T37">
    <cfRule type="expression" dxfId="1158" priority="53">
      <formula>L32=""</formula>
    </cfRule>
  </conditionalFormatting>
  <conditionalFormatting sqref="L38:T38">
    <cfRule type="expression" dxfId="1157" priority="51">
      <formula>L38=""</formula>
    </cfRule>
  </conditionalFormatting>
  <conditionalFormatting sqref="L39:T39">
    <cfRule type="expression" dxfId="1156" priority="59">
      <formula>AND(L32&lt;&gt;"",L39="")</formula>
    </cfRule>
    <cfRule type="expression" dxfId="1155" priority="58">
      <formula>L32=""</formula>
    </cfRule>
  </conditionalFormatting>
  <conditionalFormatting sqref="L40:T40">
    <cfRule type="expression" dxfId="1154" priority="50">
      <formula>L40=""</formula>
    </cfRule>
  </conditionalFormatting>
  <conditionalFormatting sqref="L46:T46">
    <cfRule type="expression" dxfId="1153" priority="5">
      <formula>AND(L46&lt;&gt;"",ISERROR(MATCH(L46,woningen_gebouwen_namen,0))=TRUE)</formula>
    </cfRule>
    <cfRule type="expression" dxfId="1152" priority="6">
      <formula>L46=""</formula>
    </cfRule>
  </conditionalFormatting>
  <conditionalFormatting sqref="L47:T47">
    <cfRule type="expression" dxfId="1151" priority="15">
      <formula>L46=""</formula>
    </cfRule>
  </conditionalFormatting>
  <conditionalFormatting sqref="L48:T48">
    <cfRule type="expression" dxfId="1150" priority="43">
      <formula>L46=""</formula>
    </cfRule>
    <cfRule type="expression" dxfId="1149" priority="44">
      <formula>AND(L46&lt;&gt;"",L48="")</formula>
    </cfRule>
  </conditionalFormatting>
  <conditionalFormatting sqref="L49:T49">
    <cfRule type="expression" dxfId="1148" priority="21">
      <formula>AND(L46&lt;&gt;"",L49="")</formula>
    </cfRule>
    <cfRule type="expression" dxfId="1147" priority="22">
      <formula>L46=""</formula>
    </cfRule>
  </conditionalFormatting>
  <conditionalFormatting sqref="L50:T50">
    <cfRule type="expression" dxfId="1146" priority="41">
      <formula>L50=""</formula>
    </cfRule>
  </conditionalFormatting>
  <conditionalFormatting sqref="L51:T51">
    <cfRule type="expression" dxfId="1145" priority="42">
      <formula>L46=""</formula>
    </cfRule>
  </conditionalFormatting>
  <conditionalFormatting sqref="L52:T52">
    <cfRule type="expression" dxfId="1144" priority="40">
      <formula>L52=""</formula>
    </cfRule>
  </conditionalFormatting>
  <conditionalFormatting sqref="L53:T53">
    <cfRule type="expression" dxfId="1143" priority="47">
      <formula>L46=""</formula>
    </cfRule>
    <cfRule type="expression" dxfId="1142" priority="48">
      <formula>AND(L46&lt;&gt;"",L53="")</formula>
    </cfRule>
  </conditionalFormatting>
  <conditionalFormatting sqref="L54:T54">
    <cfRule type="expression" dxfId="1141" priority="39">
      <formula>L54=""</formula>
    </cfRule>
  </conditionalFormatting>
  <conditionalFormatting sqref="L60:T60">
    <cfRule type="expression" dxfId="1140" priority="2">
      <formula>L60=""</formula>
    </cfRule>
    <cfRule type="expression" dxfId="1139" priority="1">
      <formula>AND(L60&lt;&gt;"",ISERROR(MATCH(L60,woningen_gebouwen_namen,0))=TRUE)</formula>
    </cfRule>
  </conditionalFormatting>
  <conditionalFormatting sqref="L61:T61">
    <cfRule type="expression" dxfId="1138" priority="14">
      <formula>L60=""</formula>
    </cfRule>
  </conditionalFormatting>
  <conditionalFormatting sqref="L62:T62">
    <cfRule type="expression" dxfId="1137" priority="32">
      <formula>L60=""</formula>
    </cfRule>
    <cfRule type="expression" dxfId="1136" priority="33">
      <formula>AND(L60&lt;&gt;"",L62="")</formula>
    </cfRule>
  </conditionalFormatting>
  <conditionalFormatting sqref="L63:T63">
    <cfRule type="expression" dxfId="1135" priority="19">
      <formula>L60=""</formula>
    </cfRule>
    <cfRule type="expression" dxfId="1134" priority="18">
      <formula>AND(L60&lt;&gt;"",L63="")</formula>
    </cfRule>
  </conditionalFormatting>
  <conditionalFormatting sqref="L64:T64">
    <cfRule type="expression" dxfId="1133" priority="30">
      <formula>L64=""</formula>
    </cfRule>
  </conditionalFormatting>
  <conditionalFormatting sqref="L65:T65">
    <cfRule type="expression" dxfId="1132" priority="31">
      <formula>L60=""</formula>
    </cfRule>
  </conditionalFormatting>
  <conditionalFormatting sqref="L66:T66">
    <cfRule type="expression" dxfId="1131" priority="29">
      <formula>L66=""</formula>
    </cfRule>
  </conditionalFormatting>
  <conditionalFormatting sqref="L67:T67">
    <cfRule type="expression" dxfId="1130" priority="37">
      <formula>AND(L60&lt;&gt;"",L67="")</formula>
    </cfRule>
    <cfRule type="expression" dxfId="1129" priority="36">
      <formula>L60=""</formula>
    </cfRule>
  </conditionalFormatting>
  <conditionalFormatting sqref="L68:T68">
    <cfRule type="expression" dxfId="1128" priority="28">
      <formula>L68=""</formula>
    </cfRule>
  </conditionalFormatting>
  <conditionalFormatting sqref="S18">
    <cfRule type="expression" dxfId="1127" priority="67">
      <formula>AND(S18&lt;&gt;"",ISERROR(MATCH(S18,woningen_gebouwen_namen,0))=TRUE)</formula>
    </cfRule>
    <cfRule type="expression" dxfId="1126" priority="68">
      <formula>S18=""</formula>
    </cfRule>
  </conditionalFormatting>
  <dataValidations count="8">
    <dataValidation type="textLength" errorStyle="warning" allowBlank="1" showInputMessage="1" showErrorMessage="1" errorTitle="Maximaal 65 karakters" error="Maximaal 65 karakters" sqref="F5" xr:uid="{E43991F4-1CE5-4D59-9BD6-7B823E1CE537}">
      <formula1>0</formula1>
      <formula2>65</formula2>
    </dataValidation>
    <dataValidation type="textLength" errorStyle="warning" allowBlank="1" showInputMessage="1" showErrorMessage="1" errorTitle="Maximaal 30 karakters" error="Maximaal 30 karakters" sqref="F3" xr:uid="{29C98048-4C2A-47DF-AA2A-613D1AEF4819}">
      <formula1>0</formula1>
      <formula2>30</formula2>
    </dataValidation>
    <dataValidation allowBlank="1" showInputMessage="1" showErrorMessage="1" promptTitle="Invoer kenmerken gebouwen" prompt="Op dit tabblad worden aantallen en geometrische kenmerken van de woningen, woongebouwen en/of utiliteitsgebouwen ingevoerd._x000a__x000a_De energetische kenmerken worden ingevoerd voor de referentie (tabblad 'referentie') en varianten daarop (tabblad 'variant x')." sqref="D2:D3" xr:uid="{634EAEF5-4149-4801-ACAC-3D7BF2FDE41D}"/>
    <dataValidation type="decimal" operator="greaterThanOrEqual" allowBlank="1" showInputMessage="1" showErrorMessage="1" sqref="L65:T68 L63:T63 L49:T49 L35:T35 L23:T26 L37:T40 L51:T54 L21:T21" xr:uid="{999E6106-0095-4B84-A10D-32E2461AFDC6}">
      <formula1>0</formula1>
    </dataValidation>
    <dataValidation type="list" allowBlank="1" showInputMessage="1" showErrorMessage="1" sqref="L32:T32 L46:T46 L60:T60 L18:T18" xr:uid="{F89DE403-C942-4AEB-9989-5D3221A1FEB8}">
      <formula1>woningen_gebouwen_namen</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7" xr:uid="{34A873A8-7BE9-4CC3-B1D1-3FDB63023865}"/>
    <dataValidation type="textLength" errorStyle="warning" allowBlank="1" showInputMessage="1" showErrorMessage="1" errorTitle="Maximaal 30 karakters" error="Maximaal 30 karakters" sqref="F4" xr:uid="{434D77DE-8141-4CCD-A518-1FB44DF7FE09}">
      <formula1>0</formula1>
      <formula2>50</formula2>
    </dataValidation>
    <dataValidation allowBlank="1" showInputMessage="1" showErrorMessage="1" promptTitle="woningen|utiliteitsgebouwen" prompt="De te kiezen typen RVO woningen en utiliteitsgebouwen:_x000a_- BENG referentiewoningen;_x000a_- BENG utiliteitsgebouwen;_x000a_- Voorbeeldwoningen_x000a_   bestaande bouw 2020_x000a_   (in de lijst de woningtypen_x000a_   met een bouwjaarklasse)" sqref="D18 D32 D46 D60" xr:uid="{586E4DFD-6BB3-4B5E-B8F0-DF718311E2EE}"/>
  </dataValidations>
  <pageMargins left="0.75" right="0.75" top="1" bottom="1" header="0.5" footer="0.5"/>
  <pageSetup paperSize="9" scale="56" orientation="landscape" horizontalDpi="4294967293" verticalDpi="4294967293" r:id="rId1"/>
  <headerFooter alignWithMargins="0">
    <oddFooter>&amp;L_x000D_&amp;1#&amp;"Calibri"&amp;10&amp;K000000 Intern gebruik</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A1F1-0416-462C-B532-30E342FC77A1}">
  <sheetPr codeName="Blad7"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1</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2" t="str">
        <f>"project: "&amp;IF('woningen|utiliteit'!$F$3="","",'woningen|utiliteit'!$F$3)</f>
        <v xml:space="preserve">project: </v>
      </c>
      <c r="F3" s="1113"/>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4"/>
      <c r="G4" s="1114"/>
      <c r="H4" s="1115"/>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6" t="s">
        <v>94</v>
      </c>
      <c r="C5" s="1116"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6"/>
      <c r="C6" s="1116"/>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6"/>
      <c r="C7" s="1116"/>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1085">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25.5">
      <c r="A42" s="652"/>
      <c r="B42" s="492" t="s">
        <v>139</v>
      </c>
      <c r="C42" s="653" t="s">
        <v>125</v>
      </c>
      <c r="D42" s="747"/>
      <c r="E42" s="182" t="s">
        <v>143</v>
      </c>
      <c r="F42" s="182"/>
      <c r="G42" s="182"/>
      <c r="H42" s="183" t="s">
        <v>68</v>
      </c>
      <c r="I42" s="114"/>
      <c r="J42" s="707"/>
      <c r="K42" s="97"/>
      <c r="L42" s="97"/>
      <c r="M42" s="224"/>
      <c r="N42" s="99"/>
      <c r="O42" s="876" t="s">
        <v>1868</v>
      </c>
      <c r="P42" s="876" t="s">
        <v>1868</v>
      </c>
      <c r="Q42" s="876" t="s">
        <v>1868</v>
      </c>
      <c r="R42" s="876" t="s">
        <v>1868</v>
      </c>
      <c r="S42" s="876" t="s">
        <v>1868</v>
      </c>
      <c r="T42" s="876" t="s">
        <v>1868</v>
      </c>
      <c r="U42" s="876" t="s">
        <v>1868</v>
      </c>
      <c r="V42" s="876" t="s">
        <v>1868</v>
      </c>
      <c r="W42" s="876" t="s">
        <v>1868</v>
      </c>
      <c r="X42" s="764"/>
      <c r="Y42" s="224"/>
      <c r="Z42" s="765"/>
      <c r="AA42" s="876" t="s">
        <v>1868</v>
      </c>
      <c r="AB42" s="876" t="s">
        <v>1868</v>
      </c>
      <c r="AC42" s="876" t="s">
        <v>1868</v>
      </c>
      <c r="AD42" s="876" t="s">
        <v>1868</v>
      </c>
      <c r="AE42" s="876" t="s">
        <v>1868</v>
      </c>
      <c r="AF42" s="876" t="s">
        <v>1868</v>
      </c>
      <c r="AG42" s="876" t="s">
        <v>1868</v>
      </c>
      <c r="AH42" s="876" t="s">
        <v>1868</v>
      </c>
      <c r="AI42" s="876" t="s">
        <v>1868</v>
      </c>
      <c r="AJ42" s="764"/>
      <c r="AK42" s="224"/>
      <c r="AL42" s="766"/>
      <c r="AM42" s="876" t="s">
        <v>1868</v>
      </c>
      <c r="AN42" s="876" t="s">
        <v>1868</v>
      </c>
      <c r="AO42" s="876" t="s">
        <v>1868</v>
      </c>
      <c r="AP42" s="876" t="s">
        <v>1868</v>
      </c>
      <c r="AQ42" s="876" t="s">
        <v>1868</v>
      </c>
      <c r="AR42" s="876" t="s">
        <v>1868</v>
      </c>
      <c r="AS42" s="876" t="s">
        <v>1868</v>
      </c>
      <c r="AT42" s="876" t="s">
        <v>1868</v>
      </c>
      <c r="AU42" s="876" t="s">
        <v>1868</v>
      </c>
      <c r="AV42" s="764"/>
      <c r="AW42" s="224"/>
      <c r="AX42" s="766"/>
      <c r="AY42" s="876" t="s">
        <v>1868</v>
      </c>
      <c r="AZ42" s="876" t="s">
        <v>1868</v>
      </c>
      <c r="BA42" s="876" t="s">
        <v>1868</v>
      </c>
      <c r="BB42" s="876" t="s">
        <v>1868</v>
      </c>
      <c r="BC42" s="876" t="s">
        <v>1868</v>
      </c>
      <c r="BD42" s="876" t="s">
        <v>1868</v>
      </c>
      <c r="BE42" s="876" t="s">
        <v>1868</v>
      </c>
      <c r="BF42" s="876" t="s">
        <v>1868</v>
      </c>
      <c r="BG42" s="876" t="s">
        <v>1868</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c r="P45" s="878"/>
      <c r="Q45" s="878"/>
      <c r="R45" s="878"/>
      <c r="S45" s="878"/>
      <c r="T45" s="878"/>
      <c r="U45" s="878"/>
      <c r="V45" s="878"/>
      <c r="W45" s="878"/>
      <c r="X45" s="768"/>
      <c r="Y45" s="282"/>
      <c r="Z45" s="279"/>
      <c r="AA45" s="878"/>
      <c r="AB45" s="878"/>
      <c r="AC45" s="878"/>
      <c r="AD45" s="878"/>
      <c r="AE45" s="878"/>
      <c r="AF45" s="878"/>
      <c r="AG45" s="878"/>
      <c r="AH45" s="878"/>
      <c r="AI45" s="878"/>
      <c r="AJ45" s="768"/>
      <c r="AK45" s="282"/>
      <c r="AL45" s="769"/>
      <c r="AM45" s="878"/>
      <c r="AN45" s="878"/>
      <c r="AO45" s="878"/>
      <c r="AP45" s="878"/>
      <c r="AQ45" s="878"/>
      <c r="AR45" s="878"/>
      <c r="AS45" s="878"/>
      <c r="AT45" s="878"/>
      <c r="AU45" s="878"/>
      <c r="AV45" s="768"/>
      <c r="AW45" s="282"/>
      <c r="AX45" s="769"/>
      <c r="AY45" s="878"/>
      <c r="AZ45" s="878"/>
      <c r="BA45" s="878"/>
      <c r="BB45" s="878"/>
      <c r="BC45" s="878"/>
      <c r="BD45" s="878"/>
      <c r="BE45" s="878"/>
      <c r="BF45" s="878"/>
      <c r="BG45" s="878"/>
      <c r="BH45" s="261"/>
    </row>
    <row r="46" spans="1:60">
      <c r="A46" s="652"/>
      <c r="B46" s="492" t="s">
        <v>139</v>
      </c>
      <c r="C46" s="735" t="s">
        <v>125</v>
      </c>
      <c r="D46" s="747"/>
      <c r="E46" s="182" t="s">
        <v>150</v>
      </c>
      <c r="F46" s="182"/>
      <c r="G46" s="182"/>
      <c r="H46" s="183" t="s">
        <v>68</v>
      </c>
      <c r="I46" s="114"/>
      <c r="J46" s="707"/>
      <c r="K46" s="97"/>
      <c r="L46" s="97"/>
      <c r="M46" s="224"/>
      <c r="N46" s="99"/>
      <c r="O46" s="876"/>
      <c r="P46" s="876"/>
      <c r="Q46" s="876"/>
      <c r="R46" s="876"/>
      <c r="S46" s="876"/>
      <c r="T46" s="876"/>
      <c r="U46" s="876"/>
      <c r="V46" s="876"/>
      <c r="W46" s="876"/>
      <c r="X46" s="764"/>
      <c r="Y46" s="224"/>
      <c r="Z46" s="236"/>
      <c r="AA46" s="876"/>
      <c r="AB46" s="876"/>
      <c r="AC46" s="876"/>
      <c r="AD46" s="876"/>
      <c r="AE46" s="876"/>
      <c r="AF46" s="876"/>
      <c r="AG46" s="876"/>
      <c r="AH46" s="876"/>
      <c r="AI46" s="876"/>
      <c r="AJ46" s="764"/>
      <c r="AK46" s="224"/>
      <c r="AL46" s="766"/>
      <c r="AM46" s="876"/>
      <c r="AN46" s="876"/>
      <c r="AO46" s="876"/>
      <c r="AP46" s="876"/>
      <c r="AQ46" s="876"/>
      <c r="AR46" s="876"/>
      <c r="AS46" s="876"/>
      <c r="AT46" s="876"/>
      <c r="AU46" s="876"/>
      <c r="AV46" s="764"/>
      <c r="AW46" s="224"/>
      <c r="AX46" s="766"/>
      <c r="AY46" s="876"/>
      <c r="AZ46" s="876"/>
      <c r="BA46" s="876"/>
      <c r="BB46" s="876"/>
      <c r="BC46" s="876"/>
      <c r="BD46" s="876"/>
      <c r="BE46" s="876"/>
      <c r="BF46" s="876"/>
      <c r="BG46" s="876"/>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1873</v>
      </c>
      <c r="F49" s="1048"/>
      <c r="G49" s="1048"/>
      <c r="H49" s="1053" t="s">
        <v>1874</v>
      </c>
      <c r="I49" s="210"/>
      <c r="J49" s="238"/>
      <c r="K49" s="90"/>
      <c r="L49" s="90"/>
      <c r="M49" s="238"/>
      <c r="N49" s="105"/>
      <c r="O49" s="1054"/>
      <c r="P49" s="1054"/>
      <c r="Q49" s="1054"/>
      <c r="R49" s="1054"/>
      <c r="S49" s="1054"/>
      <c r="T49" s="1054"/>
      <c r="U49" s="1054"/>
      <c r="V49" s="1054"/>
      <c r="W49" s="1054"/>
      <c r="X49" s="763"/>
      <c r="Y49" s="238"/>
      <c r="Z49" s="236"/>
      <c r="AA49" s="1054"/>
      <c r="AB49" s="1054"/>
      <c r="AC49" s="1054"/>
      <c r="AD49" s="1054"/>
      <c r="AE49" s="1054"/>
      <c r="AF49" s="1054"/>
      <c r="AG49" s="1054"/>
      <c r="AH49" s="1054"/>
      <c r="AI49" s="1054"/>
      <c r="AJ49" s="763"/>
      <c r="AK49" s="238"/>
      <c r="AL49" s="763"/>
      <c r="AM49" s="1054"/>
      <c r="AN49" s="1054"/>
      <c r="AO49" s="1054"/>
      <c r="AP49" s="1054"/>
      <c r="AQ49" s="1054"/>
      <c r="AR49" s="1054"/>
      <c r="AS49" s="1054"/>
      <c r="AT49" s="1054"/>
      <c r="AU49" s="1054"/>
      <c r="AV49" s="763"/>
      <c r="AW49" s="238"/>
      <c r="AX49" s="763"/>
      <c r="AY49" s="1054"/>
      <c r="AZ49" s="1054"/>
      <c r="BA49" s="1054"/>
      <c r="BB49" s="1054"/>
      <c r="BC49" s="1054"/>
      <c r="BD49" s="1054"/>
      <c r="BE49" s="1054"/>
      <c r="BF49" s="1054"/>
      <c r="BG49" s="1054"/>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1876</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J69" si="64">M62+Y62+AK62+AW62</f>
        <v>0</v>
      </c>
      <c r="K62" s="142"/>
      <c r="L62" s="142"/>
      <c r="M62" s="323">
        <f t="shared" ref="M62:M69"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1876</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si="64"/>
        <v>0</v>
      </c>
      <c r="K64" s="142"/>
      <c r="L64" s="142"/>
      <c r="M64" s="323">
        <f t="shared" si="65"/>
        <v>0</v>
      </c>
      <c r="N64" s="321"/>
      <c r="O64" s="322">
        <f t="shared" ref="O64:W64" si="77">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ref="Y64:Y69" si="78">SUMPRODUCT(Z$24:AJ$24,Z$31:AJ$31,Z64:AJ64)/1000</f>
        <v>0</v>
      </c>
      <c r="Z64" s="321"/>
      <c r="AA64" s="322">
        <f t="shared" ref="AA64:AI64" si="79">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79"/>
        <v>0</v>
      </c>
      <c r="AC64" s="322">
        <f t="shared" si="79"/>
        <v>0</v>
      </c>
      <c r="AD64" s="322">
        <f t="shared" si="79"/>
        <v>0</v>
      </c>
      <c r="AE64" s="322">
        <f t="shared" si="79"/>
        <v>0</v>
      </c>
      <c r="AF64" s="322">
        <f t="shared" si="79"/>
        <v>0</v>
      </c>
      <c r="AG64" s="322">
        <f t="shared" si="79"/>
        <v>0</v>
      </c>
      <c r="AH64" s="322">
        <f t="shared" si="79"/>
        <v>0</v>
      </c>
      <c r="AI64" s="322">
        <f t="shared" si="79"/>
        <v>0</v>
      </c>
      <c r="AJ64" s="142"/>
      <c r="AK64" s="323">
        <f t="shared" ref="AK64:AK69" si="80">SUMPRODUCT(AL$24:AV$24,AL$31:AV$31,AL64:AV64)/1000</f>
        <v>0</v>
      </c>
      <c r="AL64" s="321"/>
      <c r="AM64" s="322">
        <f t="shared" ref="AM64:AU64" si="81">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1"/>
        <v>0</v>
      </c>
      <c r="AO64" s="322">
        <f t="shared" si="81"/>
        <v>0</v>
      </c>
      <c r="AP64" s="322">
        <f t="shared" si="81"/>
        <v>0</v>
      </c>
      <c r="AQ64" s="322">
        <f t="shared" si="81"/>
        <v>0</v>
      </c>
      <c r="AR64" s="322">
        <f t="shared" si="81"/>
        <v>0</v>
      </c>
      <c r="AS64" s="322">
        <f t="shared" si="81"/>
        <v>0</v>
      </c>
      <c r="AT64" s="322">
        <f t="shared" si="81"/>
        <v>0</v>
      </c>
      <c r="AU64" s="322">
        <f t="shared" si="81"/>
        <v>0</v>
      </c>
      <c r="AV64" s="142"/>
      <c r="AW64" s="323">
        <f t="shared" ref="AW64:AW69" si="82">SUMPRODUCT(AX$24:BH$24,AX$31:BH$31,AX64:BH64)/1000</f>
        <v>0</v>
      </c>
      <c r="AX64" s="321"/>
      <c r="AY64" s="322">
        <f t="shared" ref="AY64:BG64" si="83">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3"/>
        <v>0</v>
      </c>
      <c r="BA64" s="322">
        <f t="shared" si="83"/>
        <v>0</v>
      </c>
      <c r="BB64" s="322">
        <f t="shared" si="83"/>
        <v>0</v>
      </c>
      <c r="BC64" s="322">
        <f t="shared" si="83"/>
        <v>0</v>
      </c>
      <c r="BD64" s="322">
        <f t="shared" si="83"/>
        <v>0</v>
      </c>
      <c r="BE64" s="322">
        <f t="shared" si="83"/>
        <v>0</v>
      </c>
      <c r="BF64" s="322">
        <f t="shared" si="83"/>
        <v>0</v>
      </c>
      <c r="BG64" s="322">
        <f t="shared" si="83"/>
        <v>0</v>
      </c>
      <c r="BH64" s="255"/>
    </row>
    <row r="65" spans="1:60">
      <c r="A65" s="650"/>
      <c r="B65" s="492" t="s">
        <v>155</v>
      </c>
      <c r="C65" s="653" t="s">
        <v>111</v>
      </c>
      <c r="D65" s="746" t="s">
        <v>48</v>
      </c>
      <c r="E65" s="358" t="str">
        <f>$Q$10</f>
        <v>tapwater</v>
      </c>
      <c r="F65" s="359"/>
      <c r="G65" s="359"/>
      <c r="H65" s="358" t="s">
        <v>166</v>
      </c>
      <c r="I65" s="321"/>
      <c r="J65" s="323">
        <f t="shared" si="64"/>
        <v>0</v>
      </c>
      <c r="K65" s="142"/>
      <c r="L65" s="142"/>
      <c r="M65" s="323">
        <f t="shared" si="65"/>
        <v>0</v>
      </c>
      <c r="N65" s="321"/>
      <c r="O65" s="322">
        <f t="shared" ref="O65:V65" si="84">IF(OR(O$19="",O$31=0),0,
IF(OR(O$21=woning,O$21=woongebouw),IF(O$31&gt;100,1.28+0.01*O$31,MAX(1,2.28-1.28/70*(100-O$31)))*856/O$31,
INDEX(warmtapwater_specifieke_warmtebehoefte_waarden,MATCH(O$21,warmtapwater_specifieke_warmtebehoefte_gebruiksfuncties,0)))*O$44)</f>
        <v>0</v>
      </c>
      <c r="P65" s="322">
        <f t="shared" si="84"/>
        <v>0</v>
      </c>
      <c r="Q65" s="322">
        <f t="shared" si="84"/>
        <v>0</v>
      </c>
      <c r="R65" s="322">
        <f t="shared" si="84"/>
        <v>0</v>
      </c>
      <c r="S65" s="322">
        <f t="shared" si="84"/>
        <v>0</v>
      </c>
      <c r="T65" s="322">
        <f t="shared" si="84"/>
        <v>0</v>
      </c>
      <c r="U65" s="322">
        <f t="shared" si="84"/>
        <v>0</v>
      </c>
      <c r="V65" s="322">
        <f t="shared" si="84"/>
        <v>0</v>
      </c>
      <c r="W65" s="322">
        <f>IF(OR(W$19="",W$31=0),0,
IF(OR(W$21=woning,W$21=woongebouw),IF(W$31&gt;100,1.28+0.01*W$31,MAX(1,2.28-1.28/70*(100-W$31)))*856/W$31,
INDEX(warmtapwater_specifieke_warmtebehoefte_waarden,MATCH(W$21,warmtapwater_specifieke_warmtebehoefte_gebruiksfuncties,0)))*W$44)</f>
        <v>0</v>
      </c>
      <c r="X65" s="142"/>
      <c r="Y65" s="323">
        <f t="shared" si="78"/>
        <v>0</v>
      </c>
      <c r="Z65" s="321"/>
      <c r="AA65" s="322">
        <f t="shared" ref="AA65:AI65" si="85">IF(OR(AA$19="",AA$31=0),0,
IF(OR(AA$21=woning,AA$21=woongebouw),IF(AA$31&gt;100,1.28+0.01*AA$31,MAX(1,2.28-1.28/70*(100-AA$31)))*856/AA$31,
INDEX(warmtapwater_specifieke_warmtebehoefte_waarden,MATCH(AA$21,warmtapwater_specifieke_warmtebehoefte_gebruiksfuncties,0)))*AA$44)</f>
        <v>0</v>
      </c>
      <c r="AB65" s="322">
        <f t="shared" si="85"/>
        <v>0</v>
      </c>
      <c r="AC65" s="322">
        <f t="shared" si="85"/>
        <v>0</v>
      </c>
      <c r="AD65" s="322">
        <f t="shared" si="85"/>
        <v>0</v>
      </c>
      <c r="AE65" s="322">
        <f t="shared" si="85"/>
        <v>0</v>
      </c>
      <c r="AF65" s="322">
        <f t="shared" si="85"/>
        <v>0</v>
      </c>
      <c r="AG65" s="322">
        <f t="shared" si="85"/>
        <v>0</v>
      </c>
      <c r="AH65" s="322">
        <f t="shared" si="85"/>
        <v>0</v>
      </c>
      <c r="AI65" s="322">
        <f t="shared" si="85"/>
        <v>0</v>
      </c>
      <c r="AJ65" s="142"/>
      <c r="AK65" s="323">
        <f t="shared" si="80"/>
        <v>0</v>
      </c>
      <c r="AL65" s="321"/>
      <c r="AM65" s="322">
        <f t="shared" ref="AM65:AU65" si="86">IF(OR(AM$19="",AM$31=0),0,
IF(OR(AM$21=woning,AM$21=woongebouw),IF(AM$31&gt;100,1.28+0.01*AM$31,MAX(1,2.28-1.28/70*(100-AM$31)))*856/AM$31,
INDEX(warmtapwater_specifieke_warmtebehoefte_waarden,MATCH(AM$21,warmtapwater_specifieke_warmtebehoefte_gebruiksfuncties,0)))*AM$44)</f>
        <v>0</v>
      </c>
      <c r="AN65" s="322">
        <f t="shared" si="86"/>
        <v>0</v>
      </c>
      <c r="AO65" s="322">
        <f t="shared" si="86"/>
        <v>0</v>
      </c>
      <c r="AP65" s="322">
        <f t="shared" si="86"/>
        <v>0</v>
      </c>
      <c r="AQ65" s="322">
        <f t="shared" si="86"/>
        <v>0</v>
      </c>
      <c r="AR65" s="322">
        <f t="shared" si="86"/>
        <v>0</v>
      </c>
      <c r="AS65" s="322">
        <f t="shared" si="86"/>
        <v>0</v>
      </c>
      <c r="AT65" s="322">
        <f t="shared" si="86"/>
        <v>0</v>
      </c>
      <c r="AU65" s="322">
        <f t="shared" si="86"/>
        <v>0</v>
      </c>
      <c r="AV65" s="142"/>
      <c r="AW65" s="323">
        <f t="shared" si="82"/>
        <v>0</v>
      </c>
      <c r="AX65" s="321"/>
      <c r="AY65" s="322">
        <f t="shared" ref="AY65:BG65" si="87">IF(OR(AY$19="",AY$31=0),0,
IF(OR(AY$21=woning,AY$21=woongebouw),IF(AY$31&gt;100,1.28+0.01*AY$31,MAX(1,2.28-1.28/70*(100-AY$31)))*856/AY$31,
INDEX(warmtapwater_specifieke_warmtebehoefte_waarden,MATCH(AY$21,warmtapwater_specifieke_warmtebehoefte_gebruiksfuncties,0)))*AY$44)</f>
        <v>0</v>
      </c>
      <c r="AZ65" s="322">
        <f t="shared" si="87"/>
        <v>0</v>
      </c>
      <c r="BA65" s="322">
        <f t="shared" si="87"/>
        <v>0</v>
      </c>
      <c r="BB65" s="322">
        <f t="shared" si="87"/>
        <v>0</v>
      </c>
      <c r="BC65" s="322">
        <f t="shared" si="87"/>
        <v>0</v>
      </c>
      <c r="BD65" s="322">
        <f t="shared" si="87"/>
        <v>0</v>
      </c>
      <c r="BE65" s="322">
        <f t="shared" si="87"/>
        <v>0</v>
      </c>
      <c r="BF65" s="322">
        <f t="shared" si="87"/>
        <v>0</v>
      </c>
      <c r="BG65" s="322">
        <f t="shared" si="87"/>
        <v>0</v>
      </c>
      <c r="BH65" s="255"/>
    </row>
    <row r="66" spans="1:60">
      <c r="A66" s="650"/>
      <c r="B66" s="492" t="s">
        <v>155</v>
      </c>
      <c r="C66" s="653" t="s">
        <v>111</v>
      </c>
      <c r="D66" s="746" t="s">
        <v>48</v>
      </c>
      <c r="E66" s="358" t="str">
        <f>$R$10</f>
        <v>verlichting</v>
      </c>
      <c r="F66" s="359"/>
      <c r="G66" s="359"/>
      <c r="H66" s="358" t="s">
        <v>166</v>
      </c>
      <c r="I66" s="321"/>
      <c r="J66" s="323">
        <f t="shared" si="64"/>
        <v>0</v>
      </c>
      <c r="K66" s="142"/>
      <c r="L66" s="142"/>
      <c r="M66" s="323">
        <f t="shared" si="65"/>
        <v>0</v>
      </c>
      <c r="N66" s="321"/>
      <c r="O66" s="322">
        <f t="shared" ref="O66:W66" si="88">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88"/>
        <v>0</v>
      </c>
      <c r="Q66" s="322">
        <f t="shared" si="88"/>
        <v>0</v>
      </c>
      <c r="R66" s="322">
        <f t="shared" si="88"/>
        <v>0</v>
      </c>
      <c r="S66" s="322">
        <f t="shared" si="88"/>
        <v>0</v>
      </c>
      <c r="T66" s="322">
        <f t="shared" si="88"/>
        <v>0</v>
      </c>
      <c r="U66" s="322">
        <f t="shared" si="88"/>
        <v>0</v>
      </c>
      <c r="V66" s="322">
        <f t="shared" si="88"/>
        <v>0</v>
      </c>
      <c r="W66" s="322">
        <f t="shared" si="88"/>
        <v>0</v>
      </c>
      <c r="X66" s="142"/>
      <c r="Y66" s="323">
        <f t="shared" si="78"/>
        <v>0</v>
      </c>
      <c r="Z66" s="321"/>
      <c r="AA66" s="322">
        <f t="shared" ref="AA66:AI66" si="89">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89"/>
        <v>0</v>
      </c>
      <c r="AC66" s="322">
        <f t="shared" si="89"/>
        <v>0</v>
      </c>
      <c r="AD66" s="322">
        <f t="shared" si="89"/>
        <v>0</v>
      </c>
      <c r="AE66" s="322">
        <f t="shared" si="89"/>
        <v>0</v>
      </c>
      <c r="AF66" s="322">
        <f t="shared" si="89"/>
        <v>0</v>
      </c>
      <c r="AG66" s="322">
        <f t="shared" si="89"/>
        <v>0</v>
      </c>
      <c r="AH66" s="322">
        <f t="shared" si="89"/>
        <v>0</v>
      </c>
      <c r="AI66" s="322">
        <f t="shared" si="89"/>
        <v>0</v>
      </c>
      <c r="AJ66" s="142"/>
      <c r="AK66" s="323">
        <f t="shared" si="80"/>
        <v>0</v>
      </c>
      <c r="AL66" s="321"/>
      <c r="AM66" s="322">
        <f t="shared" ref="AM66:AU66" si="90">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0"/>
        <v>0</v>
      </c>
      <c r="AO66" s="322">
        <f t="shared" si="90"/>
        <v>0</v>
      </c>
      <c r="AP66" s="322">
        <f t="shared" si="90"/>
        <v>0</v>
      </c>
      <c r="AQ66" s="322">
        <f t="shared" si="90"/>
        <v>0</v>
      </c>
      <c r="AR66" s="322">
        <f t="shared" si="90"/>
        <v>0</v>
      </c>
      <c r="AS66" s="322">
        <f t="shared" si="90"/>
        <v>0</v>
      </c>
      <c r="AT66" s="322">
        <f t="shared" si="90"/>
        <v>0</v>
      </c>
      <c r="AU66" s="322">
        <f t="shared" si="90"/>
        <v>0</v>
      </c>
      <c r="AV66" s="142"/>
      <c r="AW66" s="323">
        <f t="shared" si="82"/>
        <v>0</v>
      </c>
      <c r="AX66" s="321"/>
      <c r="AY66" s="322">
        <f t="shared" ref="AY66:BG66" si="91">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1"/>
        <v>0</v>
      </c>
      <c r="BA66" s="322">
        <f t="shared" si="91"/>
        <v>0</v>
      </c>
      <c r="BB66" s="322">
        <f t="shared" si="91"/>
        <v>0</v>
      </c>
      <c r="BC66" s="322">
        <f t="shared" si="91"/>
        <v>0</v>
      </c>
      <c r="BD66" s="322">
        <f t="shared" si="91"/>
        <v>0</v>
      </c>
      <c r="BE66" s="322">
        <f t="shared" si="91"/>
        <v>0</v>
      </c>
      <c r="BF66" s="322">
        <f t="shared" si="91"/>
        <v>0</v>
      </c>
      <c r="BG66" s="322">
        <f t="shared" si="91"/>
        <v>0</v>
      </c>
      <c r="BH66" s="255"/>
    </row>
    <row r="67" spans="1:60">
      <c r="A67" s="650"/>
      <c r="B67" s="492" t="s">
        <v>155</v>
      </c>
      <c r="C67" s="653" t="s">
        <v>111</v>
      </c>
      <c r="D67" s="746" t="s">
        <v>48</v>
      </c>
      <c r="E67" s="358" t="str">
        <f>$S$10</f>
        <v>ventilatoren</v>
      </c>
      <c r="F67" s="359"/>
      <c r="G67" s="359"/>
      <c r="H67" s="358" t="s">
        <v>166</v>
      </c>
      <c r="I67" s="321"/>
      <c r="J67" s="323">
        <f t="shared" si="64"/>
        <v>0</v>
      </c>
      <c r="K67" s="142"/>
      <c r="L67" s="142"/>
      <c r="M67" s="323">
        <f t="shared" si="65"/>
        <v>0</v>
      </c>
      <c r="N67" s="321"/>
      <c r="O67" s="322">
        <f t="shared" ref="O67:W67" si="92">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7" s="322">
        <f t="shared" si="92"/>
        <v>0</v>
      </c>
      <c r="Q67" s="322">
        <f t="shared" si="92"/>
        <v>0</v>
      </c>
      <c r="R67" s="322">
        <f t="shared" si="92"/>
        <v>0</v>
      </c>
      <c r="S67" s="322">
        <f t="shared" si="92"/>
        <v>0</v>
      </c>
      <c r="T67" s="322">
        <f t="shared" si="92"/>
        <v>0</v>
      </c>
      <c r="U67" s="322">
        <f t="shared" si="92"/>
        <v>0</v>
      </c>
      <c r="V67" s="322">
        <f t="shared" si="92"/>
        <v>0</v>
      </c>
      <c r="W67" s="322">
        <f t="shared" si="92"/>
        <v>0</v>
      </c>
      <c r="X67" s="142"/>
      <c r="Y67" s="323">
        <f t="shared" si="78"/>
        <v>0</v>
      </c>
      <c r="Z67" s="321"/>
      <c r="AA67" s="322">
        <f t="shared" ref="AA67:AI67" si="93">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7" s="322">
        <f t="shared" si="93"/>
        <v>0</v>
      </c>
      <c r="AC67" s="322">
        <f t="shared" si="93"/>
        <v>0</v>
      </c>
      <c r="AD67" s="322">
        <f t="shared" si="93"/>
        <v>0</v>
      </c>
      <c r="AE67" s="322">
        <f t="shared" si="93"/>
        <v>0</v>
      </c>
      <c r="AF67" s="322">
        <f t="shared" si="93"/>
        <v>0</v>
      </c>
      <c r="AG67" s="322">
        <f t="shared" si="93"/>
        <v>0</v>
      </c>
      <c r="AH67" s="322">
        <f t="shared" si="93"/>
        <v>0</v>
      </c>
      <c r="AI67" s="322">
        <f t="shared" si="93"/>
        <v>0</v>
      </c>
      <c r="AJ67" s="142"/>
      <c r="AK67" s="323">
        <f t="shared" si="80"/>
        <v>0</v>
      </c>
      <c r="AL67" s="321"/>
      <c r="AM67" s="322">
        <f t="shared" ref="AM67:AU67" si="94">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7" s="322">
        <f t="shared" si="94"/>
        <v>0</v>
      </c>
      <c r="AO67" s="322">
        <f t="shared" si="94"/>
        <v>0</v>
      </c>
      <c r="AP67" s="322">
        <f t="shared" si="94"/>
        <v>0</v>
      </c>
      <c r="AQ67" s="322">
        <f t="shared" si="94"/>
        <v>0</v>
      </c>
      <c r="AR67" s="322">
        <f t="shared" si="94"/>
        <v>0</v>
      </c>
      <c r="AS67" s="322">
        <f t="shared" si="94"/>
        <v>0</v>
      </c>
      <c r="AT67" s="322">
        <f t="shared" si="94"/>
        <v>0</v>
      </c>
      <c r="AU67" s="322">
        <f t="shared" si="94"/>
        <v>0</v>
      </c>
      <c r="AV67" s="142"/>
      <c r="AW67" s="323">
        <f t="shared" si="82"/>
        <v>0</v>
      </c>
      <c r="AX67" s="321"/>
      <c r="AY67" s="322">
        <f t="shared" ref="AY67:BG67" si="95">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7" s="322">
        <f t="shared" si="95"/>
        <v>0</v>
      </c>
      <c r="BA67" s="322">
        <f t="shared" si="95"/>
        <v>0</v>
      </c>
      <c r="BB67" s="322">
        <f t="shared" si="95"/>
        <v>0</v>
      </c>
      <c r="BC67" s="322">
        <f t="shared" si="95"/>
        <v>0</v>
      </c>
      <c r="BD67" s="322">
        <f t="shared" si="95"/>
        <v>0</v>
      </c>
      <c r="BE67" s="322">
        <f t="shared" si="95"/>
        <v>0</v>
      </c>
      <c r="BF67" s="322">
        <f t="shared" si="95"/>
        <v>0</v>
      </c>
      <c r="BG67" s="322">
        <f t="shared" si="95"/>
        <v>0</v>
      </c>
      <c r="BH67" s="255"/>
    </row>
    <row r="68" spans="1:60">
      <c r="A68" s="650"/>
      <c r="B68" s="492" t="s">
        <v>155</v>
      </c>
      <c r="C68" s="653" t="s">
        <v>111</v>
      </c>
      <c r="D68" s="746" t="s">
        <v>48</v>
      </c>
      <c r="E68" s="482" t="str">
        <f>$T$10</f>
        <v>kookgas</v>
      </c>
      <c r="F68" s="359"/>
      <c r="G68" s="359"/>
      <c r="H68" s="358" t="s">
        <v>166</v>
      </c>
      <c r="I68" s="321"/>
      <c r="J68" s="323">
        <f t="shared" si="64"/>
        <v>0</v>
      </c>
      <c r="K68" s="142"/>
      <c r="L68" s="142"/>
      <c r="M68" s="323">
        <f t="shared" si="65"/>
        <v>0</v>
      </c>
      <c r="N68" s="321"/>
      <c r="O68" s="322">
        <f t="shared" ref="O68:W68" si="96">IF(OR(O$19="",O$31=0,O$47=elektriciteit,AND(O$21&lt;&gt;woning,O$21&lt;&gt;woongebouw)),0,koken_gas/O$31)</f>
        <v>0</v>
      </c>
      <c r="P68" s="322">
        <f t="shared" si="96"/>
        <v>0</v>
      </c>
      <c r="Q68" s="322">
        <f t="shared" si="96"/>
        <v>0</v>
      </c>
      <c r="R68" s="322">
        <f t="shared" si="96"/>
        <v>0</v>
      </c>
      <c r="S68" s="322">
        <f t="shared" si="96"/>
        <v>0</v>
      </c>
      <c r="T68" s="322">
        <f t="shared" si="96"/>
        <v>0</v>
      </c>
      <c r="U68" s="322">
        <f t="shared" si="96"/>
        <v>0</v>
      </c>
      <c r="V68" s="322">
        <f t="shared" si="96"/>
        <v>0</v>
      </c>
      <c r="W68" s="322">
        <f t="shared" si="96"/>
        <v>0</v>
      </c>
      <c r="X68" s="142"/>
      <c r="Y68" s="323">
        <f t="shared" si="78"/>
        <v>0</v>
      </c>
      <c r="Z68" s="321"/>
      <c r="AA68" s="322">
        <f t="shared" ref="AA68:AI68" si="97">IF(OR(AA$19="",AA$31=0,AA$47=elektriciteit,AND(AA$21&lt;&gt;woning,AA$21&lt;&gt;woongebouw)),0,koken_gas/AA$31)</f>
        <v>0</v>
      </c>
      <c r="AB68" s="322">
        <f t="shared" si="97"/>
        <v>0</v>
      </c>
      <c r="AC68" s="322">
        <f t="shared" si="97"/>
        <v>0</v>
      </c>
      <c r="AD68" s="322">
        <f t="shared" si="97"/>
        <v>0</v>
      </c>
      <c r="AE68" s="322">
        <f t="shared" si="97"/>
        <v>0</v>
      </c>
      <c r="AF68" s="322">
        <f t="shared" si="97"/>
        <v>0</v>
      </c>
      <c r="AG68" s="322">
        <f t="shared" si="97"/>
        <v>0</v>
      </c>
      <c r="AH68" s="322">
        <f t="shared" si="97"/>
        <v>0</v>
      </c>
      <c r="AI68" s="322">
        <f t="shared" si="97"/>
        <v>0</v>
      </c>
      <c r="AJ68" s="142"/>
      <c r="AK68" s="323">
        <f t="shared" si="80"/>
        <v>0</v>
      </c>
      <c r="AL68" s="321"/>
      <c r="AM68" s="322">
        <f t="shared" ref="AM68:AU68" si="98">IF(OR(AM$19="",AM$31=0,AM$47=elektriciteit,AND(AM$21&lt;&gt;woning,AM$21&lt;&gt;woongebouw)),0,koken_gas/AM$31)</f>
        <v>0</v>
      </c>
      <c r="AN68" s="322">
        <f t="shared" si="98"/>
        <v>0</v>
      </c>
      <c r="AO68" s="322">
        <f t="shared" si="98"/>
        <v>0</v>
      </c>
      <c r="AP68" s="322">
        <f t="shared" si="98"/>
        <v>0</v>
      </c>
      <c r="AQ68" s="322">
        <f t="shared" si="98"/>
        <v>0</v>
      </c>
      <c r="AR68" s="322">
        <f t="shared" si="98"/>
        <v>0</v>
      </c>
      <c r="AS68" s="322">
        <f t="shared" si="98"/>
        <v>0</v>
      </c>
      <c r="AT68" s="322">
        <f t="shared" si="98"/>
        <v>0</v>
      </c>
      <c r="AU68" s="322">
        <f t="shared" si="98"/>
        <v>0</v>
      </c>
      <c r="AV68" s="142"/>
      <c r="AW68" s="323">
        <f t="shared" si="82"/>
        <v>0</v>
      </c>
      <c r="AX68" s="321"/>
      <c r="AY68" s="322">
        <f t="shared" ref="AY68:BG68" si="99">IF(OR(AY$19="",AY$31=0,AY$47=elektriciteit,AND(AY$21&lt;&gt;woning,AY$21&lt;&gt;woongebouw)),0,koken_gas/AY$31)</f>
        <v>0</v>
      </c>
      <c r="AZ68" s="322">
        <f t="shared" si="99"/>
        <v>0</v>
      </c>
      <c r="BA68" s="322">
        <f t="shared" si="99"/>
        <v>0</v>
      </c>
      <c r="BB68" s="322">
        <f t="shared" si="99"/>
        <v>0</v>
      </c>
      <c r="BC68" s="322">
        <f t="shared" si="99"/>
        <v>0</v>
      </c>
      <c r="BD68" s="322">
        <f t="shared" si="99"/>
        <v>0</v>
      </c>
      <c r="BE68" s="322">
        <f t="shared" si="99"/>
        <v>0</v>
      </c>
      <c r="BF68" s="322">
        <f t="shared" si="99"/>
        <v>0</v>
      </c>
      <c r="BG68" s="322">
        <f t="shared" si="99"/>
        <v>0</v>
      </c>
      <c r="BH68" s="255"/>
    </row>
    <row r="69" spans="1:60">
      <c r="A69" s="650"/>
      <c r="B69" s="492" t="s">
        <v>155</v>
      </c>
      <c r="C69" s="653" t="s">
        <v>111</v>
      </c>
      <c r="D69" s="746" t="s">
        <v>48</v>
      </c>
      <c r="E69" s="358" t="str">
        <f>$U$10</f>
        <v>overig elektra</v>
      </c>
      <c r="F69" s="359"/>
      <c r="G69" s="359"/>
      <c r="H69" s="358" t="s">
        <v>166</v>
      </c>
      <c r="I69" s="321"/>
      <c r="J69" s="323">
        <f t="shared" si="64"/>
        <v>0</v>
      </c>
      <c r="K69" s="142"/>
      <c r="L69" s="142"/>
      <c r="M69" s="323">
        <f t="shared" si="65"/>
        <v>0</v>
      </c>
      <c r="N69" s="321"/>
      <c r="O69" s="322">
        <f t="shared" ref="O69:W69" si="100">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0"/>
        <v>0</v>
      </c>
      <c r="Q69" s="322">
        <f t="shared" si="100"/>
        <v>0</v>
      </c>
      <c r="R69" s="322">
        <f t="shared" si="100"/>
        <v>0</v>
      </c>
      <c r="S69" s="322">
        <f t="shared" si="100"/>
        <v>0</v>
      </c>
      <c r="T69" s="322">
        <f t="shared" si="100"/>
        <v>0</v>
      </c>
      <c r="U69" s="322">
        <f t="shared" si="100"/>
        <v>0</v>
      </c>
      <c r="V69" s="322">
        <f t="shared" si="100"/>
        <v>0</v>
      </c>
      <c r="W69" s="322">
        <f t="shared" si="100"/>
        <v>0</v>
      </c>
      <c r="X69" s="142"/>
      <c r="Y69" s="323">
        <f t="shared" si="78"/>
        <v>0</v>
      </c>
      <c r="Z69" s="321"/>
      <c r="AA69" s="322">
        <f t="shared" ref="AA69:AI69" si="101">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1"/>
        <v>0</v>
      </c>
      <c r="AC69" s="322">
        <f t="shared" si="101"/>
        <v>0</v>
      </c>
      <c r="AD69" s="322">
        <f t="shared" si="101"/>
        <v>0</v>
      </c>
      <c r="AE69" s="322">
        <f t="shared" si="101"/>
        <v>0</v>
      </c>
      <c r="AF69" s="322">
        <f t="shared" si="101"/>
        <v>0</v>
      </c>
      <c r="AG69" s="322">
        <f t="shared" si="101"/>
        <v>0</v>
      </c>
      <c r="AH69" s="322">
        <f t="shared" si="101"/>
        <v>0</v>
      </c>
      <c r="AI69" s="322">
        <f t="shared" si="101"/>
        <v>0</v>
      </c>
      <c r="AJ69" s="142"/>
      <c r="AK69" s="323">
        <f t="shared" si="80"/>
        <v>0</v>
      </c>
      <c r="AL69" s="321"/>
      <c r="AM69" s="322">
        <f t="shared" ref="AM69:AU69" si="102">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2"/>
        <v>0</v>
      </c>
      <c r="AO69" s="322">
        <f t="shared" si="102"/>
        <v>0</v>
      </c>
      <c r="AP69" s="322">
        <f t="shared" si="102"/>
        <v>0</v>
      </c>
      <c r="AQ69" s="322">
        <f t="shared" si="102"/>
        <v>0</v>
      </c>
      <c r="AR69" s="322">
        <f t="shared" si="102"/>
        <v>0</v>
      </c>
      <c r="AS69" s="322">
        <f t="shared" si="102"/>
        <v>0</v>
      </c>
      <c r="AT69" s="322">
        <f t="shared" si="102"/>
        <v>0</v>
      </c>
      <c r="AU69" s="322">
        <f t="shared" si="102"/>
        <v>0</v>
      </c>
      <c r="AV69" s="142"/>
      <c r="AW69" s="323">
        <f t="shared" si="82"/>
        <v>0</v>
      </c>
      <c r="AX69" s="321"/>
      <c r="AY69" s="322">
        <f t="shared" ref="AY69:BG69" si="103">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03"/>
        <v>0</v>
      </c>
      <c r="BA69" s="322">
        <f t="shared" si="103"/>
        <v>0</v>
      </c>
      <c r="BB69" s="322">
        <f t="shared" si="103"/>
        <v>0</v>
      </c>
      <c r="BC69" s="322">
        <f t="shared" si="103"/>
        <v>0</v>
      </c>
      <c r="BD69" s="322">
        <f t="shared" si="103"/>
        <v>0</v>
      </c>
      <c r="BE69" s="322">
        <f t="shared" si="103"/>
        <v>0</v>
      </c>
      <c r="BF69" s="322">
        <f t="shared" si="103"/>
        <v>0</v>
      </c>
      <c r="BG69" s="322">
        <f t="shared" si="103"/>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04">O$10</f>
        <v>verwarming</v>
      </c>
      <c r="P76" s="217" t="str">
        <f t="shared" si="104"/>
        <v>koeling</v>
      </c>
      <c r="Q76" s="217" t="str">
        <f t="shared" si="104"/>
        <v>tapwater</v>
      </c>
      <c r="R76" s="217" t="str">
        <f t="shared" si="104"/>
        <v>verlichting</v>
      </c>
      <c r="S76" s="217" t="str">
        <f t="shared" si="104"/>
        <v>ventilatoren</v>
      </c>
      <c r="T76" s="217" t="str">
        <f t="shared" si="104"/>
        <v>kookgas</v>
      </c>
      <c r="U76" s="217" t="str">
        <f t="shared" si="104"/>
        <v>overig elektra</v>
      </c>
      <c r="V76" s="217" t="str">
        <f t="shared" si="104"/>
        <v>mobiliteit</v>
      </c>
      <c r="W76" s="217" t="str">
        <f t="shared" si="104"/>
        <v>zonnepanelen</v>
      </c>
      <c r="X76" s="214"/>
      <c r="Y76" s="216" t="str">
        <f>Y$10&amp;" MWh"</f>
        <v>totaal MWh</v>
      </c>
      <c r="Z76" s="222"/>
      <c r="AA76" s="217" t="str">
        <f t="shared" ref="AA76:AI76" si="105">AA$10</f>
        <v>verwarming</v>
      </c>
      <c r="AB76" s="217" t="str">
        <f t="shared" si="105"/>
        <v>koeling</v>
      </c>
      <c r="AC76" s="217" t="str">
        <f t="shared" si="105"/>
        <v>tapwater</v>
      </c>
      <c r="AD76" s="217" t="str">
        <f t="shared" si="105"/>
        <v>verlichting</v>
      </c>
      <c r="AE76" s="217" t="str">
        <f t="shared" si="105"/>
        <v>ventilatoren</v>
      </c>
      <c r="AF76" s="217" t="str">
        <f t="shared" si="105"/>
        <v>kookgas</v>
      </c>
      <c r="AG76" s="217" t="str">
        <f t="shared" si="105"/>
        <v>overig elektra</v>
      </c>
      <c r="AH76" s="217" t="str">
        <f t="shared" si="105"/>
        <v>mobiliteit</v>
      </c>
      <c r="AI76" s="217" t="str">
        <f t="shared" si="105"/>
        <v>zonnepanelen</v>
      </c>
      <c r="AJ76" s="214"/>
      <c r="AK76" s="216" t="str">
        <f>AK$10&amp;" MWh"</f>
        <v>totaal MWh</v>
      </c>
      <c r="AL76" s="222"/>
      <c r="AM76" s="217" t="str">
        <f>AM$10</f>
        <v>verwarming</v>
      </c>
      <c r="AN76" s="217" t="str">
        <f t="shared" ref="AN76:AU76" si="106">AN$10</f>
        <v>koeling</v>
      </c>
      <c r="AO76" s="217" t="str">
        <f t="shared" si="106"/>
        <v>tapwater</v>
      </c>
      <c r="AP76" s="217" t="str">
        <f t="shared" si="106"/>
        <v>verlichting</v>
      </c>
      <c r="AQ76" s="217" t="str">
        <f t="shared" si="106"/>
        <v>ventilatoren</v>
      </c>
      <c r="AR76" s="217" t="str">
        <f t="shared" si="106"/>
        <v>kookgas</v>
      </c>
      <c r="AS76" s="217" t="str">
        <f t="shared" si="106"/>
        <v>overig elektra</v>
      </c>
      <c r="AT76" s="217" t="str">
        <f t="shared" si="106"/>
        <v>mobiliteit</v>
      </c>
      <c r="AU76" s="217" t="str">
        <f t="shared" si="106"/>
        <v>zonnepanelen</v>
      </c>
      <c r="AV76" s="214"/>
      <c r="AW76" s="216" t="str">
        <f>AW$10&amp;" MWh"</f>
        <v>totaal MWh</v>
      </c>
      <c r="AX76" s="222"/>
      <c r="AY76" s="217" t="str">
        <f>AY$10</f>
        <v>verwarming</v>
      </c>
      <c r="AZ76" s="217" t="str">
        <f t="shared" ref="AZ76:BG76" si="107">AZ$10</f>
        <v>koeling</v>
      </c>
      <c r="BA76" s="217" t="str">
        <f t="shared" si="107"/>
        <v>tapwater</v>
      </c>
      <c r="BB76" s="217" t="str">
        <f t="shared" si="107"/>
        <v>verlichting</v>
      </c>
      <c r="BC76" s="217" t="str">
        <f t="shared" si="107"/>
        <v>ventilatoren</v>
      </c>
      <c r="BD76" s="217" t="str">
        <f t="shared" si="107"/>
        <v>kookgas</v>
      </c>
      <c r="BE76" s="217" t="str">
        <f t="shared" si="107"/>
        <v>overig elektra</v>
      </c>
      <c r="BF76" s="217" t="str">
        <f t="shared" si="107"/>
        <v>mobiliteit</v>
      </c>
      <c r="BG76" s="217" t="str">
        <f t="shared" si="107"/>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08">O$10</f>
        <v>verwarming</v>
      </c>
      <c r="P152" s="217" t="str">
        <f t="shared" si="108"/>
        <v>koeling</v>
      </c>
      <c r="Q152" s="217" t="str">
        <f t="shared" si="108"/>
        <v>tapwater</v>
      </c>
      <c r="R152" s="217" t="str">
        <f t="shared" si="108"/>
        <v>verlichting</v>
      </c>
      <c r="S152" s="217" t="str">
        <f t="shared" si="108"/>
        <v>ventilatoren</v>
      </c>
      <c r="T152" s="217" t="str">
        <f t="shared" si="108"/>
        <v>kookgas</v>
      </c>
      <c r="U152" s="217" t="str">
        <f t="shared" si="108"/>
        <v>overig elektra</v>
      </c>
      <c r="V152" s="217" t="str">
        <f t="shared" si="108"/>
        <v>mobiliteit</v>
      </c>
      <c r="W152" s="217"/>
      <c r="X152" s="214"/>
      <c r="Y152" s="216" t="s">
        <v>234</v>
      </c>
      <c r="Z152" s="222"/>
      <c r="AA152" s="217" t="str">
        <f t="shared" ref="AA152:AH152" si="109">AA$10</f>
        <v>verwarming</v>
      </c>
      <c r="AB152" s="217" t="str">
        <f t="shared" si="109"/>
        <v>koeling</v>
      </c>
      <c r="AC152" s="217" t="str">
        <f t="shared" si="109"/>
        <v>tapwater</v>
      </c>
      <c r="AD152" s="217" t="str">
        <f t="shared" si="109"/>
        <v>verlichting</v>
      </c>
      <c r="AE152" s="217" t="str">
        <f t="shared" si="109"/>
        <v>ventilatoren</v>
      </c>
      <c r="AF152" s="217" t="str">
        <f t="shared" si="109"/>
        <v>kookgas</v>
      </c>
      <c r="AG152" s="217" t="str">
        <f t="shared" si="109"/>
        <v>overig elektra</v>
      </c>
      <c r="AH152" s="217" t="str">
        <f t="shared" si="109"/>
        <v>mobiliteit</v>
      </c>
      <c r="AI152" s="217"/>
      <c r="AJ152" s="214"/>
      <c r="AK152" s="216" t="s">
        <v>234</v>
      </c>
      <c r="AL152" s="222"/>
      <c r="AM152" s="217" t="str">
        <f>AM$10</f>
        <v>verwarming</v>
      </c>
      <c r="AN152" s="217" t="str">
        <f t="shared" ref="AN152:AT152" si="110">AN$10</f>
        <v>koeling</v>
      </c>
      <c r="AO152" s="217" t="str">
        <f t="shared" si="110"/>
        <v>tapwater</v>
      </c>
      <c r="AP152" s="217" t="str">
        <f t="shared" si="110"/>
        <v>verlichting</v>
      </c>
      <c r="AQ152" s="217" t="str">
        <f t="shared" si="110"/>
        <v>ventilatoren</v>
      </c>
      <c r="AR152" s="217" t="str">
        <f t="shared" si="110"/>
        <v>kookgas</v>
      </c>
      <c r="AS152" s="217" t="str">
        <f t="shared" si="110"/>
        <v>overig elektra</v>
      </c>
      <c r="AT152" s="217" t="str">
        <f t="shared" si="110"/>
        <v>mobiliteit</v>
      </c>
      <c r="AU152" s="217"/>
      <c r="AV152" s="214"/>
      <c r="AW152" s="216" t="s">
        <v>234</v>
      </c>
      <c r="AX152" s="222"/>
      <c r="AY152" s="217" t="str">
        <f>AY$10</f>
        <v>verwarming</v>
      </c>
      <c r="AZ152" s="217" t="str">
        <f t="shared" ref="AZ152:BF152" si="111">AZ$10</f>
        <v>koeling</v>
      </c>
      <c r="BA152" s="217" t="str">
        <f t="shared" si="111"/>
        <v>tapwater</v>
      </c>
      <c r="BB152" s="217" t="str">
        <f t="shared" si="111"/>
        <v>verlichting</v>
      </c>
      <c r="BC152" s="217" t="str">
        <f t="shared" si="111"/>
        <v>ventilatoren</v>
      </c>
      <c r="BD152" s="217" t="str">
        <f t="shared" si="111"/>
        <v>kookgas</v>
      </c>
      <c r="BE152" s="217" t="str">
        <f t="shared" si="111"/>
        <v>overig elektra</v>
      </c>
      <c r="BF152" s="217" t="str">
        <f t="shared" si="111"/>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2">SUM(O$156:O$159)*O$161</f>
        <v>0</v>
      </c>
      <c r="P162" s="207">
        <f t="shared" si="112"/>
        <v>0</v>
      </c>
      <c r="Q162" s="207">
        <f t="shared" si="112"/>
        <v>0</v>
      </c>
      <c r="R162" s="207">
        <f t="shared" si="112"/>
        <v>0</v>
      </c>
      <c r="S162" s="207">
        <f t="shared" si="112"/>
        <v>0</v>
      </c>
      <c r="T162" s="207">
        <f t="shared" si="112"/>
        <v>0</v>
      </c>
      <c r="U162" s="207">
        <f>SUM(U$156:U$159)*U$161</f>
        <v>0</v>
      </c>
      <c r="V162" s="207">
        <f t="shared" si="112"/>
        <v>0</v>
      </c>
      <c r="W162" s="335"/>
      <c r="X162" s="128"/>
      <c r="Y162" s="243">
        <f>SUM(AA162:AJ162)</f>
        <v>0</v>
      </c>
      <c r="Z162" s="100"/>
      <c r="AA162" s="207">
        <f t="shared" ref="AA162:AH162" si="113">SUM(AA$156:AA$159)*AA$161</f>
        <v>0</v>
      </c>
      <c r="AB162" s="207">
        <f t="shared" si="113"/>
        <v>0</v>
      </c>
      <c r="AC162" s="207">
        <f t="shared" si="113"/>
        <v>0</v>
      </c>
      <c r="AD162" s="207">
        <f t="shared" si="113"/>
        <v>0</v>
      </c>
      <c r="AE162" s="207">
        <f t="shared" si="113"/>
        <v>0</v>
      </c>
      <c r="AF162" s="207">
        <f t="shared" si="113"/>
        <v>0</v>
      </c>
      <c r="AG162" s="207">
        <f t="shared" si="113"/>
        <v>0</v>
      </c>
      <c r="AH162" s="207">
        <f t="shared" si="113"/>
        <v>0</v>
      </c>
      <c r="AI162" s="335"/>
      <c r="AJ162" s="128"/>
      <c r="AK162" s="243">
        <f>SUM(AM162:AV162)</f>
        <v>0</v>
      </c>
      <c r="AL162" s="100"/>
      <c r="AM162" s="207">
        <f>SUM(AM$156:AM$159)*AM$161</f>
        <v>0</v>
      </c>
      <c r="AN162" s="207">
        <f t="shared" ref="AN162:AT162" si="114">SUM(AN$156:AN$159)*AN$161</f>
        <v>0</v>
      </c>
      <c r="AO162" s="207">
        <f t="shared" si="114"/>
        <v>0</v>
      </c>
      <c r="AP162" s="207">
        <f t="shared" si="114"/>
        <v>0</v>
      </c>
      <c r="AQ162" s="207">
        <f t="shared" si="114"/>
        <v>0</v>
      </c>
      <c r="AR162" s="207">
        <f t="shared" si="114"/>
        <v>0</v>
      </c>
      <c r="AS162" s="207">
        <f t="shared" si="114"/>
        <v>0</v>
      </c>
      <c r="AT162" s="207">
        <f t="shared" si="114"/>
        <v>0</v>
      </c>
      <c r="AU162" s="335"/>
      <c r="AV162" s="128"/>
      <c r="AW162" s="243">
        <f>SUM(AY162:BH162)</f>
        <v>0</v>
      </c>
      <c r="AX162" s="100"/>
      <c r="AY162" s="207">
        <f>SUM(AY$156:AY$159)*AY$161</f>
        <v>0</v>
      </c>
      <c r="AZ162" s="207">
        <f t="shared" ref="AZ162:BF162" si="115">SUM(AZ$156:AZ$159)*AZ$161</f>
        <v>0</v>
      </c>
      <c r="BA162" s="207">
        <f t="shared" si="115"/>
        <v>0</v>
      </c>
      <c r="BB162" s="207">
        <f t="shared" si="115"/>
        <v>0</v>
      </c>
      <c r="BC162" s="207">
        <f t="shared" si="115"/>
        <v>0</v>
      </c>
      <c r="BD162" s="207">
        <f t="shared" si="115"/>
        <v>0</v>
      </c>
      <c r="BE162" s="207">
        <f t="shared" si="115"/>
        <v>0</v>
      </c>
      <c r="BF162" s="207">
        <f t="shared" si="115"/>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16">$H$5</f>
        <v>0.34</v>
      </c>
      <c r="Q164" s="273">
        <f t="shared" si="116"/>
        <v>0.34</v>
      </c>
      <c r="R164" s="273">
        <f t="shared" si="116"/>
        <v>0.34</v>
      </c>
      <c r="S164" s="273">
        <f t="shared" si="116"/>
        <v>0.34</v>
      </c>
      <c r="T164" s="273">
        <f t="shared" si="116"/>
        <v>0.34</v>
      </c>
      <c r="U164" s="273">
        <f t="shared" si="116"/>
        <v>0.34</v>
      </c>
      <c r="V164" s="273">
        <f t="shared" si="116"/>
        <v>0.34</v>
      </c>
      <c r="W164" s="421"/>
      <c r="X164" s="422"/>
      <c r="Y164" s="230"/>
      <c r="Z164" s="424"/>
      <c r="AA164" s="273">
        <f>$H$5</f>
        <v>0.34</v>
      </c>
      <c r="AB164" s="273">
        <f t="shared" ref="AB164:AH164" si="117">$H$5</f>
        <v>0.34</v>
      </c>
      <c r="AC164" s="273">
        <f t="shared" si="117"/>
        <v>0.34</v>
      </c>
      <c r="AD164" s="273">
        <f t="shared" si="117"/>
        <v>0.34</v>
      </c>
      <c r="AE164" s="273">
        <f t="shared" si="117"/>
        <v>0.34</v>
      </c>
      <c r="AF164" s="207">
        <f t="shared" si="117"/>
        <v>0.34</v>
      </c>
      <c r="AG164" s="273">
        <f t="shared" si="117"/>
        <v>0.34</v>
      </c>
      <c r="AH164" s="273">
        <f t="shared" si="117"/>
        <v>0.34</v>
      </c>
      <c r="AI164" s="421"/>
      <c r="AJ164" s="422"/>
      <c r="AK164" s="230"/>
      <c r="AL164" s="424"/>
      <c r="AM164" s="273">
        <f>$H$5</f>
        <v>0.34</v>
      </c>
      <c r="AN164" s="273">
        <f t="shared" ref="AN164:AT164" si="118">$H$5</f>
        <v>0.34</v>
      </c>
      <c r="AO164" s="273">
        <f t="shared" si="118"/>
        <v>0.34</v>
      </c>
      <c r="AP164" s="273">
        <f t="shared" si="118"/>
        <v>0.34</v>
      </c>
      <c r="AQ164" s="273">
        <f t="shared" si="118"/>
        <v>0.34</v>
      </c>
      <c r="AR164" s="207">
        <f t="shared" si="118"/>
        <v>0.34</v>
      </c>
      <c r="AS164" s="273">
        <f t="shared" si="118"/>
        <v>0.34</v>
      </c>
      <c r="AT164" s="273">
        <f t="shared" si="118"/>
        <v>0.34</v>
      </c>
      <c r="AU164" s="421"/>
      <c r="AV164" s="422"/>
      <c r="AW164" s="230"/>
      <c r="AX164" s="424"/>
      <c r="AY164" s="273">
        <f>$H$5</f>
        <v>0.34</v>
      </c>
      <c r="AZ164" s="273">
        <f t="shared" ref="AZ164:BF164" si="119">$H$5</f>
        <v>0.34</v>
      </c>
      <c r="BA164" s="273">
        <f t="shared" si="119"/>
        <v>0.34</v>
      </c>
      <c r="BB164" s="273">
        <f t="shared" si="119"/>
        <v>0.34</v>
      </c>
      <c r="BC164" s="273">
        <f t="shared" si="119"/>
        <v>0.34</v>
      </c>
      <c r="BD164" s="207">
        <f t="shared" si="119"/>
        <v>0.34</v>
      </c>
      <c r="BE164" s="273">
        <f t="shared" si="119"/>
        <v>0.34</v>
      </c>
      <c r="BF164" s="273">
        <f t="shared" si="119"/>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0">SUM(O$156:O$159)*O$164</f>
        <v>0</v>
      </c>
      <c r="P165" s="207">
        <f t="shared" si="120"/>
        <v>0</v>
      </c>
      <c r="Q165" s="207">
        <f t="shared" si="120"/>
        <v>0</v>
      </c>
      <c r="R165" s="207">
        <f t="shared" si="120"/>
        <v>0</v>
      </c>
      <c r="S165" s="207">
        <f t="shared" si="120"/>
        <v>0</v>
      </c>
      <c r="T165" s="207">
        <f t="shared" si="120"/>
        <v>0</v>
      </c>
      <c r="U165" s="207">
        <f t="shared" si="120"/>
        <v>0</v>
      </c>
      <c r="V165" s="207">
        <f t="shared" si="120"/>
        <v>0</v>
      </c>
      <c r="W165" s="335"/>
      <c r="X165" s="128"/>
      <c r="Y165" s="243">
        <f>SUM(AA165:AJ165)</f>
        <v>0</v>
      </c>
      <c r="Z165" s="100"/>
      <c r="AA165" s="207">
        <f t="shared" ref="AA165:AH165" si="121">SUM(AA$156:AA$159)*AA$164</f>
        <v>0</v>
      </c>
      <c r="AB165" s="207">
        <f t="shared" si="121"/>
        <v>0</v>
      </c>
      <c r="AC165" s="207">
        <f t="shared" si="121"/>
        <v>0</v>
      </c>
      <c r="AD165" s="207">
        <f t="shared" si="121"/>
        <v>0</v>
      </c>
      <c r="AE165" s="207">
        <f t="shared" si="121"/>
        <v>0</v>
      </c>
      <c r="AF165" s="207">
        <f t="shared" si="121"/>
        <v>0</v>
      </c>
      <c r="AG165" s="207">
        <f t="shared" si="121"/>
        <v>0</v>
      </c>
      <c r="AH165" s="207">
        <f t="shared" si="121"/>
        <v>0</v>
      </c>
      <c r="AI165" s="335"/>
      <c r="AJ165" s="128"/>
      <c r="AK165" s="243">
        <f>SUM(AM165:AV165)</f>
        <v>0</v>
      </c>
      <c r="AL165" s="100"/>
      <c r="AM165" s="207">
        <f>SUM(AM$156:AM$159)*AM$164</f>
        <v>0</v>
      </c>
      <c r="AN165" s="207">
        <f t="shared" ref="AN165:AT165" si="122">SUM(AN$156:AN$159)*AN$164</f>
        <v>0</v>
      </c>
      <c r="AO165" s="207">
        <f t="shared" si="122"/>
        <v>0</v>
      </c>
      <c r="AP165" s="207">
        <f t="shared" si="122"/>
        <v>0</v>
      </c>
      <c r="AQ165" s="207">
        <f t="shared" si="122"/>
        <v>0</v>
      </c>
      <c r="AR165" s="207">
        <f t="shared" si="122"/>
        <v>0</v>
      </c>
      <c r="AS165" s="207">
        <f t="shared" si="122"/>
        <v>0</v>
      </c>
      <c r="AT165" s="207">
        <f t="shared" si="122"/>
        <v>0</v>
      </c>
      <c r="AU165" s="335"/>
      <c r="AV165" s="128"/>
      <c r="AW165" s="243">
        <f>SUM(AY165:BH165)</f>
        <v>0</v>
      </c>
      <c r="AX165" s="100"/>
      <c r="AY165" s="207">
        <f>SUM(AY$156:AY$159)*AY$164</f>
        <v>0</v>
      </c>
      <c r="AZ165" s="207">
        <f t="shared" ref="AZ165:BF165" si="123">SUM(AZ$156:AZ$159)*AZ$164</f>
        <v>0</v>
      </c>
      <c r="BA165" s="207">
        <f t="shared" si="123"/>
        <v>0</v>
      </c>
      <c r="BB165" s="207">
        <f t="shared" si="123"/>
        <v>0</v>
      </c>
      <c r="BC165" s="207">
        <f t="shared" si="123"/>
        <v>0</v>
      </c>
      <c r="BD165" s="207">
        <f t="shared" si="123"/>
        <v>0</v>
      </c>
      <c r="BE165" s="207">
        <f t="shared" si="123"/>
        <v>0</v>
      </c>
      <c r="BF165" s="207">
        <f t="shared" si="123"/>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24">O$10</f>
        <v>verwarming</v>
      </c>
      <c r="P168" s="217" t="str">
        <f t="shared" si="124"/>
        <v>koeling</v>
      </c>
      <c r="Q168" s="217" t="str">
        <f t="shared" si="124"/>
        <v>tapwater</v>
      </c>
      <c r="R168" s="217" t="str">
        <f t="shared" si="124"/>
        <v>verlichting</v>
      </c>
      <c r="S168" s="217" t="str">
        <f t="shared" si="124"/>
        <v>ventilatoren</v>
      </c>
      <c r="T168" s="217" t="str">
        <f t="shared" si="124"/>
        <v>kookgas</v>
      </c>
      <c r="U168" s="217" t="str">
        <f t="shared" si="124"/>
        <v>overig elektra</v>
      </c>
      <c r="V168" s="217" t="str">
        <f t="shared" si="124"/>
        <v>mobiliteit</v>
      </c>
      <c r="W168" s="217" t="str">
        <f t="shared" si="124"/>
        <v>zonnepanelen</v>
      </c>
      <c r="X168" s="214"/>
      <c r="Y168" s="216" t="s">
        <v>251</v>
      </c>
      <c r="Z168" s="222"/>
      <c r="AA168" s="217" t="str">
        <f t="shared" ref="AA168:AI168" si="125">AA$10</f>
        <v>verwarming</v>
      </c>
      <c r="AB168" s="217" t="str">
        <f t="shared" si="125"/>
        <v>koeling</v>
      </c>
      <c r="AC168" s="217" t="str">
        <f t="shared" si="125"/>
        <v>tapwater</v>
      </c>
      <c r="AD168" s="217" t="str">
        <f t="shared" si="125"/>
        <v>verlichting</v>
      </c>
      <c r="AE168" s="217" t="str">
        <f t="shared" si="125"/>
        <v>ventilatoren</v>
      </c>
      <c r="AF168" s="217" t="str">
        <f t="shared" si="125"/>
        <v>kookgas</v>
      </c>
      <c r="AG168" s="217" t="str">
        <f t="shared" si="125"/>
        <v>overig elektra</v>
      </c>
      <c r="AH168" s="217" t="str">
        <f t="shared" si="125"/>
        <v>mobiliteit</v>
      </c>
      <c r="AI168" s="217" t="str">
        <f t="shared" si="125"/>
        <v>zonnepanelen</v>
      </c>
      <c r="AJ168" s="214"/>
      <c r="AK168" s="216" t="s">
        <v>251</v>
      </c>
      <c r="AL168" s="222"/>
      <c r="AM168" s="217" t="str">
        <f>AM$10</f>
        <v>verwarming</v>
      </c>
      <c r="AN168" s="217" t="str">
        <f>AN$10</f>
        <v>koeling</v>
      </c>
      <c r="AO168" s="217" t="str">
        <f>AO$10</f>
        <v>tapwater</v>
      </c>
      <c r="AP168" s="217" t="str">
        <f t="shared" ref="AP168:AU168" si="126">AP$10</f>
        <v>verlichting</v>
      </c>
      <c r="AQ168" s="217" t="str">
        <f t="shared" si="126"/>
        <v>ventilatoren</v>
      </c>
      <c r="AR168" s="217" t="str">
        <f t="shared" si="126"/>
        <v>kookgas</v>
      </c>
      <c r="AS168" s="217" t="str">
        <f t="shared" si="126"/>
        <v>overig elektra</v>
      </c>
      <c r="AT168" s="217" t="str">
        <f t="shared" si="126"/>
        <v>mobiliteit</v>
      </c>
      <c r="AU168" s="217" t="str">
        <f t="shared" si="126"/>
        <v>zonnepanelen</v>
      </c>
      <c r="AV168" s="214"/>
      <c r="AW168" s="216" t="s">
        <v>252</v>
      </c>
      <c r="AX168" s="222"/>
      <c r="AY168" s="217" t="str">
        <f>AY$10</f>
        <v>verwarming</v>
      </c>
      <c r="AZ168" s="217" t="str">
        <f>AZ$10</f>
        <v>koeling</v>
      </c>
      <c r="BA168" s="217" t="str">
        <f>BA$10</f>
        <v>tapwater</v>
      </c>
      <c r="BB168" s="217" t="str">
        <f t="shared" ref="BB168:BG168" si="127">BB$10</f>
        <v>verlichting</v>
      </c>
      <c r="BC168" s="217" t="str">
        <f t="shared" si="127"/>
        <v>ventilatoren</v>
      </c>
      <c r="BD168" s="217" t="str">
        <f t="shared" si="127"/>
        <v>kookgas</v>
      </c>
      <c r="BE168" s="217" t="str">
        <f t="shared" si="127"/>
        <v>overig elektra</v>
      </c>
      <c r="BF168" s="217" t="str">
        <f t="shared" si="127"/>
        <v>mobiliteit</v>
      </c>
      <c r="BG168" s="217" t="str">
        <f t="shared" si="127"/>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28">O170+O171</f>
        <v>0</v>
      </c>
      <c r="P172" s="207">
        <f t="shared" si="128"/>
        <v>0</v>
      </c>
      <c r="Q172" s="207">
        <f t="shared" si="128"/>
        <v>0</v>
      </c>
      <c r="R172" s="207"/>
      <c r="S172" s="207"/>
      <c r="T172" s="207"/>
      <c r="U172" s="207"/>
      <c r="V172" s="207"/>
      <c r="W172" s="207">
        <f t="shared" si="128"/>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29">O$10</f>
        <v>verwarming</v>
      </c>
      <c r="P187" s="217" t="str">
        <f t="shared" si="129"/>
        <v>koeling</v>
      </c>
      <c r="Q187" s="217" t="str">
        <f t="shared" si="129"/>
        <v>tapwater</v>
      </c>
      <c r="R187" s="217" t="str">
        <f t="shared" si="129"/>
        <v>verlichting</v>
      </c>
      <c r="S187" s="217" t="str">
        <f t="shared" si="129"/>
        <v>ventilatoren</v>
      </c>
      <c r="T187" s="217" t="str">
        <f t="shared" si="129"/>
        <v>kookgas</v>
      </c>
      <c r="U187" s="217" t="str">
        <f t="shared" si="129"/>
        <v>overig elektra</v>
      </c>
      <c r="V187" s="217" t="str">
        <f t="shared" si="129"/>
        <v>mobiliteit</v>
      </c>
      <c r="W187" s="217" t="str">
        <f t="shared" si="129"/>
        <v>zonnepanelen</v>
      </c>
      <c r="X187" s="214"/>
      <c r="Y187" s="216" t="str">
        <f>Y$10</f>
        <v>totaal</v>
      </c>
      <c r="Z187" s="222"/>
      <c r="AA187" s="217" t="str">
        <f t="shared" ref="AA187:AI187" si="130">AA$10</f>
        <v>verwarming</v>
      </c>
      <c r="AB187" s="217" t="str">
        <f t="shared" si="130"/>
        <v>koeling</v>
      </c>
      <c r="AC187" s="217" t="str">
        <f t="shared" si="130"/>
        <v>tapwater</v>
      </c>
      <c r="AD187" s="217" t="str">
        <f t="shared" si="130"/>
        <v>verlichting</v>
      </c>
      <c r="AE187" s="217" t="str">
        <f t="shared" si="130"/>
        <v>ventilatoren</v>
      </c>
      <c r="AF187" s="217" t="str">
        <f t="shared" si="130"/>
        <v>kookgas</v>
      </c>
      <c r="AG187" s="217" t="str">
        <f t="shared" si="130"/>
        <v>overig elektra</v>
      </c>
      <c r="AH187" s="217" t="str">
        <f t="shared" si="130"/>
        <v>mobiliteit</v>
      </c>
      <c r="AI187" s="217" t="str">
        <f t="shared" si="130"/>
        <v>zonnepanelen</v>
      </c>
      <c r="AJ187" s="214"/>
      <c r="AK187" s="216" t="str">
        <f>AK$10</f>
        <v>totaal</v>
      </c>
      <c r="AL187" s="222"/>
      <c r="AM187" s="217" t="str">
        <f>AM$10</f>
        <v>verwarming</v>
      </c>
      <c r="AN187" s="217" t="str">
        <f t="shared" ref="AN187:AU187" si="131">AN$10</f>
        <v>koeling</v>
      </c>
      <c r="AO187" s="217" t="str">
        <f t="shared" si="131"/>
        <v>tapwater</v>
      </c>
      <c r="AP187" s="217" t="str">
        <f t="shared" si="131"/>
        <v>verlichting</v>
      </c>
      <c r="AQ187" s="217" t="str">
        <f t="shared" si="131"/>
        <v>ventilatoren</v>
      </c>
      <c r="AR187" s="217" t="str">
        <f t="shared" si="131"/>
        <v>kookgas</v>
      </c>
      <c r="AS187" s="217" t="str">
        <f t="shared" si="131"/>
        <v>overig elektra</v>
      </c>
      <c r="AT187" s="217" t="str">
        <f t="shared" si="131"/>
        <v>mobiliteit</v>
      </c>
      <c r="AU187" s="217" t="str">
        <f t="shared" si="131"/>
        <v>zonnepanelen</v>
      </c>
      <c r="AV187" s="214"/>
      <c r="AW187" s="216" t="str">
        <f>AW$10</f>
        <v>totaal</v>
      </c>
      <c r="AX187" s="222"/>
      <c r="AY187" s="217" t="str">
        <f t="shared" ref="AY187:BG187" si="132">AY$10</f>
        <v>verwarming</v>
      </c>
      <c r="AZ187" s="217" t="str">
        <f t="shared" si="132"/>
        <v>koeling</v>
      </c>
      <c r="BA187" s="217" t="str">
        <f t="shared" si="132"/>
        <v>tapwater</v>
      </c>
      <c r="BB187" s="217" t="str">
        <f t="shared" si="132"/>
        <v>verlichting</v>
      </c>
      <c r="BC187" s="217" t="str">
        <f t="shared" si="132"/>
        <v>ventilatoren</v>
      </c>
      <c r="BD187" s="217" t="str">
        <f t="shared" si="132"/>
        <v>kookgas</v>
      </c>
      <c r="BE187" s="217" t="str">
        <f t="shared" si="132"/>
        <v>overig elektra</v>
      </c>
      <c r="BF187" s="217" t="str">
        <f t="shared" si="132"/>
        <v>mobiliteit</v>
      </c>
      <c r="BG187" s="217" t="str">
        <f t="shared" si="132"/>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33">IF(OR(O$33="",O$33=0),0,O$29*O189/O$33)</f>
        <v>0</v>
      </c>
      <c r="P193" s="207">
        <f t="shared" si="133"/>
        <v>0</v>
      </c>
      <c r="Q193" s="207">
        <f t="shared" si="133"/>
        <v>0</v>
      </c>
      <c r="R193" s="335"/>
      <c r="S193" s="335"/>
      <c r="T193" s="207">
        <f>IF(OR(T$33="",T$33=0),0,T$29*T189/T$33)</f>
        <v>0</v>
      </c>
      <c r="U193" s="335"/>
      <c r="V193" s="335"/>
      <c r="W193" s="335"/>
      <c r="X193" s="128"/>
      <c r="Y193" s="243">
        <f>IF(Y$31=0,0,Y189*Y$24/Y$31)</f>
        <v>0</v>
      </c>
      <c r="Z193" s="100"/>
      <c r="AA193" s="207">
        <f t="shared" ref="AA193:AC195" si="134">IF(OR(AA$33="",AA$33=0),0,AA$29*AA189/AA$33)</f>
        <v>0</v>
      </c>
      <c r="AB193" s="207">
        <f t="shared" si="134"/>
        <v>0</v>
      </c>
      <c r="AC193" s="207">
        <f t="shared" si="134"/>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35">IF(OR(AN$33="",AN$33=0),0,AN$29*AN189/AN$33)</f>
        <v>0</v>
      </c>
      <c r="AO193" s="207">
        <f t="shared" si="135"/>
        <v>0</v>
      </c>
      <c r="AP193" s="335"/>
      <c r="AQ193" s="335"/>
      <c r="AR193" s="207">
        <f>IF(OR(AR$33="",AR$33=0),0,AR$29*AR189/AR$33)</f>
        <v>0</v>
      </c>
      <c r="AS193" s="335"/>
      <c r="AT193" s="335"/>
      <c r="AU193" s="335"/>
      <c r="AV193" s="128"/>
      <c r="AW193" s="243">
        <f>IF(AW$31=0,0,AW189*AW$24/AW$31)</f>
        <v>0</v>
      </c>
      <c r="AX193" s="100"/>
      <c r="AY193" s="207">
        <f t="shared" ref="AY193:BA195" si="136">IF(OR(AY$33="",AY$33=0),0,AY$29*AY189/AY$33)</f>
        <v>0</v>
      </c>
      <c r="AZ193" s="207">
        <f t="shared" si="136"/>
        <v>0</v>
      </c>
      <c r="BA193" s="207">
        <f t="shared" si="136"/>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33"/>
        <v>0</v>
      </c>
      <c r="P194" s="207">
        <f t="shared" si="133"/>
        <v>0</v>
      </c>
      <c r="Q194" s="207">
        <f t="shared" si="133"/>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34"/>
        <v>0</v>
      </c>
      <c r="AB194" s="207">
        <f t="shared" si="134"/>
        <v>0</v>
      </c>
      <c r="AC194" s="207">
        <f t="shared" si="134"/>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35"/>
        <v>0</v>
      </c>
      <c r="AO194" s="207">
        <f t="shared" si="135"/>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36"/>
        <v>0</v>
      </c>
      <c r="AZ194" s="207">
        <f t="shared" si="136"/>
        <v>0</v>
      </c>
      <c r="BA194" s="207">
        <f t="shared" si="136"/>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33"/>
        <v>0</v>
      </c>
      <c r="P195" s="207">
        <f t="shared" si="133"/>
        <v>0</v>
      </c>
      <c r="Q195" s="207">
        <f t="shared" si="133"/>
        <v>0</v>
      </c>
      <c r="R195" s="335"/>
      <c r="S195" s="335"/>
      <c r="T195" s="335"/>
      <c r="U195" s="335"/>
      <c r="V195" s="335"/>
      <c r="W195" s="335"/>
      <c r="X195" s="128"/>
      <c r="Y195" s="243">
        <f>IF(Y$31=0,0,Y191*Y$24/Y$31)</f>
        <v>0</v>
      </c>
      <c r="Z195" s="100"/>
      <c r="AA195" s="207">
        <f t="shared" si="134"/>
        <v>0</v>
      </c>
      <c r="AB195" s="207">
        <f t="shared" si="134"/>
        <v>0</v>
      </c>
      <c r="AC195" s="207">
        <f t="shared" si="134"/>
        <v>0</v>
      </c>
      <c r="AD195" s="335"/>
      <c r="AE195" s="335"/>
      <c r="AF195" s="335"/>
      <c r="AG195" s="335"/>
      <c r="AH195" s="335"/>
      <c r="AI195" s="335"/>
      <c r="AJ195" s="128"/>
      <c r="AK195" s="243">
        <f>IF(AK$31=0,0,AK191*AK$24/AK$31)</f>
        <v>0</v>
      </c>
      <c r="AL195" s="100"/>
      <c r="AM195" s="207">
        <f>IF(OR(AM$33="",AM$33=0),0,AM$29*AM191/AM$33)</f>
        <v>0</v>
      </c>
      <c r="AN195" s="207">
        <f t="shared" si="135"/>
        <v>0</v>
      </c>
      <c r="AO195" s="207">
        <f t="shared" si="135"/>
        <v>0</v>
      </c>
      <c r="AP195" s="335"/>
      <c r="AQ195" s="335"/>
      <c r="AR195" s="335"/>
      <c r="AS195" s="335"/>
      <c r="AT195" s="335"/>
      <c r="AU195" s="335"/>
      <c r="AV195" s="128"/>
      <c r="AW195" s="243">
        <f>IF(AW$31=0,0,AW191*AW$24/AW$31)</f>
        <v>0</v>
      </c>
      <c r="AX195" s="100"/>
      <c r="AY195" s="207">
        <f t="shared" si="136"/>
        <v>0</v>
      </c>
      <c r="AZ195" s="207">
        <f t="shared" si="136"/>
        <v>0</v>
      </c>
      <c r="BA195" s="207">
        <f t="shared" si="136"/>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37">O$10</f>
        <v>verwarming</v>
      </c>
      <c r="P198" s="217" t="str">
        <f t="shared" si="137"/>
        <v>koeling</v>
      </c>
      <c r="Q198" s="217" t="str">
        <f t="shared" si="137"/>
        <v>tapwater</v>
      </c>
      <c r="R198" s="217" t="str">
        <f t="shared" si="137"/>
        <v>verlichting</v>
      </c>
      <c r="S198" s="217" t="str">
        <f t="shared" si="137"/>
        <v>ventilatoren</v>
      </c>
      <c r="T198" s="217" t="str">
        <f t="shared" si="137"/>
        <v>kookgas</v>
      </c>
      <c r="U198" s="217" t="str">
        <f t="shared" si="137"/>
        <v>overig elektra</v>
      </c>
      <c r="V198" s="217" t="str">
        <f t="shared" si="137"/>
        <v>mobiliteit</v>
      </c>
      <c r="W198" s="217" t="str">
        <f t="shared" si="137"/>
        <v>zonnepanelen</v>
      </c>
      <c r="X198" s="214"/>
      <c r="Y198" s="216" t="str">
        <f>Y$10</f>
        <v>totaal</v>
      </c>
      <c r="Z198" s="222"/>
      <c r="AA198" s="217" t="str">
        <f t="shared" ref="AA198:AI198" si="138">AA$10</f>
        <v>verwarming</v>
      </c>
      <c r="AB198" s="217" t="str">
        <f t="shared" si="138"/>
        <v>koeling</v>
      </c>
      <c r="AC198" s="217" t="str">
        <f t="shared" si="138"/>
        <v>tapwater</v>
      </c>
      <c r="AD198" s="217" t="str">
        <f t="shared" si="138"/>
        <v>verlichting</v>
      </c>
      <c r="AE198" s="217" t="str">
        <f t="shared" si="138"/>
        <v>ventilatoren</v>
      </c>
      <c r="AF198" s="217" t="str">
        <f t="shared" si="138"/>
        <v>kookgas</v>
      </c>
      <c r="AG198" s="217" t="str">
        <f t="shared" si="138"/>
        <v>overig elektra</v>
      </c>
      <c r="AH198" s="217" t="str">
        <f t="shared" si="138"/>
        <v>mobiliteit</v>
      </c>
      <c r="AI198" s="217" t="str">
        <f t="shared" si="138"/>
        <v>zonnepanelen</v>
      </c>
      <c r="AJ198" s="214"/>
      <c r="AK198" s="216" t="str">
        <f>AK$10</f>
        <v>totaal</v>
      </c>
      <c r="AL198" s="222"/>
      <c r="AM198" s="217" t="str">
        <f>AM$10</f>
        <v>verwarming</v>
      </c>
      <c r="AN198" s="217" t="str">
        <f t="shared" ref="AN198:AU198" si="139">AN$10</f>
        <v>koeling</v>
      </c>
      <c r="AO198" s="217" t="str">
        <f t="shared" si="139"/>
        <v>tapwater</v>
      </c>
      <c r="AP198" s="217" t="str">
        <f t="shared" si="139"/>
        <v>verlichting</v>
      </c>
      <c r="AQ198" s="217" t="str">
        <f t="shared" si="139"/>
        <v>ventilatoren</v>
      </c>
      <c r="AR198" s="217" t="str">
        <f t="shared" si="139"/>
        <v>kookgas</v>
      </c>
      <c r="AS198" s="217" t="str">
        <f t="shared" si="139"/>
        <v>overig elektra</v>
      </c>
      <c r="AT198" s="217" t="str">
        <f t="shared" si="139"/>
        <v>mobiliteit</v>
      </c>
      <c r="AU198" s="217" t="str">
        <f t="shared" si="139"/>
        <v>zonnepanelen</v>
      </c>
      <c r="AV198" s="214"/>
      <c r="AW198" s="216" t="str">
        <f>AW$10</f>
        <v>totaal</v>
      </c>
      <c r="AX198" s="222"/>
      <c r="AY198" s="217" t="str">
        <f t="shared" ref="AY198:BG198" si="140">AY$10</f>
        <v>verwarming</v>
      </c>
      <c r="AZ198" s="217" t="str">
        <f t="shared" si="140"/>
        <v>koeling</v>
      </c>
      <c r="BA198" s="217" t="str">
        <f t="shared" si="140"/>
        <v>tapwater</v>
      </c>
      <c r="BB198" s="217" t="str">
        <f t="shared" si="140"/>
        <v>verlichting</v>
      </c>
      <c r="BC198" s="217" t="str">
        <f t="shared" si="140"/>
        <v>ventilatoren</v>
      </c>
      <c r="BD198" s="217" t="str">
        <f t="shared" si="140"/>
        <v>kookgas</v>
      </c>
      <c r="BE198" s="217" t="str">
        <f t="shared" si="140"/>
        <v>overig elektra</v>
      </c>
      <c r="BF198" s="217" t="str">
        <f t="shared" si="140"/>
        <v>mobiliteit</v>
      </c>
      <c r="BG198" s="217" t="str">
        <f t="shared" si="140"/>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1">elektriciteit</f>
        <v>elektriciteit</v>
      </c>
      <c r="P204" s="435" t="str">
        <f t="shared" si="141"/>
        <v>elektriciteit</v>
      </c>
      <c r="Q204" s="435" t="str">
        <f t="shared" si="141"/>
        <v>elektriciteit</v>
      </c>
      <c r="R204" s="435" t="str">
        <f t="shared" si="141"/>
        <v>elektriciteit</v>
      </c>
      <c r="S204" s="435" t="str">
        <f t="shared" si="141"/>
        <v>elektriciteit</v>
      </c>
      <c r="T204" s="435" t="str">
        <f>aardgas</f>
        <v>aardgas</v>
      </c>
      <c r="U204" s="435" t="str">
        <f t="shared" si="141"/>
        <v>elektriciteit</v>
      </c>
      <c r="V204" s="435" t="str">
        <f t="shared" si="141"/>
        <v>elektriciteit</v>
      </c>
      <c r="W204" s="435" t="str">
        <f t="shared" si="141"/>
        <v>elektriciteit</v>
      </c>
      <c r="X204" s="133"/>
      <c r="Y204" s="432"/>
      <c r="Z204" s="434"/>
      <c r="AA204" s="435" t="str">
        <f t="shared" ref="AA204:AI204" si="142">elektriciteit</f>
        <v>elektriciteit</v>
      </c>
      <c r="AB204" s="435" t="str">
        <f t="shared" si="142"/>
        <v>elektriciteit</v>
      </c>
      <c r="AC204" s="435" t="str">
        <f t="shared" si="142"/>
        <v>elektriciteit</v>
      </c>
      <c r="AD204" s="435" t="str">
        <f t="shared" si="142"/>
        <v>elektriciteit</v>
      </c>
      <c r="AE204" s="435" t="str">
        <f t="shared" si="142"/>
        <v>elektriciteit</v>
      </c>
      <c r="AF204" s="435" t="str">
        <f>aardgas</f>
        <v>aardgas</v>
      </c>
      <c r="AG204" s="435" t="str">
        <f t="shared" si="142"/>
        <v>elektriciteit</v>
      </c>
      <c r="AH204" s="435" t="str">
        <f t="shared" si="142"/>
        <v>elektriciteit</v>
      </c>
      <c r="AI204" s="435" t="str">
        <f t="shared" si="142"/>
        <v>elektriciteit</v>
      </c>
      <c r="AJ204" s="133"/>
      <c r="AK204" s="432"/>
      <c r="AL204" s="434"/>
      <c r="AM204" s="435" t="str">
        <f t="shared" ref="AM204:AU204" si="143">elektriciteit</f>
        <v>elektriciteit</v>
      </c>
      <c r="AN204" s="435" t="str">
        <f t="shared" si="143"/>
        <v>elektriciteit</v>
      </c>
      <c r="AO204" s="435" t="str">
        <f t="shared" si="143"/>
        <v>elektriciteit</v>
      </c>
      <c r="AP204" s="435" t="str">
        <f t="shared" si="143"/>
        <v>elektriciteit</v>
      </c>
      <c r="AQ204" s="435" t="str">
        <f t="shared" si="143"/>
        <v>elektriciteit</v>
      </c>
      <c r="AR204" s="435" t="str">
        <f>aardgas</f>
        <v>aardgas</v>
      </c>
      <c r="AS204" s="435" t="str">
        <f t="shared" si="143"/>
        <v>elektriciteit</v>
      </c>
      <c r="AT204" s="435" t="str">
        <f t="shared" si="143"/>
        <v>elektriciteit</v>
      </c>
      <c r="AU204" s="435" t="str">
        <f t="shared" si="143"/>
        <v>elektriciteit</v>
      </c>
      <c r="AV204" s="133"/>
      <c r="AW204" s="432"/>
      <c r="AX204" s="434"/>
      <c r="AY204" s="435" t="str">
        <f t="shared" ref="AY204:BG204" si="144">elektriciteit</f>
        <v>elektriciteit</v>
      </c>
      <c r="AZ204" s="435" t="str">
        <f t="shared" si="144"/>
        <v>elektriciteit</v>
      </c>
      <c r="BA204" s="435" t="str">
        <f t="shared" si="144"/>
        <v>elektriciteit</v>
      </c>
      <c r="BB204" s="435" t="str">
        <f t="shared" si="144"/>
        <v>elektriciteit</v>
      </c>
      <c r="BC204" s="435" t="str">
        <f t="shared" si="144"/>
        <v>elektriciteit</v>
      </c>
      <c r="BD204" s="435" t="str">
        <f>aardgas</f>
        <v>aardgas</v>
      </c>
      <c r="BE204" s="435" t="str">
        <f t="shared" si="144"/>
        <v>elektriciteit</v>
      </c>
      <c r="BF204" s="435" t="str">
        <f t="shared" si="144"/>
        <v>elektriciteit</v>
      </c>
      <c r="BG204" s="435" t="str">
        <f t="shared" si="144"/>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45">P205+IF(P201="",0,P201)+IF(P203="",0,P203)</f>
        <v>0</v>
      </c>
      <c r="Q207" s="180">
        <f t="shared" si="145"/>
        <v>0</v>
      </c>
      <c r="R207" s="180">
        <f t="shared" si="145"/>
        <v>0</v>
      </c>
      <c r="S207" s="180">
        <f t="shared" si="145"/>
        <v>0</v>
      </c>
      <c r="T207" s="180">
        <f t="shared" si="145"/>
        <v>0</v>
      </c>
      <c r="U207" s="180">
        <f t="shared" si="145"/>
        <v>0</v>
      </c>
      <c r="V207" s="180">
        <f t="shared" si="145"/>
        <v>0</v>
      </c>
      <c r="W207" s="180">
        <f t="shared" si="145"/>
        <v>0</v>
      </c>
      <c r="X207" s="284"/>
      <c r="Y207" s="282">
        <f>SUM(Z207:AJ207)</f>
        <v>0</v>
      </c>
      <c r="Z207" s="99"/>
      <c r="AA207" s="180">
        <f>AA201+AA203+AA205</f>
        <v>0</v>
      </c>
      <c r="AB207" s="180">
        <f t="shared" ref="AB207:AI207" si="146">AB205+IF(AB201="",0,AB201)+IF(AB203="",0,AB203)</f>
        <v>0</v>
      </c>
      <c r="AC207" s="180">
        <f t="shared" si="146"/>
        <v>0</v>
      </c>
      <c r="AD207" s="180">
        <f t="shared" si="146"/>
        <v>0</v>
      </c>
      <c r="AE207" s="180">
        <f t="shared" si="146"/>
        <v>0</v>
      </c>
      <c r="AF207" s="180">
        <f t="shared" si="146"/>
        <v>0</v>
      </c>
      <c r="AG207" s="180">
        <f t="shared" si="146"/>
        <v>0</v>
      </c>
      <c r="AH207" s="180">
        <f t="shared" si="146"/>
        <v>0</v>
      </c>
      <c r="AI207" s="180">
        <f t="shared" si="146"/>
        <v>0</v>
      </c>
      <c r="AJ207" s="284"/>
      <c r="AK207" s="282">
        <f>SUM(AL207:AV207)</f>
        <v>0</v>
      </c>
      <c r="AL207" s="99"/>
      <c r="AM207" s="180">
        <f>AM201+AM203+AM205</f>
        <v>0</v>
      </c>
      <c r="AN207" s="180">
        <f t="shared" ref="AN207:AU207" si="147">AN205+IF(AN201="",0,AN201)+IF(AN203="",0,AN203)</f>
        <v>0</v>
      </c>
      <c r="AO207" s="180">
        <f t="shared" si="147"/>
        <v>0</v>
      </c>
      <c r="AP207" s="180">
        <f t="shared" si="147"/>
        <v>0</v>
      </c>
      <c r="AQ207" s="180">
        <f t="shared" si="147"/>
        <v>0</v>
      </c>
      <c r="AR207" s="180">
        <f t="shared" si="147"/>
        <v>0</v>
      </c>
      <c r="AS207" s="180">
        <f t="shared" si="147"/>
        <v>0</v>
      </c>
      <c r="AT207" s="180">
        <f t="shared" si="147"/>
        <v>0</v>
      </c>
      <c r="AU207" s="180">
        <f t="shared" si="147"/>
        <v>0</v>
      </c>
      <c r="AV207" s="284"/>
      <c r="AW207" s="282">
        <f>SUM(AX207:BH207)</f>
        <v>0</v>
      </c>
      <c r="AX207" s="99"/>
      <c r="AY207" s="180">
        <f>AY201+AY203+AY205</f>
        <v>0</v>
      </c>
      <c r="AZ207" s="180">
        <f t="shared" ref="AZ207:BG207" si="148">AZ205+IF(AZ201="",0,AZ201)+IF(AZ203="",0,AZ203)</f>
        <v>0</v>
      </c>
      <c r="BA207" s="180">
        <f t="shared" si="148"/>
        <v>0</v>
      </c>
      <c r="BB207" s="180">
        <f t="shared" si="148"/>
        <v>0</v>
      </c>
      <c r="BC207" s="180">
        <f t="shared" si="148"/>
        <v>0</v>
      </c>
      <c r="BD207" s="180">
        <f t="shared" si="148"/>
        <v>0</v>
      </c>
      <c r="BE207" s="180">
        <f t="shared" si="148"/>
        <v>0</v>
      </c>
      <c r="BF207" s="180">
        <f t="shared" si="148"/>
        <v>0</v>
      </c>
      <c r="BG207" s="180">
        <f t="shared" si="148"/>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49">M212+Y212+AK212+AW212</f>
        <v>0</v>
      </c>
      <c r="K212" s="236"/>
      <c r="L212" s="236"/>
      <c r="M212" s="243">
        <f t="shared" ref="M212:M218" si="150">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1">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128"/>
      <c r="AK212" s="243">
        <f t="shared" ref="AK212:AK218" si="152">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53">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49"/>
        <v>0</v>
      </c>
      <c r="K213" s="236"/>
      <c r="L213" s="236"/>
      <c r="M213" s="243">
        <f t="shared" si="150"/>
        <v>0</v>
      </c>
      <c r="N213" s="129"/>
      <c r="O213" s="335"/>
      <c r="P213" s="207">
        <f>IF(OR(P$110=0,P$111&lt;=8),0,P$110*f_P_rencold*INDEX(bibliotheek!$E$170:$AC$170,MATCH(P$83,toestellen_KOEL_kopregel,0)))</f>
        <v>0</v>
      </c>
      <c r="Q213" s="335"/>
      <c r="R213" s="335"/>
      <c r="S213" s="335"/>
      <c r="T213" s="335"/>
      <c r="U213" s="335"/>
      <c r="V213" s="335"/>
      <c r="W213" s="335"/>
      <c r="X213" s="128"/>
      <c r="Y213" s="243">
        <f t="shared" si="151"/>
        <v>0</v>
      </c>
      <c r="Z213" s="129"/>
      <c r="AA213" s="335"/>
      <c r="AB213" s="207">
        <f>IF(OR(AB$110=0,AB$111&lt;=8),0,AB$110*f_P_rencold*INDEX(bibliotheek!$E$170:$AC$170,MATCH(AB$83,toestellen_KOEL_kopregel,0)))</f>
        <v>0</v>
      </c>
      <c r="AC213" s="335"/>
      <c r="AD213" s="335"/>
      <c r="AE213" s="335"/>
      <c r="AF213" s="335"/>
      <c r="AG213" s="335"/>
      <c r="AH213" s="335"/>
      <c r="AI213" s="335"/>
      <c r="AJ213" s="128"/>
      <c r="AK213" s="243">
        <f t="shared" si="152"/>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53"/>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49"/>
        <v>0</v>
      </c>
      <c r="K214" s="236"/>
      <c r="L214" s="236"/>
      <c r="M214" s="243">
        <f t="shared" si="150"/>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1"/>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128"/>
      <c r="AK214" s="243">
        <f t="shared" si="152"/>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53"/>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49"/>
        <v>0</v>
      </c>
      <c r="K215" s="236"/>
      <c r="L215" s="236"/>
      <c r="M215" s="243">
        <f t="shared" si="150"/>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1"/>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128"/>
      <c r="AK215" s="243">
        <f t="shared" si="152"/>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53"/>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49"/>
        <v>0</v>
      </c>
      <c r="K216" s="236"/>
      <c r="L216" s="236"/>
      <c r="M216" s="243">
        <f t="shared" si="150"/>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1"/>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128"/>
      <c r="AK216" s="243">
        <f t="shared" si="152"/>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53"/>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49"/>
        <v>0</v>
      </c>
      <c r="K217" s="236"/>
      <c r="L217" s="236"/>
      <c r="M217" s="243">
        <f t="shared" si="150"/>
        <v>0</v>
      </c>
      <c r="N217" s="129"/>
      <c r="O217" s="207">
        <f>O$91*f_P_renheat</f>
        <v>0</v>
      </c>
      <c r="P217" s="335"/>
      <c r="Q217" s="207">
        <f>Q$91*f_P_renheat</f>
        <v>0</v>
      </c>
      <c r="R217" s="335"/>
      <c r="S217" s="335"/>
      <c r="T217" s="335"/>
      <c r="U217" s="335"/>
      <c r="V217" s="335"/>
      <c r="W217" s="335"/>
      <c r="X217" s="122"/>
      <c r="Y217" s="243">
        <f t="shared" si="151"/>
        <v>0</v>
      </c>
      <c r="Z217" s="129"/>
      <c r="AA217" s="207">
        <f>AA$91*f_P_renheat</f>
        <v>0</v>
      </c>
      <c r="AB217" s="335"/>
      <c r="AC217" s="207">
        <f>AC$91*f_P_renheat</f>
        <v>0</v>
      </c>
      <c r="AD217" s="335"/>
      <c r="AE217" s="335"/>
      <c r="AF217" s="335"/>
      <c r="AG217" s="335"/>
      <c r="AH217" s="335"/>
      <c r="AI217" s="335"/>
      <c r="AJ217" s="122"/>
      <c r="AK217" s="243">
        <f t="shared" si="152"/>
        <v>0</v>
      </c>
      <c r="AL217" s="232"/>
      <c r="AM217" s="207">
        <f>AM$91*f_P_renheat</f>
        <v>0</v>
      </c>
      <c r="AN217" s="335"/>
      <c r="AO217" s="207">
        <f>AO$91*f_P_renheat</f>
        <v>0</v>
      </c>
      <c r="AP217" s="335"/>
      <c r="AQ217" s="335"/>
      <c r="AR217" s="335"/>
      <c r="AS217" s="335"/>
      <c r="AT217" s="335"/>
      <c r="AU217" s="335"/>
      <c r="AV217" s="232"/>
      <c r="AW217" s="243">
        <f t="shared" si="153"/>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49"/>
        <v>0</v>
      </c>
      <c r="K218" s="236"/>
      <c r="L218" s="236"/>
      <c r="M218" s="243">
        <f t="shared" si="150"/>
        <v>0</v>
      </c>
      <c r="N218" s="129"/>
      <c r="O218" s="335"/>
      <c r="P218" s="335"/>
      <c r="Q218" s="335"/>
      <c r="R218" s="335"/>
      <c r="S218" s="335"/>
      <c r="T218" s="335"/>
      <c r="U218" s="335"/>
      <c r="V218" s="335"/>
      <c r="W218" s="207">
        <f>M73*f_P_renelect</f>
        <v>0</v>
      </c>
      <c r="X218" s="128"/>
      <c r="Y218" s="243">
        <f t="shared" si="151"/>
        <v>0</v>
      </c>
      <c r="Z218" s="129"/>
      <c r="AA218" s="335"/>
      <c r="AB218" s="335"/>
      <c r="AC218" s="335"/>
      <c r="AD218" s="335"/>
      <c r="AE218" s="335"/>
      <c r="AF218" s="335"/>
      <c r="AG218" s="335"/>
      <c r="AH218" s="335"/>
      <c r="AI218" s="207">
        <f>Y73*f_P_renelect</f>
        <v>0</v>
      </c>
      <c r="AJ218" s="128"/>
      <c r="AK218" s="243">
        <f t="shared" si="152"/>
        <v>0</v>
      </c>
      <c r="AL218" s="232"/>
      <c r="AM218" s="335"/>
      <c r="AN218" s="335"/>
      <c r="AO218" s="335"/>
      <c r="AP218" s="335"/>
      <c r="AQ218" s="335"/>
      <c r="AR218" s="335"/>
      <c r="AS218" s="335"/>
      <c r="AT218" s="335"/>
      <c r="AU218" s="207">
        <f>AK73*f_P_renelect</f>
        <v>0</v>
      </c>
      <c r="AV218" s="232"/>
      <c r="AW218" s="243">
        <f t="shared" si="153"/>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54">SUM(O212:O218)</f>
        <v>0</v>
      </c>
      <c r="P219" s="207">
        <f t="shared" si="154"/>
        <v>0</v>
      </c>
      <c r="Q219" s="207">
        <f t="shared" si="154"/>
        <v>0</v>
      </c>
      <c r="R219" s="335"/>
      <c r="S219" s="335"/>
      <c r="T219" s="335"/>
      <c r="U219" s="335"/>
      <c r="V219" s="335"/>
      <c r="W219" s="207">
        <f t="shared" si="154"/>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128"/>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232"/>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55">O$10</f>
        <v>verwarming</v>
      </c>
      <c r="P222" s="217" t="str">
        <f t="shared" si="155"/>
        <v>koeling</v>
      </c>
      <c r="Q222" s="217" t="str">
        <f t="shared" si="155"/>
        <v>tapwater</v>
      </c>
      <c r="R222" s="217" t="str">
        <f t="shared" si="155"/>
        <v>verlichting</v>
      </c>
      <c r="S222" s="217" t="str">
        <f t="shared" si="155"/>
        <v>ventilatoren</v>
      </c>
      <c r="T222" s="217" t="str">
        <f t="shared" si="155"/>
        <v>kookgas</v>
      </c>
      <c r="U222" s="217" t="str">
        <f t="shared" si="155"/>
        <v>overig elektra</v>
      </c>
      <c r="V222" s="217" t="str">
        <f t="shared" si="155"/>
        <v>mobiliteit</v>
      </c>
      <c r="W222" s="217" t="str">
        <f t="shared" si="155"/>
        <v>zonnepanelen</v>
      </c>
      <c r="X222" s="214"/>
      <c r="Y222" s="216" t="str">
        <f>Y$10</f>
        <v>totaal</v>
      </c>
      <c r="Z222" s="222"/>
      <c r="AA222" s="217" t="str">
        <f t="shared" ref="AA222:AI222" si="156">AA$10</f>
        <v>verwarming</v>
      </c>
      <c r="AB222" s="217" t="str">
        <f t="shared" si="156"/>
        <v>koeling</v>
      </c>
      <c r="AC222" s="217" t="str">
        <f t="shared" si="156"/>
        <v>tapwater</v>
      </c>
      <c r="AD222" s="217" t="str">
        <f t="shared" si="156"/>
        <v>verlichting</v>
      </c>
      <c r="AE222" s="217" t="str">
        <f t="shared" si="156"/>
        <v>ventilatoren</v>
      </c>
      <c r="AF222" s="217" t="str">
        <f t="shared" si="156"/>
        <v>kookgas</v>
      </c>
      <c r="AG222" s="217" t="str">
        <f t="shared" si="156"/>
        <v>overig elektra</v>
      </c>
      <c r="AH222" s="217" t="str">
        <f t="shared" si="156"/>
        <v>mobiliteit</v>
      </c>
      <c r="AI222" s="217" t="str">
        <f t="shared" si="156"/>
        <v>zonnepanelen</v>
      </c>
      <c r="AJ222" s="214"/>
      <c r="AK222" s="216" t="str">
        <f>AK$10</f>
        <v>totaal</v>
      </c>
      <c r="AL222" s="222"/>
      <c r="AM222" s="217" t="str">
        <f t="shared" ref="AM222:AU222" si="157">AM$10</f>
        <v>verwarming</v>
      </c>
      <c r="AN222" s="217" t="str">
        <f t="shared" si="157"/>
        <v>koeling</v>
      </c>
      <c r="AO222" s="217" t="str">
        <f t="shared" si="157"/>
        <v>tapwater</v>
      </c>
      <c r="AP222" s="217" t="str">
        <f t="shared" si="157"/>
        <v>verlichting</v>
      </c>
      <c r="AQ222" s="217" t="str">
        <f t="shared" si="157"/>
        <v>ventilatoren</v>
      </c>
      <c r="AR222" s="217" t="str">
        <f t="shared" si="157"/>
        <v>kookgas</v>
      </c>
      <c r="AS222" s="217" t="str">
        <f t="shared" si="157"/>
        <v>overig elektra</v>
      </c>
      <c r="AT222" s="217" t="str">
        <f t="shared" si="157"/>
        <v>mobiliteit</v>
      </c>
      <c r="AU222" s="217" t="str">
        <f t="shared" si="157"/>
        <v>zonnepanelen</v>
      </c>
      <c r="AV222" s="214"/>
      <c r="AW222" s="216" t="str">
        <f>AW$10</f>
        <v>totaal</v>
      </c>
      <c r="AX222" s="222"/>
      <c r="AY222" s="217" t="str">
        <f t="shared" ref="AY222:BG222" si="158">AY$10</f>
        <v>verwarming</v>
      </c>
      <c r="AZ222" s="217" t="str">
        <f t="shared" si="158"/>
        <v>koeling</v>
      </c>
      <c r="BA222" s="217" t="str">
        <f t="shared" si="158"/>
        <v>tapwater</v>
      </c>
      <c r="BB222" s="217" t="str">
        <f t="shared" si="158"/>
        <v>verlichting</v>
      </c>
      <c r="BC222" s="217" t="str">
        <f t="shared" si="158"/>
        <v>ventilatoren</v>
      </c>
      <c r="BD222" s="217" t="str">
        <f t="shared" si="158"/>
        <v>kookgas</v>
      </c>
      <c r="BE222" s="217" t="str">
        <f t="shared" si="158"/>
        <v>overig elektra</v>
      </c>
      <c r="BF222" s="217" t="str">
        <f t="shared" si="158"/>
        <v>mobiliteit</v>
      </c>
      <c r="BG222" s="217" t="str">
        <f t="shared" si="158"/>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59">O$17</f>
        <v/>
      </c>
      <c r="P228" s="320" t="str">
        <f t="shared" si="159"/>
        <v/>
      </c>
      <c r="Q228" s="320" t="str">
        <f t="shared" si="159"/>
        <v/>
      </c>
      <c r="R228" s="320" t="str">
        <f t="shared" si="159"/>
        <v/>
      </c>
      <c r="S228" s="320" t="str">
        <f t="shared" si="159"/>
        <v/>
      </c>
      <c r="T228" s="320" t="str">
        <f t="shared" si="159"/>
        <v/>
      </c>
      <c r="U228" s="320" t="str">
        <f t="shared" si="159"/>
        <v/>
      </c>
      <c r="V228" s="320" t="str">
        <f t="shared" si="159"/>
        <v/>
      </c>
      <c r="W228" s="320" t="str">
        <f t="shared" si="159"/>
        <v/>
      </c>
      <c r="X228" s="214"/>
      <c r="Y228" s="318"/>
      <c r="Z228" s="222"/>
      <c r="AA228" s="320" t="str">
        <f t="shared" ref="AA228:AI228" si="160">AA$17</f>
        <v/>
      </c>
      <c r="AB228" s="320" t="str">
        <f t="shared" si="160"/>
        <v/>
      </c>
      <c r="AC228" s="320" t="str">
        <f t="shared" si="160"/>
        <v/>
      </c>
      <c r="AD228" s="320" t="str">
        <f t="shared" si="160"/>
        <v/>
      </c>
      <c r="AE228" s="320" t="str">
        <f t="shared" si="160"/>
        <v/>
      </c>
      <c r="AF228" s="320" t="str">
        <f t="shared" si="160"/>
        <v/>
      </c>
      <c r="AG228" s="320" t="str">
        <f t="shared" si="160"/>
        <v/>
      </c>
      <c r="AH228" s="320" t="str">
        <f t="shared" si="160"/>
        <v/>
      </c>
      <c r="AI228" s="320" t="str">
        <f t="shared" si="160"/>
        <v/>
      </c>
      <c r="AJ228" s="214"/>
      <c r="AK228" s="318"/>
      <c r="AL228" s="222"/>
      <c r="AM228" s="320" t="str">
        <f>AM$17</f>
        <v/>
      </c>
      <c r="AN228" s="320" t="str">
        <f t="shared" ref="AN228:AU228" si="161">AN$17</f>
        <v/>
      </c>
      <c r="AO228" s="320" t="str">
        <f t="shared" si="161"/>
        <v/>
      </c>
      <c r="AP228" s="320" t="str">
        <f t="shared" si="161"/>
        <v/>
      </c>
      <c r="AQ228" s="320" t="str">
        <f t="shared" si="161"/>
        <v/>
      </c>
      <c r="AR228" s="320" t="str">
        <f t="shared" si="161"/>
        <v/>
      </c>
      <c r="AS228" s="320" t="str">
        <f t="shared" si="161"/>
        <v/>
      </c>
      <c r="AT228" s="320" t="str">
        <f t="shared" si="161"/>
        <v/>
      </c>
      <c r="AU228" s="320" t="str">
        <f t="shared" si="161"/>
        <v/>
      </c>
      <c r="AV228" s="214"/>
      <c r="AW228" s="318"/>
      <c r="AX228" s="222"/>
      <c r="AY228" s="374" t="str">
        <f>AY$17</f>
        <v/>
      </c>
      <c r="AZ228" s="374" t="str">
        <f t="shared" ref="AZ228:BG228" si="162">AZ$17</f>
        <v/>
      </c>
      <c r="BA228" s="374" t="str">
        <f t="shared" si="162"/>
        <v/>
      </c>
      <c r="BB228" s="374" t="str">
        <f t="shared" si="162"/>
        <v/>
      </c>
      <c r="BC228" s="374" t="str">
        <f t="shared" si="162"/>
        <v/>
      </c>
      <c r="BD228" s="374" t="str">
        <f t="shared" si="162"/>
        <v/>
      </c>
      <c r="BE228" s="374" t="str">
        <f t="shared" si="162"/>
        <v/>
      </c>
      <c r="BF228" s="374" t="str">
        <f t="shared" si="162"/>
        <v/>
      </c>
      <c r="BG228" s="374" t="str">
        <f t="shared" si="162"/>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IF(O$19="","",O62)</f>
        <v/>
      </c>
      <c r="P230" s="207" t="str">
        <f t="shared" ref="P230:W230" si="163">IF(P$19="","",P62)</f>
        <v/>
      </c>
      <c r="Q230" s="207" t="str">
        <f t="shared" si="163"/>
        <v/>
      </c>
      <c r="R230" s="207" t="str">
        <f t="shared" si="163"/>
        <v/>
      </c>
      <c r="S230" s="207" t="str">
        <f t="shared" si="163"/>
        <v/>
      </c>
      <c r="T230" s="207" t="str">
        <f t="shared" si="163"/>
        <v/>
      </c>
      <c r="U230" s="207" t="str">
        <f t="shared" si="163"/>
        <v/>
      </c>
      <c r="V230" s="207" t="str">
        <f t="shared" si="163"/>
        <v/>
      </c>
      <c r="W230" s="207" t="str">
        <f t="shared" si="163"/>
        <v/>
      </c>
      <c r="X230" s="128"/>
      <c r="Y230" s="243"/>
      <c r="Z230" s="100"/>
      <c r="AA230" s="207" t="str">
        <f t="shared" ref="AA230:AI230" si="164">IF(AA$19="","",AA62)</f>
        <v/>
      </c>
      <c r="AB230" s="207" t="str">
        <f t="shared" si="164"/>
        <v/>
      </c>
      <c r="AC230" s="207" t="str">
        <f t="shared" si="164"/>
        <v/>
      </c>
      <c r="AD230" s="207" t="str">
        <f t="shared" si="164"/>
        <v/>
      </c>
      <c r="AE230" s="207" t="str">
        <f t="shared" si="164"/>
        <v/>
      </c>
      <c r="AF230" s="207" t="str">
        <f t="shared" si="164"/>
        <v/>
      </c>
      <c r="AG230" s="207" t="str">
        <f t="shared" si="164"/>
        <v/>
      </c>
      <c r="AH230" s="207" t="str">
        <f t="shared" si="164"/>
        <v/>
      </c>
      <c r="AI230" s="207" t="str">
        <f t="shared" si="164"/>
        <v/>
      </c>
      <c r="AJ230" s="128"/>
      <c r="AK230" s="243"/>
      <c r="AL230" s="100"/>
      <c r="AM230" s="207" t="str">
        <f t="shared" ref="AM230:AU230" si="165">IF(AM$19="","",AM62)</f>
        <v/>
      </c>
      <c r="AN230" s="207" t="str">
        <f t="shared" si="165"/>
        <v/>
      </c>
      <c r="AO230" s="207" t="str">
        <f t="shared" si="165"/>
        <v/>
      </c>
      <c r="AP230" s="207" t="str">
        <f t="shared" si="165"/>
        <v/>
      </c>
      <c r="AQ230" s="207" t="str">
        <f t="shared" si="165"/>
        <v/>
      </c>
      <c r="AR230" s="207" t="str">
        <f t="shared" si="165"/>
        <v/>
      </c>
      <c r="AS230" s="207" t="str">
        <f t="shared" si="165"/>
        <v/>
      </c>
      <c r="AT230" s="207" t="str">
        <f t="shared" si="165"/>
        <v/>
      </c>
      <c r="AU230" s="207" t="str">
        <f t="shared" si="165"/>
        <v/>
      </c>
      <c r="AV230" s="128"/>
      <c r="AW230" s="243"/>
      <c r="AX230" s="100"/>
      <c r="AY230" s="207" t="str">
        <f t="shared" ref="AY230:BG230" si="166">IF(AY$19="","",AY62)</f>
        <v/>
      </c>
      <c r="AZ230" s="207" t="str">
        <f t="shared" si="166"/>
        <v/>
      </c>
      <c r="BA230" s="207" t="str">
        <f t="shared" si="166"/>
        <v/>
      </c>
      <c r="BB230" s="207" t="str">
        <f t="shared" si="166"/>
        <v/>
      </c>
      <c r="BC230" s="207" t="str">
        <f t="shared" si="166"/>
        <v/>
      </c>
      <c r="BD230" s="207" t="str">
        <f t="shared" si="166"/>
        <v/>
      </c>
      <c r="BE230" s="207" t="str">
        <f t="shared" si="166"/>
        <v/>
      </c>
      <c r="BF230" s="207" t="str">
        <f t="shared" si="166"/>
        <v/>
      </c>
      <c r="BG230" s="207" t="str">
        <f t="shared" si="166"/>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IF(O$19="","-",O64)</f>
        <v>-</v>
      </c>
      <c r="P232" s="207" t="str">
        <f t="shared" ref="P232:W232" si="167">IF(P$19="","-",P64)</f>
        <v>-</v>
      </c>
      <c r="Q232" s="207" t="str">
        <f t="shared" si="167"/>
        <v>-</v>
      </c>
      <c r="R232" s="207" t="str">
        <f t="shared" si="167"/>
        <v>-</v>
      </c>
      <c r="S232" s="207" t="str">
        <f t="shared" si="167"/>
        <v>-</v>
      </c>
      <c r="T232" s="207" t="str">
        <f t="shared" si="167"/>
        <v>-</v>
      </c>
      <c r="U232" s="207" t="str">
        <f t="shared" si="167"/>
        <v>-</v>
      </c>
      <c r="V232" s="207" t="str">
        <f t="shared" si="167"/>
        <v>-</v>
      </c>
      <c r="W232" s="207" t="str">
        <f t="shared" si="167"/>
        <v>-</v>
      </c>
      <c r="X232" s="128"/>
      <c r="Y232" s="243"/>
      <c r="Z232" s="100"/>
      <c r="AA232" s="207" t="str">
        <f t="shared" ref="AA232:AI232" si="168">IF(AA$19="","-",AA64)</f>
        <v>-</v>
      </c>
      <c r="AB232" s="207" t="str">
        <f t="shared" si="168"/>
        <v>-</v>
      </c>
      <c r="AC232" s="207" t="str">
        <f t="shared" si="168"/>
        <v>-</v>
      </c>
      <c r="AD232" s="207" t="str">
        <f t="shared" si="168"/>
        <v>-</v>
      </c>
      <c r="AE232" s="207" t="str">
        <f t="shared" si="168"/>
        <v>-</v>
      </c>
      <c r="AF232" s="207" t="str">
        <f t="shared" si="168"/>
        <v>-</v>
      </c>
      <c r="AG232" s="207" t="str">
        <f t="shared" si="168"/>
        <v>-</v>
      </c>
      <c r="AH232" s="207" t="str">
        <f t="shared" si="168"/>
        <v>-</v>
      </c>
      <c r="AI232" s="207" t="str">
        <f t="shared" si="168"/>
        <v>-</v>
      </c>
      <c r="AJ232" s="128"/>
      <c r="AK232" s="243"/>
      <c r="AL232" s="100"/>
      <c r="AM232" s="207" t="str">
        <f t="shared" ref="AM232:AU232" si="169">IF(AM$19="","-",AM64)</f>
        <v>-</v>
      </c>
      <c r="AN232" s="207" t="str">
        <f t="shared" si="169"/>
        <v>-</v>
      </c>
      <c r="AO232" s="207" t="str">
        <f t="shared" si="169"/>
        <v>-</v>
      </c>
      <c r="AP232" s="207" t="str">
        <f t="shared" si="169"/>
        <v>-</v>
      </c>
      <c r="AQ232" s="207" t="str">
        <f t="shared" si="169"/>
        <v>-</v>
      </c>
      <c r="AR232" s="207" t="str">
        <f t="shared" si="169"/>
        <v>-</v>
      </c>
      <c r="AS232" s="207" t="str">
        <f t="shared" si="169"/>
        <v>-</v>
      </c>
      <c r="AT232" s="207" t="str">
        <f t="shared" si="169"/>
        <v>-</v>
      </c>
      <c r="AU232" s="207" t="str">
        <f t="shared" si="169"/>
        <v>-</v>
      </c>
      <c r="AV232" s="128"/>
      <c r="AW232" s="243"/>
      <c r="AX232" s="100"/>
      <c r="AY232" s="207" t="str">
        <f t="shared" ref="AY232:BG232" si="170">IF(AY$19="","-",AY64)</f>
        <v>-</v>
      </c>
      <c r="AZ232" s="207" t="str">
        <f t="shared" si="170"/>
        <v>-</v>
      </c>
      <c r="BA232" s="207" t="str">
        <f t="shared" si="170"/>
        <v>-</v>
      </c>
      <c r="BB232" s="207" t="str">
        <f t="shared" si="170"/>
        <v>-</v>
      </c>
      <c r="BC232" s="207" t="str">
        <f t="shared" si="170"/>
        <v>-</v>
      </c>
      <c r="BD232" s="207" t="str">
        <f t="shared" si="170"/>
        <v>-</v>
      </c>
      <c r="BE232" s="207" t="str">
        <f t="shared" si="170"/>
        <v>-</v>
      </c>
      <c r="BF232" s="207" t="str">
        <f t="shared" si="170"/>
        <v>-</v>
      </c>
      <c r="BG232" s="207" t="str">
        <f t="shared" si="170"/>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1">O$17</f>
        <v/>
      </c>
      <c r="P235" s="320" t="str">
        <f t="shared" si="171"/>
        <v/>
      </c>
      <c r="Q235" s="320" t="str">
        <f t="shared" si="171"/>
        <v/>
      </c>
      <c r="R235" s="320" t="str">
        <f t="shared" si="171"/>
        <v/>
      </c>
      <c r="S235" s="320" t="str">
        <f t="shared" si="171"/>
        <v/>
      </c>
      <c r="T235" s="320" t="str">
        <f t="shared" si="171"/>
        <v/>
      </c>
      <c r="U235" s="320" t="str">
        <f t="shared" si="171"/>
        <v/>
      </c>
      <c r="V235" s="320" t="str">
        <f t="shared" si="171"/>
        <v/>
      </c>
      <c r="W235" s="320" t="str">
        <f t="shared" si="171"/>
        <v/>
      </c>
      <c r="X235" s="214"/>
      <c r="Y235" s="318" t="str">
        <f>Y$10</f>
        <v>totaal</v>
      </c>
      <c r="Z235" s="222"/>
      <c r="AA235" s="320" t="str">
        <f t="shared" ref="AA235:AI235" si="172">AA$17</f>
        <v/>
      </c>
      <c r="AB235" s="320" t="str">
        <f t="shared" si="172"/>
        <v/>
      </c>
      <c r="AC235" s="320" t="str">
        <f t="shared" si="172"/>
        <v/>
      </c>
      <c r="AD235" s="320" t="str">
        <f t="shared" si="172"/>
        <v/>
      </c>
      <c r="AE235" s="320" t="str">
        <f t="shared" si="172"/>
        <v/>
      </c>
      <c r="AF235" s="320" t="str">
        <f t="shared" si="172"/>
        <v/>
      </c>
      <c r="AG235" s="320" t="str">
        <f t="shared" si="172"/>
        <v/>
      </c>
      <c r="AH235" s="320" t="str">
        <f t="shared" si="172"/>
        <v/>
      </c>
      <c r="AI235" s="320" t="str">
        <f t="shared" si="172"/>
        <v/>
      </c>
      <c r="AJ235" s="214"/>
      <c r="AK235" s="318" t="str">
        <f>AK$10</f>
        <v>totaal</v>
      </c>
      <c r="AL235" s="222"/>
      <c r="AM235" s="320" t="str">
        <f>AM$17</f>
        <v/>
      </c>
      <c r="AN235" s="320" t="str">
        <f t="shared" ref="AN235:AU235" si="173">AN$17</f>
        <v/>
      </c>
      <c r="AO235" s="320" t="str">
        <f t="shared" si="173"/>
        <v/>
      </c>
      <c r="AP235" s="320" t="str">
        <f t="shared" si="173"/>
        <v/>
      </c>
      <c r="AQ235" s="320" t="str">
        <f t="shared" si="173"/>
        <v/>
      </c>
      <c r="AR235" s="320" t="str">
        <f t="shared" si="173"/>
        <v/>
      </c>
      <c r="AS235" s="320" t="str">
        <f t="shared" si="173"/>
        <v/>
      </c>
      <c r="AT235" s="320" t="str">
        <f t="shared" si="173"/>
        <v/>
      </c>
      <c r="AU235" s="320" t="str">
        <f t="shared" si="173"/>
        <v/>
      </c>
      <c r="AV235" s="214"/>
      <c r="AW235" s="318" t="str">
        <f>AW$10</f>
        <v>totaal</v>
      </c>
      <c r="AX235" s="222"/>
      <c r="AY235" s="320" t="str">
        <f>AY$17</f>
        <v/>
      </c>
      <c r="AZ235" s="320" t="str">
        <f t="shared" ref="AZ235:BG235" si="174">AZ$17</f>
        <v/>
      </c>
      <c r="BA235" s="320" t="str">
        <f t="shared" si="174"/>
        <v/>
      </c>
      <c r="BB235" s="320" t="str">
        <f t="shared" si="174"/>
        <v/>
      </c>
      <c r="BC235" s="320" t="str">
        <f t="shared" si="174"/>
        <v/>
      </c>
      <c r="BD235" s="320" t="str">
        <f t="shared" si="174"/>
        <v/>
      </c>
      <c r="BE235" s="320" t="str">
        <f t="shared" si="174"/>
        <v/>
      </c>
      <c r="BF235" s="320" t="str">
        <f t="shared" si="174"/>
        <v/>
      </c>
      <c r="BG235" s="320" t="str">
        <f t="shared" si="174"/>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75">IF(OR(O$19="",$M62=0),0,O$32*O62/$M62/1000)</f>
        <v>0</v>
      </c>
      <c r="P237" s="273">
        <f t="shared" si="175"/>
        <v>0</v>
      </c>
      <c r="Q237" s="273">
        <f t="shared" si="175"/>
        <v>0</v>
      </c>
      <c r="R237" s="273">
        <f t="shared" si="175"/>
        <v>0</v>
      </c>
      <c r="S237" s="273">
        <f t="shared" si="175"/>
        <v>0</v>
      </c>
      <c r="T237" s="273">
        <f t="shared" si="175"/>
        <v>0</v>
      </c>
      <c r="U237" s="273">
        <f t="shared" si="175"/>
        <v>0</v>
      </c>
      <c r="V237" s="273">
        <f t="shared" si="175"/>
        <v>0</v>
      </c>
      <c r="W237" s="273">
        <f t="shared" si="175"/>
        <v>0</v>
      </c>
      <c r="X237" s="422"/>
      <c r="Y237" s="423">
        <f>SUM(Z237:AJ237)</f>
        <v>0</v>
      </c>
      <c r="Z237" s="424"/>
      <c r="AA237" s="273">
        <f t="shared" ref="AA237:AI237" si="176">IF(OR(AA$19="",$Y62=0),0,AA$32*AA62/$Y62/1000)</f>
        <v>0</v>
      </c>
      <c r="AB237" s="273">
        <f t="shared" si="176"/>
        <v>0</v>
      </c>
      <c r="AC237" s="273">
        <f t="shared" si="176"/>
        <v>0</v>
      </c>
      <c r="AD237" s="273">
        <f t="shared" si="176"/>
        <v>0</v>
      </c>
      <c r="AE237" s="273">
        <f t="shared" si="176"/>
        <v>0</v>
      </c>
      <c r="AF237" s="273">
        <f t="shared" si="176"/>
        <v>0</v>
      </c>
      <c r="AG237" s="273">
        <f t="shared" si="176"/>
        <v>0</v>
      </c>
      <c r="AH237" s="273">
        <f t="shared" si="176"/>
        <v>0</v>
      </c>
      <c r="AI237" s="273">
        <f t="shared" si="176"/>
        <v>0</v>
      </c>
      <c r="AJ237" s="422"/>
      <c r="AK237" s="423">
        <f>SUM(AL237:AV237)</f>
        <v>0</v>
      </c>
      <c r="AL237" s="424"/>
      <c r="AM237" s="273">
        <f t="shared" ref="AM237:AU237" si="177">IF(OR(AM$19="",$AK62=0),0,AM$32*AM62/$AK62/1000)</f>
        <v>0</v>
      </c>
      <c r="AN237" s="273">
        <f t="shared" si="177"/>
        <v>0</v>
      </c>
      <c r="AO237" s="273">
        <f t="shared" si="177"/>
        <v>0</v>
      </c>
      <c r="AP237" s="273">
        <f t="shared" si="177"/>
        <v>0</v>
      </c>
      <c r="AQ237" s="273">
        <f t="shared" si="177"/>
        <v>0</v>
      </c>
      <c r="AR237" s="273">
        <f t="shared" si="177"/>
        <v>0</v>
      </c>
      <c r="AS237" s="273">
        <f t="shared" si="177"/>
        <v>0</v>
      </c>
      <c r="AT237" s="273">
        <f t="shared" si="177"/>
        <v>0</v>
      </c>
      <c r="AU237" s="273">
        <f t="shared" si="177"/>
        <v>0</v>
      </c>
      <c r="AV237" s="422"/>
      <c r="AW237" s="423">
        <f>SUM(AX237:BH237)</f>
        <v>0</v>
      </c>
      <c r="AX237" s="424"/>
      <c r="AY237" s="273">
        <f t="shared" ref="AY237:BG237" si="178">IF(OR(AY$19="",$AW62=0),0,AY$32*AY62/$AW62/1000)</f>
        <v>0</v>
      </c>
      <c r="AZ237" s="273">
        <f t="shared" si="178"/>
        <v>0</v>
      </c>
      <c r="BA237" s="273">
        <f t="shared" si="178"/>
        <v>0</v>
      </c>
      <c r="BB237" s="273">
        <f t="shared" si="178"/>
        <v>0</v>
      </c>
      <c r="BC237" s="273">
        <f t="shared" si="178"/>
        <v>0</v>
      </c>
      <c r="BD237" s="273">
        <f t="shared" si="178"/>
        <v>0</v>
      </c>
      <c r="BE237" s="273">
        <f t="shared" si="178"/>
        <v>0</v>
      </c>
      <c r="BF237" s="273">
        <f t="shared" si="178"/>
        <v>0</v>
      </c>
      <c r="BG237" s="273">
        <f t="shared" si="178"/>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79">IF(OR(O$19="",$M64=0),0,O$32*O64/$M64/1000)</f>
        <v>0</v>
      </c>
      <c r="P238" s="273">
        <f t="shared" si="179"/>
        <v>0</v>
      </c>
      <c r="Q238" s="273">
        <f t="shared" si="179"/>
        <v>0</v>
      </c>
      <c r="R238" s="273">
        <f t="shared" si="179"/>
        <v>0</v>
      </c>
      <c r="S238" s="273">
        <f t="shared" si="179"/>
        <v>0</v>
      </c>
      <c r="T238" s="273">
        <f t="shared" si="179"/>
        <v>0</v>
      </c>
      <c r="U238" s="273">
        <f t="shared" si="179"/>
        <v>0</v>
      </c>
      <c r="V238" s="273">
        <f t="shared" si="179"/>
        <v>0</v>
      </c>
      <c r="W238" s="273">
        <f t="shared" si="179"/>
        <v>0</v>
      </c>
      <c r="X238" s="422"/>
      <c r="Y238" s="423">
        <f>SUM(Z238:AJ238)</f>
        <v>0</v>
      </c>
      <c r="Z238" s="424"/>
      <c r="AA238" s="273">
        <f t="shared" ref="AA238:AI238" si="180">IF(OR(AA$19="",$Y64=0),0,AA$32*AA64/$Y64/1000)</f>
        <v>0</v>
      </c>
      <c r="AB238" s="273">
        <f t="shared" si="180"/>
        <v>0</v>
      </c>
      <c r="AC238" s="273">
        <f t="shared" si="180"/>
        <v>0</v>
      </c>
      <c r="AD238" s="273">
        <f t="shared" si="180"/>
        <v>0</v>
      </c>
      <c r="AE238" s="273">
        <f t="shared" si="180"/>
        <v>0</v>
      </c>
      <c r="AF238" s="273">
        <f t="shared" si="180"/>
        <v>0</v>
      </c>
      <c r="AG238" s="273">
        <f t="shared" si="180"/>
        <v>0</v>
      </c>
      <c r="AH238" s="273">
        <f t="shared" si="180"/>
        <v>0</v>
      </c>
      <c r="AI238" s="273">
        <f t="shared" si="180"/>
        <v>0</v>
      </c>
      <c r="AJ238" s="422"/>
      <c r="AK238" s="423">
        <f>SUM(AL238:AV238)</f>
        <v>0</v>
      </c>
      <c r="AL238" s="424"/>
      <c r="AM238" s="273">
        <f t="shared" ref="AM238:AU238" si="181">IF(OR(AM$19="",$AK64=0),0,AM$32*AM64/$AK64/1000)</f>
        <v>0</v>
      </c>
      <c r="AN238" s="273">
        <f t="shared" si="181"/>
        <v>0</v>
      </c>
      <c r="AO238" s="273">
        <f t="shared" si="181"/>
        <v>0</v>
      </c>
      <c r="AP238" s="273">
        <f t="shared" si="181"/>
        <v>0</v>
      </c>
      <c r="AQ238" s="273">
        <f t="shared" si="181"/>
        <v>0</v>
      </c>
      <c r="AR238" s="273">
        <f t="shared" si="181"/>
        <v>0</v>
      </c>
      <c r="AS238" s="273">
        <f t="shared" si="181"/>
        <v>0</v>
      </c>
      <c r="AT238" s="273">
        <f t="shared" si="181"/>
        <v>0</v>
      </c>
      <c r="AU238" s="273">
        <f t="shared" si="181"/>
        <v>0</v>
      </c>
      <c r="AV238" s="422"/>
      <c r="AW238" s="423">
        <f>SUM(AX238:BH238)</f>
        <v>0</v>
      </c>
      <c r="AX238" s="424"/>
      <c r="AY238" s="273">
        <f t="shared" ref="AY238:BG238" si="182">IF(OR(AY$19="",$AW64=0),0,AY$32*AY64/$AW64/1000)</f>
        <v>0</v>
      </c>
      <c r="AZ238" s="273">
        <f t="shared" si="182"/>
        <v>0</v>
      </c>
      <c r="BA238" s="273">
        <f t="shared" si="182"/>
        <v>0</v>
      </c>
      <c r="BB238" s="273">
        <f t="shared" si="182"/>
        <v>0</v>
      </c>
      <c r="BC238" s="273">
        <f t="shared" si="182"/>
        <v>0</v>
      </c>
      <c r="BD238" s="273">
        <f t="shared" si="182"/>
        <v>0</v>
      </c>
      <c r="BE238" s="273">
        <f t="shared" si="182"/>
        <v>0</v>
      </c>
      <c r="BF238" s="273">
        <f t="shared" si="182"/>
        <v>0</v>
      </c>
      <c r="BG238" s="273">
        <f t="shared" si="182"/>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83">IF(OR(O$19="",$M$65=0),0,O$32*O65/$M65/1000)</f>
        <v>0</v>
      </c>
      <c r="P239" s="273">
        <f t="shared" si="183"/>
        <v>0</v>
      </c>
      <c r="Q239" s="273">
        <f t="shared" si="183"/>
        <v>0</v>
      </c>
      <c r="R239" s="273">
        <f t="shared" si="183"/>
        <v>0</v>
      </c>
      <c r="S239" s="273">
        <f t="shared" si="183"/>
        <v>0</v>
      </c>
      <c r="T239" s="273">
        <f t="shared" si="183"/>
        <v>0</v>
      </c>
      <c r="U239" s="273">
        <f t="shared" si="183"/>
        <v>0</v>
      </c>
      <c r="V239" s="273">
        <f t="shared" si="183"/>
        <v>0</v>
      </c>
      <c r="W239" s="273">
        <f t="shared" si="183"/>
        <v>0</v>
      </c>
      <c r="X239" s="422"/>
      <c r="Y239" s="423">
        <f>SUM(Z239:AJ239)</f>
        <v>0</v>
      </c>
      <c r="Z239" s="424"/>
      <c r="AA239" s="273">
        <f t="shared" ref="AA239:AI239" si="184">IF(OR(AA$19="",$Y$65=0),0,AA$32*AA65/$Y65/1000)</f>
        <v>0</v>
      </c>
      <c r="AB239" s="273">
        <f t="shared" si="184"/>
        <v>0</v>
      </c>
      <c r="AC239" s="273">
        <f t="shared" si="184"/>
        <v>0</v>
      </c>
      <c r="AD239" s="273">
        <f t="shared" si="184"/>
        <v>0</v>
      </c>
      <c r="AE239" s="273">
        <f t="shared" si="184"/>
        <v>0</v>
      </c>
      <c r="AF239" s="273">
        <f t="shared" si="184"/>
        <v>0</v>
      </c>
      <c r="AG239" s="273">
        <f t="shared" si="184"/>
        <v>0</v>
      </c>
      <c r="AH239" s="273">
        <f t="shared" si="184"/>
        <v>0</v>
      </c>
      <c r="AI239" s="273">
        <f t="shared" si="184"/>
        <v>0</v>
      </c>
      <c r="AJ239" s="422"/>
      <c r="AK239" s="423">
        <f>SUM(AL239:AV239)</f>
        <v>0</v>
      </c>
      <c r="AL239" s="424"/>
      <c r="AM239" s="273">
        <f t="shared" ref="AM239:AU239" si="185">IF(OR(AM$19="",$AK$65=0),0,AM$32*AM65/$AK65/1000)</f>
        <v>0</v>
      </c>
      <c r="AN239" s="273">
        <f t="shared" si="185"/>
        <v>0</v>
      </c>
      <c r="AO239" s="273">
        <f t="shared" si="185"/>
        <v>0</v>
      </c>
      <c r="AP239" s="273">
        <f t="shared" si="185"/>
        <v>0</v>
      </c>
      <c r="AQ239" s="273">
        <f t="shared" si="185"/>
        <v>0</v>
      </c>
      <c r="AR239" s="273">
        <f t="shared" si="185"/>
        <v>0</v>
      </c>
      <c r="AS239" s="273">
        <f t="shared" si="185"/>
        <v>0</v>
      </c>
      <c r="AT239" s="273">
        <f t="shared" si="185"/>
        <v>0</v>
      </c>
      <c r="AU239" s="273">
        <f t="shared" si="185"/>
        <v>0</v>
      </c>
      <c r="AV239" s="422"/>
      <c r="AW239" s="423">
        <f>SUM(AX239:BH239)</f>
        <v>0</v>
      </c>
      <c r="AX239" s="424"/>
      <c r="AY239" s="273">
        <f t="shared" ref="AY239:BG239" si="186">IF(OR(AY$19="",$AW$65=0),0,AY$32*AY65/$AW65/1000)</f>
        <v>0</v>
      </c>
      <c r="AZ239" s="273">
        <f t="shared" si="186"/>
        <v>0</v>
      </c>
      <c r="BA239" s="273">
        <f t="shared" si="186"/>
        <v>0</v>
      </c>
      <c r="BB239" s="273">
        <f t="shared" si="186"/>
        <v>0</v>
      </c>
      <c r="BC239" s="273">
        <f t="shared" si="186"/>
        <v>0</v>
      </c>
      <c r="BD239" s="273">
        <f t="shared" si="186"/>
        <v>0</v>
      </c>
      <c r="BE239" s="273">
        <f t="shared" si="186"/>
        <v>0</v>
      </c>
      <c r="BF239" s="273">
        <f t="shared" si="186"/>
        <v>0</v>
      </c>
      <c r="BG239" s="273">
        <f t="shared" si="186"/>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87">O$17</f>
        <v/>
      </c>
      <c r="P242" s="320" t="str">
        <f t="shared" si="187"/>
        <v/>
      </c>
      <c r="Q242" s="320" t="str">
        <f t="shared" si="187"/>
        <v/>
      </c>
      <c r="R242" s="320" t="str">
        <f t="shared" si="187"/>
        <v/>
      </c>
      <c r="S242" s="320" t="str">
        <f t="shared" si="187"/>
        <v/>
      </c>
      <c r="T242" s="320" t="str">
        <f t="shared" si="187"/>
        <v/>
      </c>
      <c r="U242" s="320" t="str">
        <f t="shared" si="187"/>
        <v/>
      </c>
      <c r="V242" s="320" t="str">
        <f t="shared" si="187"/>
        <v/>
      </c>
      <c r="W242" s="320" t="str">
        <f t="shared" si="187"/>
        <v/>
      </c>
      <c r="X242" s="214"/>
      <c r="Y242" s="318" t="str">
        <f>Y$10&amp;" MWh"</f>
        <v>totaal MWh</v>
      </c>
      <c r="Z242" s="222"/>
      <c r="AA242" s="320" t="str">
        <f t="shared" ref="AA242:AI242" si="188">AA$17</f>
        <v/>
      </c>
      <c r="AB242" s="320" t="str">
        <f t="shared" si="188"/>
        <v/>
      </c>
      <c r="AC242" s="320" t="str">
        <f t="shared" si="188"/>
        <v/>
      </c>
      <c r="AD242" s="320" t="str">
        <f t="shared" si="188"/>
        <v/>
      </c>
      <c r="AE242" s="320" t="str">
        <f t="shared" si="188"/>
        <v/>
      </c>
      <c r="AF242" s="320" t="str">
        <f t="shared" si="188"/>
        <v/>
      </c>
      <c r="AG242" s="320" t="str">
        <f t="shared" si="188"/>
        <v/>
      </c>
      <c r="AH242" s="320" t="str">
        <f t="shared" si="188"/>
        <v/>
      </c>
      <c r="AI242" s="320" t="str">
        <f t="shared" si="188"/>
        <v/>
      </c>
      <c r="AJ242" s="214"/>
      <c r="AK242" s="318" t="str">
        <f>AK$10&amp;" MWh"</f>
        <v>totaal MWh</v>
      </c>
      <c r="AL242" s="222"/>
      <c r="AM242" s="320" t="str">
        <f>AM$17</f>
        <v/>
      </c>
      <c r="AN242" s="320" t="str">
        <f t="shared" ref="AN242:AU242" si="189">AN$17</f>
        <v/>
      </c>
      <c r="AO242" s="320" t="str">
        <f t="shared" si="189"/>
        <v/>
      </c>
      <c r="AP242" s="320" t="str">
        <f t="shared" si="189"/>
        <v/>
      </c>
      <c r="AQ242" s="320" t="str">
        <f t="shared" si="189"/>
        <v/>
      </c>
      <c r="AR242" s="320" t="str">
        <f t="shared" si="189"/>
        <v/>
      </c>
      <c r="AS242" s="320" t="str">
        <f t="shared" si="189"/>
        <v/>
      </c>
      <c r="AT242" s="320" t="str">
        <f t="shared" si="189"/>
        <v/>
      </c>
      <c r="AU242" s="320" t="str">
        <f t="shared" si="189"/>
        <v/>
      </c>
      <c r="AV242" s="214"/>
      <c r="AW242" s="318" t="str">
        <f>AW$10&amp;" MWh"</f>
        <v>totaal MWh</v>
      </c>
      <c r="AX242" s="222"/>
      <c r="AY242" s="320" t="str">
        <f>AY$17</f>
        <v/>
      </c>
      <c r="AZ242" s="320" t="str">
        <f t="shared" ref="AZ242:BG242" si="190">AZ$17</f>
        <v/>
      </c>
      <c r="BA242" s="320" t="str">
        <f t="shared" si="190"/>
        <v/>
      </c>
      <c r="BB242" s="320" t="str">
        <f t="shared" si="190"/>
        <v/>
      </c>
      <c r="BC242" s="320" t="str">
        <f t="shared" si="190"/>
        <v/>
      </c>
      <c r="BD242" s="320" t="str">
        <f t="shared" si="190"/>
        <v/>
      </c>
      <c r="BE242" s="320" t="str">
        <f t="shared" si="190"/>
        <v/>
      </c>
      <c r="BF242" s="320" t="str">
        <f t="shared" si="190"/>
        <v/>
      </c>
      <c r="BG242" s="320" t="str">
        <f t="shared" si="190"/>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1">M244+Y244+AK244+AW244</f>
        <v>0</v>
      </c>
      <c r="K244" s="236"/>
      <c r="L244" s="236"/>
      <c r="M244" s="243">
        <f t="shared" ref="M244:M251" si="192">SUMPRODUCT(N244:X244,N$24:X$24,N$31:X$31)/1000</f>
        <v>0</v>
      </c>
      <c r="N244" s="129"/>
      <c r="O244" s="207">
        <f t="shared" ref="O244:W244" si="193">IF(OR(O$24=0,$O$78=0),0,
(($O$120+$O$145+$O$162)/$O$78)*O62)</f>
        <v>0</v>
      </c>
      <c r="P244" s="207">
        <f t="shared" si="193"/>
        <v>0</v>
      </c>
      <c r="Q244" s="207">
        <f t="shared" si="193"/>
        <v>0</v>
      </c>
      <c r="R244" s="207">
        <f t="shared" si="193"/>
        <v>0</v>
      </c>
      <c r="S244" s="207">
        <f t="shared" si="193"/>
        <v>0</v>
      </c>
      <c r="T244" s="207">
        <f t="shared" si="193"/>
        <v>0</v>
      </c>
      <c r="U244" s="207">
        <f t="shared" si="193"/>
        <v>0</v>
      </c>
      <c r="V244" s="207">
        <f t="shared" si="193"/>
        <v>0</v>
      </c>
      <c r="W244" s="207">
        <f t="shared" si="193"/>
        <v>0</v>
      </c>
      <c r="X244" s="128"/>
      <c r="Y244" s="243">
        <f t="shared" ref="Y244:Y251" si="194">SUMPRODUCT(Z244:AJ244,Z$24:AJ$24,Z$31:AJ$31)/1000</f>
        <v>0</v>
      </c>
      <c r="Z244" s="129"/>
      <c r="AA244" s="207">
        <f t="shared" ref="AA244:AI244" si="195">IF(AA$24=0,0,
(($AA$120+$AA$145+$AA$162)/$AA$78)*AA62)</f>
        <v>0</v>
      </c>
      <c r="AB244" s="207">
        <f t="shared" si="195"/>
        <v>0</v>
      </c>
      <c r="AC244" s="207">
        <f t="shared" si="195"/>
        <v>0</v>
      </c>
      <c r="AD244" s="207">
        <f t="shared" si="195"/>
        <v>0</v>
      </c>
      <c r="AE244" s="207">
        <f t="shared" si="195"/>
        <v>0</v>
      </c>
      <c r="AF244" s="207">
        <f t="shared" si="195"/>
        <v>0</v>
      </c>
      <c r="AG244" s="207">
        <f t="shared" si="195"/>
        <v>0</v>
      </c>
      <c r="AH244" s="207">
        <f t="shared" si="195"/>
        <v>0</v>
      </c>
      <c r="AI244" s="207">
        <f t="shared" si="195"/>
        <v>0</v>
      </c>
      <c r="AJ244" s="236"/>
      <c r="AK244" s="243">
        <f t="shared" ref="AK244:AK251" si="196">SUMPRODUCT(AL244:AV244,AL$24:AV$24,AL$31:AV$31)/1000</f>
        <v>0</v>
      </c>
      <c r="AL244" s="236"/>
      <c r="AM244" s="207">
        <f t="shared" ref="AM244:AU244" si="197">IF(AM$24=0,0,
(($AM$120+$AM$145+$AM$162)/$AM$78)*AM62)</f>
        <v>0</v>
      </c>
      <c r="AN244" s="207">
        <f t="shared" si="197"/>
        <v>0</v>
      </c>
      <c r="AO244" s="207">
        <f t="shared" si="197"/>
        <v>0</v>
      </c>
      <c r="AP244" s="207">
        <f t="shared" si="197"/>
        <v>0</v>
      </c>
      <c r="AQ244" s="207">
        <f t="shared" si="197"/>
        <v>0</v>
      </c>
      <c r="AR244" s="207">
        <f t="shared" si="197"/>
        <v>0</v>
      </c>
      <c r="AS244" s="207">
        <f t="shared" si="197"/>
        <v>0</v>
      </c>
      <c r="AT244" s="207">
        <f t="shared" si="197"/>
        <v>0</v>
      </c>
      <c r="AU244" s="207">
        <f t="shared" si="197"/>
        <v>0</v>
      </c>
      <c r="AV244" s="236"/>
      <c r="AW244" s="243">
        <f t="shared" ref="AW244:AW251" si="198">SUMPRODUCT(AX244:BH244,AX$24:BH$24,AX$31:BH$31)/1000</f>
        <v>0</v>
      </c>
      <c r="AX244" s="236"/>
      <c r="AY244" s="207">
        <f t="shared" ref="AY244:BG244" si="199">IF(AY$24=0,0,
(($AY$120+$AY$145+$AY$162)/$AY$78)*AY62)</f>
        <v>0</v>
      </c>
      <c r="AZ244" s="207">
        <f t="shared" si="199"/>
        <v>0</v>
      </c>
      <c r="BA244" s="207">
        <f t="shared" si="199"/>
        <v>0</v>
      </c>
      <c r="BB244" s="207">
        <f t="shared" si="199"/>
        <v>0</v>
      </c>
      <c r="BC244" s="207">
        <f t="shared" si="199"/>
        <v>0</v>
      </c>
      <c r="BD244" s="207">
        <f t="shared" si="199"/>
        <v>0</v>
      </c>
      <c r="BE244" s="207">
        <f t="shared" si="199"/>
        <v>0</v>
      </c>
      <c r="BF244" s="207">
        <f t="shared" si="199"/>
        <v>0</v>
      </c>
      <c r="BG244" s="207">
        <f t="shared" si="199"/>
        <v>0</v>
      </c>
      <c r="BH244" s="255"/>
    </row>
    <row r="245" spans="1:60">
      <c r="A245" s="645"/>
      <c r="B245" s="492" t="s">
        <v>312</v>
      </c>
      <c r="C245" s="653" t="s">
        <v>111</v>
      </c>
      <c r="D245" s="746"/>
      <c r="E245" s="367" t="str">
        <f>$P$76</f>
        <v>koeling</v>
      </c>
      <c r="F245" s="220"/>
      <c r="G245" s="220"/>
      <c r="H245" s="242" t="s">
        <v>314</v>
      </c>
      <c r="I245" s="129"/>
      <c r="J245" s="243">
        <f t="shared" si="191"/>
        <v>0</v>
      </c>
      <c r="K245" s="236"/>
      <c r="L245" s="236"/>
      <c r="M245" s="243">
        <f t="shared" si="192"/>
        <v>0</v>
      </c>
      <c r="N245" s="129"/>
      <c r="O245" s="207">
        <f t="shared" ref="O245:W245" si="200">IF(OR(O$24=0,$P$78=0),0,
(($P$120+$P$145+$P$162)/$P$78)*O64)</f>
        <v>0</v>
      </c>
      <c r="P245" s="207">
        <f t="shared" si="200"/>
        <v>0</v>
      </c>
      <c r="Q245" s="207">
        <f t="shared" si="200"/>
        <v>0</v>
      </c>
      <c r="R245" s="207">
        <f t="shared" si="200"/>
        <v>0</v>
      </c>
      <c r="S245" s="207">
        <f t="shared" si="200"/>
        <v>0</v>
      </c>
      <c r="T245" s="207">
        <f t="shared" si="200"/>
        <v>0</v>
      </c>
      <c r="U245" s="207">
        <f t="shared" si="200"/>
        <v>0</v>
      </c>
      <c r="V245" s="207">
        <f t="shared" si="200"/>
        <v>0</v>
      </c>
      <c r="W245" s="207">
        <f t="shared" si="200"/>
        <v>0</v>
      </c>
      <c r="X245" s="128"/>
      <c r="Y245" s="243">
        <f t="shared" si="194"/>
        <v>0</v>
      </c>
      <c r="Z245" s="129"/>
      <c r="AA245" s="207">
        <f t="shared" ref="AA245:AI245" si="201">IF(OR(AA$24=0,$AB$78=0),0,
(($AB$120+$AB$145+$AB$162)/$AB$78)*AA64)</f>
        <v>0</v>
      </c>
      <c r="AB245" s="207">
        <f t="shared" si="201"/>
        <v>0</v>
      </c>
      <c r="AC245" s="207">
        <f t="shared" si="201"/>
        <v>0</v>
      </c>
      <c r="AD245" s="207">
        <f t="shared" si="201"/>
        <v>0</v>
      </c>
      <c r="AE245" s="207">
        <f t="shared" si="201"/>
        <v>0</v>
      </c>
      <c r="AF245" s="207">
        <f t="shared" si="201"/>
        <v>0</v>
      </c>
      <c r="AG245" s="207">
        <f t="shared" si="201"/>
        <v>0</v>
      </c>
      <c r="AH245" s="207">
        <f t="shared" si="201"/>
        <v>0</v>
      </c>
      <c r="AI245" s="207">
        <f t="shared" si="201"/>
        <v>0</v>
      </c>
      <c r="AJ245" s="236"/>
      <c r="AK245" s="243">
        <f t="shared" si="196"/>
        <v>0</v>
      </c>
      <c r="AL245" s="236"/>
      <c r="AM245" s="207">
        <f t="shared" ref="AM245:AU245" si="202">IF(OR(AM$24=0,$AN$78=0),0,
(($AN$120+$AN$145+$AN$162)/$AN$78)*AM64)</f>
        <v>0</v>
      </c>
      <c r="AN245" s="207">
        <f t="shared" si="202"/>
        <v>0</v>
      </c>
      <c r="AO245" s="207">
        <f t="shared" si="202"/>
        <v>0</v>
      </c>
      <c r="AP245" s="207">
        <f t="shared" si="202"/>
        <v>0</v>
      </c>
      <c r="AQ245" s="207">
        <f t="shared" si="202"/>
        <v>0</v>
      </c>
      <c r="AR245" s="207">
        <f t="shared" si="202"/>
        <v>0</v>
      </c>
      <c r="AS245" s="207">
        <f t="shared" si="202"/>
        <v>0</v>
      </c>
      <c r="AT245" s="207">
        <f t="shared" si="202"/>
        <v>0</v>
      </c>
      <c r="AU245" s="207">
        <f t="shared" si="202"/>
        <v>0</v>
      </c>
      <c r="AV245" s="236"/>
      <c r="AW245" s="243">
        <f t="shared" si="198"/>
        <v>0</v>
      </c>
      <c r="AX245" s="236"/>
      <c r="AY245" s="207">
        <f t="shared" ref="AY245:BG245" si="203">IF(OR(AY$24=0,$AZ$78=0),0,
(($AZ$120+$AZ$145+$AZ$162)/$AZ$78)*AY64)</f>
        <v>0</v>
      </c>
      <c r="AZ245" s="207">
        <f t="shared" si="203"/>
        <v>0</v>
      </c>
      <c r="BA245" s="207">
        <f t="shared" si="203"/>
        <v>0</v>
      </c>
      <c r="BB245" s="207">
        <f t="shared" si="203"/>
        <v>0</v>
      </c>
      <c r="BC245" s="207">
        <f t="shared" si="203"/>
        <v>0</v>
      </c>
      <c r="BD245" s="207">
        <f t="shared" si="203"/>
        <v>0</v>
      </c>
      <c r="BE245" s="207">
        <f t="shared" si="203"/>
        <v>0</v>
      </c>
      <c r="BF245" s="207">
        <f t="shared" si="203"/>
        <v>0</v>
      </c>
      <c r="BG245" s="207">
        <f t="shared" si="203"/>
        <v>0</v>
      </c>
      <c r="BH245" s="255"/>
    </row>
    <row r="246" spans="1:60">
      <c r="A246" s="645"/>
      <c r="B246" s="492" t="s">
        <v>312</v>
      </c>
      <c r="C246" s="653" t="s">
        <v>111</v>
      </c>
      <c r="D246" s="746"/>
      <c r="E246" s="367" t="str">
        <f>$Q$76</f>
        <v>tapwater</v>
      </c>
      <c r="F246" s="220"/>
      <c r="G246" s="220"/>
      <c r="H246" s="242" t="s">
        <v>314</v>
      </c>
      <c r="I246" s="129"/>
      <c r="J246" s="243">
        <f t="shared" si="191"/>
        <v>0</v>
      </c>
      <c r="K246" s="236"/>
      <c r="L246" s="236"/>
      <c r="M246" s="243">
        <f t="shared" si="192"/>
        <v>0</v>
      </c>
      <c r="N246" s="129"/>
      <c r="O246" s="207">
        <f t="shared" ref="O246:W246" si="204">IF(O$24=0,0,
(($Q$120+$Q$145+$Q$162)/$Q$78)*O65)</f>
        <v>0</v>
      </c>
      <c r="P246" s="207">
        <f t="shared" si="204"/>
        <v>0</v>
      </c>
      <c r="Q246" s="207">
        <f t="shared" si="204"/>
        <v>0</v>
      </c>
      <c r="R246" s="207">
        <f t="shared" si="204"/>
        <v>0</v>
      </c>
      <c r="S246" s="207">
        <f t="shared" si="204"/>
        <v>0</v>
      </c>
      <c r="T246" s="207">
        <f t="shared" si="204"/>
        <v>0</v>
      </c>
      <c r="U246" s="207">
        <f t="shared" si="204"/>
        <v>0</v>
      </c>
      <c r="V246" s="207">
        <f t="shared" si="204"/>
        <v>0</v>
      </c>
      <c r="W246" s="207">
        <f t="shared" si="204"/>
        <v>0</v>
      </c>
      <c r="X246" s="128"/>
      <c r="Y246" s="243">
        <f t="shared" si="194"/>
        <v>0</v>
      </c>
      <c r="Z246" s="129"/>
      <c r="AA246" s="207">
        <f t="shared" ref="AA246:AI246" si="205">IF(AA$24=0,0,
(($AC$120+$AC$145+$AC$162)/$AC$78)*AA65)</f>
        <v>0</v>
      </c>
      <c r="AB246" s="207">
        <f t="shared" si="205"/>
        <v>0</v>
      </c>
      <c r="AC246" s="207">
        <f t="shared" si="205"/>
        <v>0</v>
      </c>
      <c r="AD246" s="207">
        <f t="shared" si="205"/>
        <v>0</v>
      </c>
      <c r="AE246" s="207">
        <f t="shared" si="205"/>
        <v>0</v>
      </c>
      <c r="AF246" s="207">
        <f t="shared" si="205"/>
        <v>0</v>
      </c>
      <c r="AG246" s="207">
        <f t="shared" si="205"/>
        <v>0</v>
      </c>
      <c r="AH246" s="207">
        <f t="shared" si="205"/>
        <v>0</v>
      </c>
      <c r="AI246" s="207">
        <f t="shared" si="205"/>
        <v>0</v>
      </c>
      <c r="AJ246" s="236"/>
      <c r="AK246" s="243">
        <f t="shared" si="196"/>
        <v>0</v>
      </c>
      <c r="AL246" s="236"/>
      <c r="AM246" s="207">
        <f t="shared" ref="AM246:AU246" si="206">IF(AM$24=0,0,
(($AO$120+$AO$145+$AO$162)/$AO$78)*AM65)</f>
        <v>0</v>
      </c>
      <c r="AN246" s="207">
        <f t="shared" si="206"/>
        <v>0</v>
      </c>
      <c r="AO246" s="207">
        <f t="shared" si="206"/>
        <v>0</v>
      </c>
      <c r="AP246" s="207">
        <f t="shared" si="206"/>
        <v>0</v>
      </c>
      <c r="AQ246" s="207">
        <f t="shared" si="206"/>
        <v>0</v>
      </c>
      <c r="AR246" s="207">
        <f t="shared" si="206"/>
        <v>0</v>
      </c>
      <c r="AS246" s="207">
        <f t="shared" si="206"/>
        <v>0</v>
      </c>
      <c r="AT246" s="207">
        <f t="shared" si="206"/>
        <v>0</v>
      </c>
      <c r="AU246" s="207">
        <f t="shared" si="206"/>
        <v>0</v>
      </c>
      <c r="AV246" s="236"/>
      <c r="AW246" s="243">
        <f t="shared" si="198"/>
        <v>0</v>
      </c>
      <c r="AX246" s="236"/>
      <c r="AY246" s="207">
        <f t="shared" ref="AY246:BG246" si="207">IF(AY$24=0,0,
(($BA$120+$BA$145+$BA$162)/$BA$78)*AY65)</f>
        <v>0</v>
      </c>
      <c r="AZ246" s="207">
        <f t="shared" si="207"/>
        <v>0</v>
      </c>
      <c r="BA246" s="207">
        <f t="shared" si="207"/>
        <v>0</v>
      </c>
      <c r="BB246" s="207">
        <f t="shared" si="207"/>
        <v>0</v>
      </c>
      <c r="BC246" s="207">
        <f t="shared" si="207"/>
        <v>0</v>
      </c>
      <c r="BD246" s="207">
        <f t="shared" si="207"/>
        <v>0</v>
      </c>
      <c r="BE246" s="207">
        <f t="shared" si="207"/>
        <v>0</v>
      </c>
      <c r="BF246" s="207">
        <f t="shared" si="207"/>
        <v>0</v>
      </c>
      <c r="BG246" s="207">
        <f t="shared" si="207"/>
        <v>0</v>
      </c>
      <c r="BH246" s="255"/>
    </row>
    <row r="247" spans="1:60">
      <c r="A247" s="645"/>
      <c r="B247" s="492" t="s">
        <v>312</v>
      </c>
      <c r="C247" s="653" t="s">
        <v>111</v>
      </c>
      <c r="D247" s="746"/>
      <c r="E247" s="367" t="str">
        <f>$R$76</f>
        <v>verlichting</v>
      </c>
      <c r="F247" s="220"/>
      <c r="G247" s="220"/>
      <c r="H247" s="242" t="s">
        <v>314</v>
      </c>
      <c r="I247" s="129"/>
      <c r="J247" s="243">
        <f t="shared" si="191"/>
        <v>0</v>
      </c>
      <c r="K247" s="236"/>
      <c r="L247" s="236"/>
      <c r="M247" s="243">
        <f t="shared" si="192"/>
        <v>0</v>
      </c>
      <c r="N247" s="129"/>
      <c r="O247" s="207">
        <f t="shared" ref="O247:W247" si="208">IF(O$24=0,0,$R$162/$R$78*O66)</f>
        <v>0</v>
      </c>
      <c r="P247" s="207">
        <f t="shared" si="208"/>
        <v>0</v>
      </c>
      <c r="Q247" s="207">
        <f t="shared" si="208"/>
        <v>0</v>
      </c>
      <c r="R247" s="207">
        <f t="shared" si="208"/>
        <v>0</v>
      </c>
      <c r="S247" s="207">
        <f t="shared" si="208"/>
        <v>0</v>
      </c>
      <c r="T247" s="207">
        <f t="shared" si="208"/>
        <v>0</v>
      </c>
      <c r="U247" s="207">
        <f t="shared" si="208"/>
        <v>0</v>
      </c>
      <c r="V247" s="207">
        <f t="shared" si="208"/>
        <v>0</v>
      </c>
      <c r="W247" s="207">
        <f t="shared" si="208"/>
        <v>0</v>
      </c>
      <c r="X247" s="128"/>
      <c r="Y247" s="243">
        <f t="shared" si="194"/>
        <v>0</v>
      </c>
      <c r="Z247" s="129"/>
      <c r="AA247" s="207">
        <f t="shared" ref="AA247:AI247" si="209">IF(AA$24=0,0,$AD$162/$AD$78*AA66)</f>
        <v>0</v>
      </c>
      <c r="AB247" s="207">
        <f t="shared" si="209"/>
        <v>0</v>
      </c>
      <c r="AC247" s="207">
        <f t="shared" si="209"/>
        <v>0</v>
      </c>
      <c r="AD247" s="207">
        <f t="shared" si="209"/>
        <v>0</v>
      </c>
      <c r="AE247" s="207">
        <f t="shared" si="209"/>
        <v>0</v>
      </c>
      <c r="AF247" s="207">
        <f t="shared" si="209"/>
        <v>0</v>
      </c>
      <c r="AG247" s="207">
        <f t="shared" si="209"/>
        <v>0</v>
      </c>
      <c r="AH247" s="207">
        <f t="shared" si="209"/>
        <v>0</v>
      </c>
      <c r="AI247" s="207">
        <f t="shared" si="209"/>
        <v>0</v>
      </c>
      <c r="AJ247" s="236"/>
      <c r="AK247" s="243">
        <f t="shared" si="196"/>
        <v>0</v>
      </c>
      <c r="AL247" s="236"/>
      <c r="AM247" s="207">
        <f t="shared" ref="AM247:AU247" si="210">IF(AM$24=0,0,$AP$162/$AP$78*AM66)</f>
        <v>0</v>
      </c>
      <c r="AN247" s="207">
        <f t="shared" si="210"/>
        <v>0</v>
      </c>
      <c r="AO247" s="207">
        <f t="shared" si="210"/>
        <v>0</v>
      </c>
      <c r="AP247" s="207">
        <f t="shared" si="210"/>
        <v>0</v>
      </c>
      <c r="AQ247" s="207">
        <f t="shared" si="210"/>
        <v>0</v>
      </c>
      <c r="AR247" s="207">
        <f t="shared" si="210"/>
        <v>0</v>
      </c>
      <c r="AS247" s="207">
        <f t="shared" si="210"/>
        <v>0</v>
      </c>
      <c r="AT247" s="207">
        <f t="shared" si="210"/>
        <v>0</v>
      </c>
      <c r="AU247" s="207">
        <f t="shared" si="210"/>
        <v>0</v>
      </c>
      <c r="AV247" s="236"/>
      <c r="AW247" s="243">
        <f t="shared" si="198"/>
        <v>0</v>
      </c>
      <c r="AX247" s="236"/>
      <c r="AY247" s="207">
        <f t="shared" ref="AY247:BG247" si="211">IF(AY$24=0,0,$BB$162/$BB$78*AY66)</f>
        <v>0</v>
      </c>
      <c r="AZ247" s="207">
        <f t="shared" si="211"/>
        <v>0</v>
      </c>
      <c r="BA247" s="207">
        <f t="shared" si="211"/>
        <v>0</v>
      </c>
      <c r="BB247" s="207">
        <f t="shared" si="211"/>
        <v>0</v>
      </c>
      <c r="BC247" s="207">
        <f t="shared" si="211"/>
        <v>0</v>
      </c>
      <c r="BD247" s="207">
        <f t="shared" si="211"/>
        <v>0</v>
      </c>
      <c r="BE247" s="207">
        <f t="shared" si="211"/>
        <v>0</v>
      </c>
      <c r="BF247" s="207">
        <f t="shared" si="211"/>
        <v>0</v>
      </c>
      <c r="BG247" s="207">
        <f t="shared" si="211"/>
        <v>0</v>
      </c>
      <c r="BH247" s="255"/>
    </row>
    <row r="248" spans="1:60">
      <c r="A248" s="645"/>
      <c r="B248" s="492" t="s">
        <v>312</v>
      </c>
      <c r="C248" s="653" t="s">
        <v>111</v>
      </c>
      <c r="D248" s="746"/>
      <c r="E248" s="367" t="str">
        <f>$S$76</f>
        <v>ventilatoren</v>
      </c>
      <c r="F248" s="220"/>
      <c r="G248" s="220"/>
      <c r="H248" s="242" t="s">
        <v>314</v>
      </c>
      <c r="I248" s="129"/>
      <c r="J248" s="243">
        <f t="shared" si="191"/>
        <v>0</v>
      </c>
      <c r="K248" s="236"/>
      <c r="L248" s="236"/>
      <c r="M248" s="243">
        <f t="shared" si="192"/>
        <v>0</v>
      </c>
      <c r="N248" s="129"/>
      <c r="O248" s="207">
        <f t="shared" ref="O248:W248" si="212">IF(OR(O$24=0,$S$78=0),0,$S$162/$S$78*O67)</f>
        <v>0</v>
      </c>
      <c r="P248" s="207">
        <f t="shared" si="212"/>
        <v>0</v>
      </c>
      <c r="Q248" s="207">
        <f t="shared" si="212"/>
        <v>0</v>
      </c>
      <c r="R248" s="207">
        <f t="shared" si="212"/>
        <v>0</v>
      </c>
      <c r="S248" s="207">
        <f t="shared" si="212"/>
        <v>0</v>
      </c>
      <c r="T248" s="207">
        <f t="shared" si="212"/>
        <v>0</v>
      </c>
      <c r="U248" s="207">
        <f t="shared" si="212"/>
        <v>0</v>
      </c>
      <c r="V248" s="207">
        <f t="shared" si="212"/>
        <v>0</v>
      </c>
      <c r="W248" s="207">
        <f t="shared" si="212"/>
        <v>0</v>
      </c>
      <c r="X248" s="128"/>
      <c r="Y248" s="243">
        <f t="shared" si="194"/>
        <v>0</v>
      </c>
      <c r="Z248" s="129"/>
      <c r="AA248" s="207">
        <f t="shared" ref="AA248:AI248" si="213">IF(OR(AA$24=0,$AE$78=0),0,$AE$162/$AE$78*AA67)</f>
        <v>0</v>
      </c>
      <c r="AB248" s="207">
        <f t="shared" si="213"/>
        <v>0</v>
      </c>
      <c r="AC248" s="207">
        <f t="shared" si="213"/>
        <v>0</v>
      </c>
      <c r="AD248" s="207">
        <f t="shared" si="213"/>
        <v>0</v>
      </c>
      <c r="AE248" s="207">
        <f t="shared" si="213"/>
        <v>0</v>
      </c>
      <c r="AF248" s="207">
        <f t="shared" si="213"/>
        <v>0</v>
      </c>
      <c r="AG248" s="207">
        <f t="shared" si="213"/>
        <v>0</v>
      </c>
      <c r="AH248" s="207">
        <f t="shared" si="213"/>
        <v>0</v>
      </c>
      <c r="AI248" s="207">
        <f t="shared" si="213"/>
        <v>0</v>
      </c>
      <c r="AJ248" s="236"/>
      <c r="AK248" s="243">
        <f t="shared" si="196"/>
        <v>0</v>
      </c>
      <c r="AL248" s="236"/>
      <c r="AM248" s="207">
        <f t="shared" ref="AM248:AU248" si="214">IF(OR(AM$24=0,$AQ$78=0),0,$AQ$162/$AQ$78*AM67)</f>
        <v>0</v>
      </c>
      <c r="AN248" s="207">
        <f t="shared" si="214"/>
        <v>0</v>
      </c>
      <c r="AO248" s="207">
        <f t="shared" si="214"/>
        <v>0</v>
      </c>
      <c r="AP248" s="207">
        <f t="shared" si="214"/>
        <v>0</v>
      </c>
      <c r="AQ248" s="207">
        <f t="shared" si="214"/>
        <v>0</v>
      </c>
      <c r="AR248" s="207">
        <f t="shared" si="214"/>
        <v>0</v>
      </c>
      <c r="AS248" s="207">
        <f t="shared" si="214"/>
        <v>0</v>
      </c>
      <c r="AT248" s="207">
        <f t="shared" si="214"/>
        <v>0</v>
      </c>
      <c r="AU248" s="207">
        <f t="shared" si="214"/>
        <v>0</v>
      </c>
      <c r="AV248" s="236"/>
      <c r="AW248" s="243">
        <f t="shared" si="198"/>
        <v>0</v>
      </c>
      <c r="AX248" s="236"/>
      <c r="AY248" s="207">
        <f t="shared" ref="AY248:BG248" si="215">IF(OR(AY$24=0,$BC$78=0),0,$BC$162/$BC$78*AY67)</f>
        <v>0</v>
      </c>
      <c r="AZ248" s="207">
        <f t="shared" si="215"/>
        <v>0</v>
      </c>
      <c r="BA248" s="207">
        <f t="shared" si="215"/>
        <v>0</v>
      </c>
      <c r="BB248" s="207">
        <f t="shared" si="215"/>
        <v>0</v>
      </c>
      <c r="BC248" s="207">
        <f t="shared" si="215"/>
        <v>0</v>
      </c>
      <c r="BD248" s="207">
        <f t="shared" si="215"/>
        <v>0</v>
      </c>
      <c r="BE248" s="207">
        <f t="shared" si="215"/>
        <v>0</v>
      </c>
      <c r="BF248" s="207">
        <f t="shared" si="215"/>
        <v>0</v>
      </c>
      <c r="BG248" s="207">
        <f t="shared" si="215"/>
        <v>0</v>
      </c>
      <c r="BH248" s="255"/>
    </row>
    <row r="249" spans="1:60">
      <c r="A249" s="645"/>
      <c r="B249" s="492" t="s">
        <v>312</v>
      </c>
      <c r="C249" s="653" t="s">
        <v>111</v>
      </c>
      <c r="D249" s="746"/>
      <c r="E249" s="367" t="str">
        <f>$T$76</f>
        <v>kookgas</v>
      </c>
      <c r="F249" s="220"/>
      <c r="G249" s="220"/>
      <c r="H249" s="242" t="s">
        <v>314</v>
      </c>
      <c r="I249" s="129"/>
      <c r="J249" s="243">
        <f t="shared" si="191"/>
        <v>0</v>
      </c>
      <c r="K249" s="236"/>
      <c r="L249" s="236"/>
      <c r="M249" s="243">
        <f t="shared" si="192"/>
        <v>0</v>
      </c>
      <c r="N249" s="129"/>
      <c r="O249" s="207">
        <f t="shared" ref="O249:W249" si="216">IF(OR(O$24=0,$T$78=0),0,$T$207/$T$78*O68)</f>
        <v>0</v>
      </c>
      <c r="P249" s="207">
        <f t="shared" si="216"/>
        <v>0</v>
      </c>
      <c r="Q249" s="207">
        <f t="shared" si="216"/>
        <v>0</v>
      </c>
      <c r="R249" s="207">
        <f t="shared" si="216"/>
        <v>0</v>
      </c>
      <c r="S249" s="207">
        <f t="shared" si="216"/>
        <v>0</v>
      </c>
      <c r="T249" s="207">
        <f t="shared" si="216"/>
        <v>0</v>
      </c>
      <c r="U249" s="207">
        <f t="shared" si="216"/>
        <v>0</v>
      </c>
      <c r="V249" s="207">
        <f t="shared" si="216"/>
        <v>0</v>
      </c>
      <c r="W249" s="207">
        <f t="shared" si="216"/>
        <v>0</v>
      </c>
      <c r="X249" s="128"/>
      <c r="Y249" s="243">
        <f t="shared" si="194"/>
        <v>0</v>
      </c>
      <c r="Z249" s="129"/>
      <c r="AA249" s="207">
        <f t="shared" ref="AA249:AI249" si="217">IF(OR(AA$24=0,$AF$78=0),0,$AF$207/$AF$78*AA68)</f>
        <v>0</v>
      </c>
      <c r="AB249" s="207">
        <f t="shared" si="217"/>
        <v>0</v>
      </c>
      <c r="AC249" s="207">
        <f t="shared" si="217"/>
        <v>0</v>
      </c>
      <c r="AD249" s="207">
        <f t="shared" si="217"/>
        <v>0</v>
      </c>
      <c r="AE249" s="207">
        <f t="shared" si="217"/>
        <v>0</v>
      </c>
      <c r="AF249" s="207">
        <f t="shared" si="217"/>
        <v>0</v>
      </c>
      <c r="AG249" s="207">
        <f t="shared" si="217"/>
        <v>0</v>
      </c>
      <c r="AH249" s="207">
        <f t="shared" si="217"/>
        <v>0</v>
      </c>
      <c r="AI249" s="207">
        <f t="shared" si="217"/>
        <v>0</v>
      </c>
      <c r="AJ249" s="236"/>
      <c r="AK249" s="243">
        <f t="shared" si="196"/>
        <v>0</v>
      </c>
      <c r="AL249" s="236"/>
      <c r="AM249" s="207">
        <f t="shared" ref="AM249:AU249" si="218">IF(OR(AM$24=0,$AR$78=0),0,$AR$207/$AR$78*AM68)</f>
        <v>0</v>
      </c>
      <c r="AN249" s="207">
        <f t="shared" si="218"/>
        <v>0</v>
      </c>
      <c r="AO249" s="207">
        <f t="shared" si="218"/>
        <v>0</v>
      </c>
      <c r="AP249" s="207">
        <f t="shared" si="218"/>
        <v>0</v>
      </c>
      <c r="AQ249" s="207">
        <f t="shared" si="218"/>
        <v>0</v>
      </c>
      <c r="AR249" s="207">
        <f t="shared" si="218"/>
        <v>0</v>
      </c>
      <c r="AS249" s="207">
        <f t="shared" si="218"/>
        <v>0</v>
      </c>
      <c r="AT249" s="207">
        <f t="shared" si="218"/>
        <v>0</v>
      </c>
      <c r="AU249" s="207">
        <f t="shared" si="218"/>
        <v>0</v>
      </c>
      <c r="AV249" s="236"/>
      <c r="AW249" s="243">
        <f t="shared" si="198"/>
        <v>0</v>
      </c>
      <c r="AX249" s="236"/>
      <c r="AY249" s="207">
        <f t="shared" ref="AY249:BG249" si="219">IF(OR(AY$24=0,$BD$78=0),0,$BD$207/$BD$78*AY68)</f>
        <v>0</v>
      </c>
      <c r="AZ249" s="207">
        <f t="shared" si="219"/>
        <v>0</v>
      </c>
      <c r="BA249" s="207">
        <f t="shared" si="219"/>
        <v>0</v>
      </c>
      <c r="BB249" s="207">
        <f t="shared" si="219"/>
        <v>0</v>
      </c>
      <c r="BC249" s="207">
        <f t="shared" si="219"/>
        <v>0</v>
      </c>
      <c r="BD249" s="207">
        <f t="shared" si="219"/>
        <v>0</v>
      </c>
      <c r="BE249" s="207">
        <f t="shared" si="219"/>
        <v>0</v>
      </c>
      <c r="BF249" s="207">
        <f t="shared" si="219"/>
        <v>0</v>
      </c>
      <c r="BG249" s="207">
        <f t="shared" si="219"/>
        <v>0</v>
      </c>
      <c r="BH249" s="255"/>
    </row>
    <row r="250" spans="1:60">
      <c r="A250" s="645"/>
      <c r="B250" s="492" t="s">
        <v>312</v>
      </c>
      <c r="C250" s="653" t="s">
        <v>111</v>
      </c>
      <c r="D250" s="746"/>
      <c r="E250" s="367" t="str">
        <f>$U$76</f>
        <v>overig elektra</v>
      </c>
      <c r="F250" s="220"/>
      <c r="G250" s="220"/>
      <c r="H250" s="242" t="s">
        <v>314</v>
      </c>
      <c r="I250" s="129"/>
      <c r="J250" s="243">
        <f t="shared" si="191"/>
        <v>0</v>
      </c>
      <c r="K250" s="236"/>
      <c r="L250" s="236"/>
      <c r="M250" s="243">
        <f t="shared" si="192"/>
        <v>0</v>
      </c>
      <c r="N250" s="129"/>
      <c r="O250" s="207">
        <f t="shared" ref="O250:W250" si="220">IF(OR(O$24=0,$U$78=0),0,$U$162/$U$78*O69)</f>
        <v>0</v>
      </c>
      <c r="P250" s="207">
        <f t="shared" si="220"/>
        <v>0</v>
      </c>
      <c r="Q250" s="207">
        <f t="shared" si="220"/>
        <v>0</v>
      </c>
      <c r="R250" s="207">
        <f t="shared" si="220"/>
        <v>0</v>
      </c>
      <c r="S250" s="207">
        <f t="shared" si="220"/>
        <v>0</v>
      </c>
      <c r="T250" s="207">
        <f t="shared" si="220"/>
        <v>0</v>
      </c>
      <c r="U250" s="207">
        <f t="shared" si="220"/>
        <v>0</v>
      </c>
      <c r="V250" s="207">
        <f t="shared" si="220"/>
        <v>0</v>
      </c>
      <c r="W250" s="207">
        <f t="shared" si="220"/>
        <v>0</v>
      </c>
      <c r="X250" s="128"/>
      <c r="Y250" s="243">
        <f t="shared" si="194"/>
        <v>0</v>
      </c>
      <c r="Z250" s="129"/>
      <c r="AA250" s="207">
        <f t="shared" ref="AA250:AI250" si="221">IF(OR(AA$24=0,$AG$78=0),0,$AG$162/$AG$78*AA69)</f>
        <v>0</v>
      </c>
      <c r="AB250" s="207">
        <f t="shared" si="221"/>
        <v>0</v>
      </c>
      <c r="AC250" s="207">
        <f t="shared" si="221"/>
        <v>0</v>
      </c>
      <c r="AD250" s="207">
        <f t="shared" si="221"/>
        <v>0</v>
      </c>
      <c r="AE250" s="207">
        <f t="shared" si="221"/>
        <v>0</v>
      </c>
      <c r="AF250" s="207">
        <f t="shared" si="221"/>
        <v>0</v>
      </c>
      <c r="AG250" s="207">
        <f t="shared" si="221"/>
        <v>0</v>
      </c>
      <c r="AH250" s="207">
        <f t="shared" si="221"/>
        <v>0</v>
      </c>
      <c r="AI250" s="207">
        <f t="shared" si="221"/>
        <v>0</v>
      </c>
      <c r="AJ250" s="236"/>
      <c r="AK250" s="243">
        <f t="shared" si="196"/>
        <v>0</v>
      </c>
      <c r="AL250" s="236"/>
      <c r="AM250" s="207">
        <f t="shared" ref="AM250:AU250" si="222">IF(OR(AM$24=0,$AS$78=0),0,$AS$162/$AS$78*AM69)</f>
        <v>0</v>
      </c>
      <c r="AN250" s="207">
        <f t="shared" si="222"/>
        <v>0</v>
      </c>
      <c r="AO250" s="207">
        <f t="shared" si="222"/>
        <v>0</v>
      </c>
      <c r="AP250" s="207">
        <f t="shared" si="222"/>
        <v>0</v>
      </c>
      <c r="AQ250" s="207">
        <f t="shared" si="222"/>
        <v>0</v>
      </c>
      <c r="AR250" s="207">
        <f t="shared" si="222"/>
        <v>0</v>
      </c>
      <c r="AS250" s="207">
        <f t="shared" si="222"/>
        <v>0</v>
      </c>
      <c r="AT250" s="207">
        <f t="shared" si="222"/>
        <v>0</v>
      </c>
      <c r="AU250" s="207">
        <f t="shared" si="222"/>
        <v>0</v>
      </c>
      <c r="AV250" s="236"/>
      <c r="AW250" s="243">
        <f t="shared" si="198"/>
        <v>0</v>
      </c>
      <c r="AX250" s="236"/>
      <c r="AY250" s="207">
        <f t="shared" ref="AY250:BG250" si="223">IF(OR(AY$24=0,$BE$78=0),0,$BE$162/$BE$78*AY69)</f>
        <v>0</v>
      </c>
      <c r="AZ250" s="207">
        <f t="shared" si="223"/>
        <v>0</v>
      </c>
      <c r="BA250" s="207">
        <f t="shared" si="223"/>
        <v>0</v>
      </c>
      <c r="BB250" s="207">
        <f t="shared" si="223"/>
        <v>0</v>
      </c>
      <c r="BC250" s="207">
        <f t="shared" si="223"/>
        <v>0</v>
      </c>
      <c r="BD250" s="207">
        <f t="shared" si="223"/>
        <v>0</v>
      </c>
      <c r="BE250" s="207">
        <f t="shared" si="223"/>
        <v>0</v>
      </c>
      <c r="BF250" s="207">
        <f t="shared" si="223"/>
        <v>0</v>
      </c>
      <c r="BG250" s="207">
        <f t="shared" si="223"/>
        <v>0</v>
      </c>
      <c r="BH250" s="255"/>
    </row>
    <row r="251" spans="1:60">
      <c r="A251" s="645"/>
      <c r="B251" s="492" t="s">
        <v>312</v>
      </c>
      <c r="C251" s="653" t="s">
        <v>111</v>
      </c>
      <c r="D251" s="746"/>
      <c r="E251" s="367" t="str">
        <f>$V$76</f>
        <v>mobiliteit</v>
      </c>
      <c r="F251" s="220"/>
      <c r="G251" s="220"/>
      <c r="H251" s="242" t="s">
        <v>314</v>
      </c>
      <c r="I251" s="129"/>
      <c r="J251" s="243">
        <f t="shared" si="191"/>
        <v>0</v>
      </c>
      <c r="K251" s="236"/>
      <c r="L251" s="236"/>
      <c r="M251" s="243">
        <f t="shared" si="192"/>
        <v>0</v>
      </c>
      <c r="N251" s="129"/>
      <c r="O251" s="207">
        <f t="shared" ref="O251:W251" si="224">IF(OR($V$157=0,O$31=0),0,$V$162/$V$157*O$71/O$31)</f>
        <v>0</v>
      </c>
      <c r="P251" s="207">
        <f t="shared" si="224"/>
        <v>0</v>
      </c>
      <c r="Q251" s="207">
        <f t="shared" si="224"/>
        <v>0</v>
      </c>
      <c r="R251" s="207">
        <f t="shared" si="224"/>
        <v>0</v>
      </c>
      <c r="S251" s="207">
        <f t="shared" si="224"/>
        <v>0</v>
      </c>
      <c r="T251" s="207">
        <f t="shared" si="224"/>
        <v>0</v>
      </c>
      <c r="U251" s="207">
        <f t="shared" si="224"/>
        <v>0</v>
      </c>
      <c r="V251" s="207">
        <f t="shared" si="224"/>
        <v>0</v>
      </c>
      <c r="W251" s="207">
        <f t="shared" si="224"/>
        <v>0</v>
      </c>
      <c r="X251" s="128"/>
      <c r="Y251" s="243">
        <f t="shared" si="194"/>
        <v>0</v>
      </c>
      <c r="Z251" s="129"/>
      <c r="AA251" s="207">
        <f t="shared" ref="AA251:AI251" si="225">IF(OR($AH$157=0,AA$31=0),0,$AH$162/$AH$157*AA$71/AA$31)</f>
        <v>0</v>
      </c>
      <c r="AB251" s="207">
        <f t="shared" si="225"/>
        <v>0</v>
      </c>
      <c r="AC251" s="207">
        <f t="shared" si="225"/>
        <v>0</v>
      </c>
      <c r="AD251" s="207">
        <f t="shared" si="225"/>
        <v>0</v>
      </c>
      <c r="AE251" s="207">
        <f t="shared" si="225"/>
        <v>0</v>
      </c>
      <c r="AF251" s="207">
        <f t="shared" si="225"/>
        <v>0</v>
      </c>
      <c r="AG251" s="207">
        <f t="shared" si="225"/>
        <v>0</v>
      </c>
      <c r="AH251" s="207">
        <f t="shared" si="225"/>
        <v>0</v>
      </c>
      <c r="AI251" s="207">
        <f t="shared" si="225"/>
        <v>0</v>
      </c>
      <c r="AJ251" s="236"/>
      <c r="AK251" s="243">
        <f t="shared" si="196"/>
        <v>0</v>
      </c>
      <c r="AL251" s="236"/>
      <c r="AM251" s="207">
        <f t="shared" ref="AM251:AU251" si="226">IF(OR($AT$157=0,AM$31=0),0,$AT$162/$AT$157*AM$71/AM$31)</f>
        <v>0</v>
      </c>
      <c r="AN251" s="207">
        <f t="shared" si="226"/>
        <v>0</v>
      </c>
      <c r="AO251" s="207">
        <f t="shared" si="226"/>
        <v>0</v>
      </c>
      <c r="AP251" s="207">
        <f t="shared" si="226"/>
        <v>0</v>
      </c>
      <c r="AQ251" s="207">
        <f t="shared" si="226"/>
        <v>0</v>
      </c>
      <c r="AR251" s="207">
        <f t="shared" si="226"/>
        <v>0</v>
      </c>
      <c r="AS251" s="207">
        <f t="shared" si="226"/>
        <v>0</v>
      </c>
      <c r="AT251" s="207">
        <f t="shared" si="226"/>
        <v>0</v>
      </c>
      <c r="AU251" s="207">
        <f t="shared" si="226"/>
        <v>0</v>
      </c>
      <c r="AV251" s="236"/>
      <c r="AW251" s="243">
        <f t="shared" si="198"/>
        <v>0</v>
      </c>
      <c r="AX251" s="236"/>
      <c r="AY251" s="207">
        <f>IF(OR($BF$157=0,AY$24=0),0,$BF$162/$BF$157*AY$71/AY$31)</f>
        <v>0</v>
      </c>
      <c r="AZ251" s="207">
        <f t="shared" ref="AZ251:BG251" si="227">IF(OR($BF$157=0,AZ$31=0),0,$BF$162/$BF$157*AZ$71/AZ$31)</f>
        <v>0</v>
      </c>
      <c r="BA251" s="207">
        <f t="shared" si="227"/>
        <v>0</v>
      </c>
      <c r="BB251" s="207">
        <f t="shared" si="227"/>
        <v>0</v>
      </c>
      <c r="BC251" s="207">
        <f t="shared" si="227"/>
        <v>0</v>
      </c>
      <c r="BD251" s="207">
        <f t="shared" si="227"/>
        <v>0</v>
      </c>
      <c r="BE251" s="207">
        <f t="shared" si="227"/>
        <v>0</v>
      </c>
      <c r="BF251" s="207">
        <f t="shared" si="227"/>
        <v>0</v>
      </c>
      <c r="BG251" s="207">
        <f t="shared" si="227"/>
        <v>0</v>
      </c>
      <c r="BH251" s="255"/>
    </row>
    <row r="252" spans="1:60">
      <c r="A252" s="645"/>
      <c r="B252" s="492" t="s">
        <v>312</v>
      </c>
      <c r="C252" s="653" t="s">
        <v>111</v>
      </c>
      <c r="D252" s="746"/>
      <c r="E252" s="220" t="s">
        <v>315</v>
      </c>
      <c r="F252" s="220"/>
      <c r="G252" s="220"/>
      <c r="H252" s="242" t="s">
        <v>314</v>
      </c>
      <c r="I252" s="129"/>
      <c r="J252" s="243">
        <f t="shared" si="191"/>
        <v>0</v>
      </c>
      <c r="K252" s="236"/>
      <c r="L252" s="236"/>
      <c r="M252" s="243">
        <f>SUM(M244:M251)</f>
        <v>0</v>
      </c>
      <c r="N252" s="129"/>
      <c r="O252" s="207">
        <f t="shared" ref="O252:W252" si="228">SUM(O244:O251)</f>
        <v>0</v>
      </c>
      <c r="P252" s="207">
        <f t="shared" si="228"/>
        <v>0</v>
      </c>
      <c r="Q252" s="207">
        <f t="shared" si="228"/>
        <v>0</v>
      </c>
      <c r="R252" s="207">
        <f t="shared" si="228"/>
        <v>0</v>
      </c>
      <c r="S252" s="207">
        <f t="shared" si="228"/>
        <v>0</v>
      </c>
      <c r="T252" s="207">
        <f>SUM(T244:T251)</f>
        <v>0</v>
      </c>
      <c r="U252" s="207">
        <f t="shared" si="228"/>
        <v>0</v>
      </c>
      <c r="V252" s="207">
        <f t="shared" si="228"/>
        <v>0</v>
      </c>
      <c r="W252" s="207">
        <f t="shared" si="228"/>
        <v>0</v>
      </c>
      <c r="X252" s="128"/>
      <c r="Y252" s="243">
        <f>SUM(Y244:Y251)</f>
        <v>0</v>
      </c>
      <c r="Z252" s="129"/>
      <c r="AA252" s="207">
        <f t="shared" ref="AA252:AI252" si="229">SUM(AA244:AA251)</f>
        <v>0</v>
      </c>
      <c r="AB252" s="207">
        <f t="shared" si="229"/>
        <v>0</v>
      </c>
      <c r="AC252" s="207">
        <f t="shared" si="229"/>
        <v>0</v>
      </c>
      <c r="AD252" s="207">
        <f t="shared" si="229"/>
        <v>0</v>
      </c>
      <c r="AE252" s="207">
        <f t="shared" si="229"/>
        <v>0</v>
      </c>
      <c r="AF252" s="207">
        <f>SUM(AF244:AF251)</f>
        <v>0</v>
      </c>
      <c r="AG252" s="207">
        <f t="shared" si="229"/>
        <v>0</v>
      </c>
      <c r="AH252" s="207">
        <f t="shared" si="229"/>
        <v>0</v>
      </c>
      <c r="AI252" s="207">
        <f t="shared" si="229"/>
        <v>0</v>
      </c>
      <c r="AJ252" s="236"/>
      <c r="AK252" s="243">
        <f t="shared" ref="AK252:AU252" si="230">SUM(AK244:AK251)</f>
        <v>0</v>
      </c>
      <c r="AL252" s="236"/>
      <c r="AM252" s="207">
        <f t="shared" si="230"/>
        <v>0</v>
      </c>
      <c r="AN252" s="207">
        <f t="shared" si="230"/>
        <v>0</v>
      </c>
      <c r="AO252" s="207">
        <f t="shared" si="230"/>
        <v>0</v>
      </c>
      <c r="AP252" s="207">
        <f t="shared" si="230"/>
        <v>0</v>
      </c>
      <c r="AQ252" s="207">
        <f t="shared" si="230"/>
        <v>0</v>
      </c>
      <c r="AR252" s="207">
        <f>SUM(AR244:AR251)</f>
        <v>0</v>
      </c>
      <c r="AS252" s="207">
        <f t="shared" si="230"/>
        <v>0</v>
      </c>
      <c r="AT252" s="207">
        <f t="shared" si="230"/>
        <v>0</v>
      </c>
      <c r="AU252" s="207">
        <f t="shared" si="230"/>
        <v>0</v>
      </c>
      <c r="AV252" s="236"/>
      <c r="AW252" s="243">
        <f>SUM(AW244:AW251)</f>
        <v>0</v>
      </c>
      <c r="AX252" s="236"/>
      <c r="AY252" s="207">
        <f t="shared" ref="AY252:BG252" si="231">SUM(AY244:AY251)</f>
        <v>0</v>
      </c>
      <c r="AZ252" s="207">
        <f t="shared" si="231"/>
        <v>0</v>
      </c>
      <c r="BA252" s="207">
        <f t="shared" si="231"/>
        <v>0</v>
      </c>
      <c r="BB252" s="207">
        <f t="shared" si="231"/>
        <v>0</v>
      </c>
      <c r="BC252" s="207">
        <f t="shared" si="231"/>
        <v>0</v>
      </c>
      <c r="BD252" s="207">
        <f>SUM(BD244:BD251)</f>
        <v>0</v>
      </c>
      <c r="BE252" s="207">
        <f t="shared" si="231"/>
        <v>0</v>
      </c>
      <c r="BF252" s="207">
        <f t="shared" si="231"/>
        <v>0</v>
      </c>
      <c r="BG252" s="207">
        <f t="shared" si="231"/>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2">IF(OR(O$24=0,O$31=0,$M$170+$M$171=0),0,
-(O237*($M$170/($M$170+$M$171))*$M$180*1000)/(O24*O31))</f>
        <v>0</v>
      </c>
      <c r="P254" s="207">
        <f t="shared" si="232"/>
        <v>0</v>
      </c>
      <c r="Q254" s="207">
        <f t="shared" si="232"/>
        <v>0</v>
      </c>
      <c r="R254" s="207">
        <f t="shared" si="232"/>
        <v>0</v>
      </c>
      <c r="S254" s="207">
        <f t="shared" si="232"/>
        <v>0</v>
      </c>
      <c r="T254" s="207">
        <f t="shared" si="232"/>
        <v>0</v>
      </c>
      <c r="U254" s="207">
        <f t="shared" si="232"/>
        <v>0</v>
      </c>
      <c r="V254" s="207">
        <f t="shared" si="232"/>
        <v>0</v>
      </c>
      <c r="W254" s="207">
        <f t="shared" si="232"/>
        <v>0</v>
      </c>
      <c r="X254" s="128"/>
      <c r="Y254" s="243">
        <f>SUMPRODUCT(Z254:AJ254,Z$24:AJ$24,Z$31:AJ$31)/1000</f>
        <v>0</v>
      </c>
      <c r="Z254" s="129"/>
      <c r="AA254" s="207">
        <f t="shared" ref="AA254:AI254" si="233">IF(OR(AA$19="-",AA$24=0,AA$31=0,$Y$170+$Y$171=0),0,
-(AA237*($Y$170/($Y$170+$Y$171))*$Y$180*1000)/(AA24*AA31))</f>
        <v>0</v>
      </c>
      <c r="AB254" s="207">
        <f t="shared" si="233"/>
        <v>0</v>
      </c>
      <c r="AC254" s="207">
        <f t="shared" si="233"/>
        <v>0</v>
      </c>
      <c r="AD254" s="207">
        <f t="shared" si="233"/>
        <v>0</v>
      </c>
      <c r="AE254" s="207">
        <f t="shared" si="233"/>
        <v>0</v>
      </c>
      <c r="AF254" s="207">
        <f t="shared" si="233"/>
        <v>0</v>
      </c>
      <c r="AG254" s="207">
        <f t="shared" si="233"/>
        <v>0</v>
      </c>
      <c r="AH254" s="207">
        <f t="shared" si="233"/>
        <v>0</v>
      </c>
      <c r="AI254" s="207">
        <f t="shared" si="233"/>
        <v>0</v>
      </c>
      <c r="AJ254" s="128"/>
      <c r="AK254" s="243">
        <f>SUMPRODUCT(AL254:AV254,AL$24:AV$24,AL$31:AV$31)/1000</f>
        <v>0</v>
      </c>
      <c r="AL254" s="129"/>
      <c r="AM254" s="207">
        <f t="shared" ref="AM254:AU254" si="234">IF(OR(AM$24=0,AM$31=0,$AK$170+$AK$171=0),0,
-AM237*($AK$170/($AK$170+$AK$171))*$AK$180*1000/(AM24*AM31))</f>
        <v>0</v>
      </c>
      <c r="AN254" s="207">
        <f t="shared" si="234"/>
        <v>0</v>
      </c>
      <c r="AO254" s="207">
        <f t="shared" si="234"/>
        <v>0</v>
      </c>
      <c r="AP254" s="207">
        <f t="shared" si="234"/>
        <v>0</v>
      </c>
      <c r="AQ254" s="207">
        <f t="shared" si="234"/>
        <v>0</v>
      </c>
      <c r="AR254" s="207">
        <f t="shared" si="234"/>
        <v>0</v>
      </c>
      <c r="AS254" s="207">
        <f t="shared" si="234"/>
        <v>0</v>
      </c>
      <c r="AT254" s="207">
        <f t="shared" si="234"/>
        <v>0</v>
      </c>
      <c r="AU254" s="207">
        <f t="shared" si="234"/>
        <v>0</v>
      </c>
      <c r="AV254" s="128"/>
      <c r="AW254" s="243">
        <f>SUMPRODUCT(AX254:BH254,AX$24:BH$24,AX$31:BH$31)/1000</f>
        <v>0</v>
      </c>
      <c r="AX254" s="129"/>
      <c r="AY254" s="207">
        <f t="shared" ref="AY254:BG254" si="235">IF(OR(AY$24=0,AY$31=0,$AW$170+$AW$171=0),0,
-AY237*($AW$170/($AW$170+$AW$171))*$AW$180*1000/(AY24*AY31))</f>
        <v>0</v>
      </c>
      <c r="AZ254" s="207">
        <f t="shared" si="235"/>
        <v>0</v>
      </c>
      <c r="BA254" s="207">
        <f t="shared" si="235"/>
        <v>0</v>
      </c>
      <c r="BB254" s="207">
        <f t="shared" si="235"/>
        <v>0</v>
      </c>
      <c r="BC254" s="207">
        <f t="shared" si="235"/>
        <v>0</v>
      </c>
      <c r="BD254" s="207">
        <f t="shared" si="235"/>
        <v>0</v>
      </c>
      <c r="BE254" s="207">
        <f t="shared" si="235"/>
        <v>0</v>
      </c>
      <c r="BF254" s="207">
        <f t="shared" si="235"/>
        <v>0</v>
      </c>
      <c r="BG254" s="207">
        <f t="shared" si="235"/>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36">IF(OR(O$24=0,O$31=0,$M$170+$M$171=0),0,
-O73*($M$180/($M$170+$M$171))/O31)</f>
        <v>0</v>
      </c>
      <c r="P255" s="207">
        <f t="shared" si="236"/>
        <v>0</v>
      </c>
      <c r="Q255" s="207">
        <f t="shared" si="236"/>
        <v>0</v>
      </c>
      <c r="R255" s="207">
        <f t="shared" si="236"/>
        <v>0</v>
      </c>
      <c r="S255" s="207">
        <f t="shared" si="236"/>
        <v>0</v>
      </c>
      <c r="T255" s="207">
        <f t="shared" si="236"/>
        <v>0</v>
      </c>
      <c r="U255" s="207">
        <f t="shared" si="236"/>
        <v>0</v>
      </c>
      <c r="V255" s="207">
        <f t="shared" si="236"/>
        <v>0</v>
      </c>
      <c r="W255" s="207">
        <f t="shared" si="236"/>
        <v>0</v>
      </c>
      <c r="X255" s="128"/>
      <c r="Y255" s="243">
        <f>SUMPRODUCT(Z255:AJ255,Z$24:AJ$24,Z$31:AJ$31)/1000</f>
        <v>0</v>
      </c>
      <c r="Z255" s="129"/>
      <c r="AA255" s="207">
        <f t="shared" ref="AA255:AI255" si="237">IF(OR(AA$24=0,AA$31=0,$Y$170+$Y$171=0),0,
-AA73*($Y$180/($Y$170+$Y$171))/AA31)</f>
        <v>0</v>
      </c>
      <c r="AB255" s="207">
        <f t="shared" si="237"/>
        <v>0</v>
      </c>
      <c r="AC255" s="207">
        <f t="shared" si="237"/>
        <v>0</v>
      </c>
      <c r="AD255" s="207">
        <f t="shared" si="237"/>
        <v>0</v>
      </c>
      <c r="AE255" s="207">
        <f t="shared" si="237"/>
        <v>0</v>
      </c>
      <c r="AF255" s="207">
        <f t="shared" si="237"/>
        <v>0</v>
      </c>
      <c r="AG255" s="207">
        <f t="shared" si="237"/>
        <v>0</v>
      </c>
      <c r="AH255" s="207">
        <f t="shared" si="237"/>
        <v>0</v>
      </c>
      <c r="AI255" s="207">
        <f t="shared" si="237"/>
        <v>0</v>
      </c>
      <c r="AJ255" s="128"/>
      <c r="AK255" s="243">
        <f>SUMPRODUCT(AL255:AV255,AL$24:AV$24,AL$31:AV$31)/1000</f>
        <v>0</v>
      </c>
      <c r="AL255" s="129"/>
      <c r="AM255" s="207">
        <f t="shared" ref="AM255:AU255" si="238">IF(OR(AM$24=0,AM$31=0,$AK$170+$AK$171=0),0,
-AM73*($AK$180/($AK$170+$AK$171))/AM31)</f>
        <v>0</v>
      </c>
      <c r="AN255" s="207">
        <f t="shared" si="238"/>
        <v>0</v>
      </c>
      <c r="AO255" s="207">
        <f t="shared" si="238"/>
        <v>0</v>
      </c>
      <c r="AP255" s="207">
        <f t="shared" si="238"/>
        <v>0</v>
      </c>
      <c r="AQ255" s="207">
        <f t="shared" si="238"/>
        <v>0</v>
      </c>
      <c r="AR255" s="207">
        <f t="shared" si="238"/>
        <v>0</v>
      </c>
      <c r="AS255" s="207">
        <f t="shared" si="238"/>
        <v>0</v>
      </c>
      <c r="AT255" s="207">
        <f t="shared" si="238"/>
        <v>0</v>
      </c>
      <c r="AU255" s="207">
        <f t="shared" si="238"/>
        <v>0</v>
      </c>
      <c r="AV255" s="128"/>
      <c r="AW255" s="243">
        <f>SUMPRODUCT(AX255:BH255,AX$24:BH$24,AX$31:BH$31)/1000</f>
        <v>0</v>
      </c>
      <c r="AX255" s="129"/>
      <c r="AY255" s="207">
        <f t="shared" ref="AY255:BG255" si="239">IF(OR(AY$24=0,AY$31=0,$AW$170+$AW$171=0),0,
-AY73*($AW$180/($AW$170+$AW$171))/AY31)</f>
        <v>0</v>
      </c>
      <c r="AZ255" s="207">
        <f t="shared" si="239"/>
        <v>0</v>
      </c>
      <c r="BA255" s="207">
        <f t="shared" si="239"/>
        <v>0</v>
      </c>
      <c r="BB255" s="207">
        <f t="shared" si="239"/>
        <v>0</v>
      </c>
      <c r="BC255" s="207">
        <f t="shared" si="239"/>
        <v>0</v>
      </c>
      <c r="BD255" s="207">
        <f t="shared" si="239"/>
        <v>0</v>
      </c>
      <c r="BE255" s="207">
        <f t="shared" si="239"/>
        <v>0</v>
      </c>
      <c r="BF255" s="207">
        <f t="shared" si="239"/>
        <v>0</v>
      </c>
      <c r="BG255" s="207">
        <f t="shared" si="239"/>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0">P254+P255</f>
        <v>0</v>
      </c>
      <c r="Q256" s="207">
        <f t="shared" si="240"/>
        <v>0</v>
      </c>
      <c r="R256" s="207">
        <f t="shared" si="240"/>
        <v>0</v>
      </c>
      <c r="S256" s="207">
        <f t="shared" si="240"/>
        <v>0</v>
      </c>
      <c r="T256" s="207">
        <f>T254+T255</f>
        <v>0</v>
      </c>
      <c r="U256" s="207">
        <f t="shared" si="240"/>
        <v>0</v>
      </c>
      <c r="V256" s="207">
        <f t="shared" si="240"/>
        <v>0</v>
      </c>
      <c r="W256" s="207">
        <f t="shared" si="240"/>
        <v>0</v>
      </c>
      <c r="X256" s="128"/>
      <c r="Y256" s="243">
        <f>Y254+Y255</f>
        <v>0</v>
      </c>
      <c r="Z256" s="129"/>
      <c r="AA256" s="207">
        <f>AA254+AA255</f>
        <v>0</v>
      </c>
      <c r="AB256" s="207">
        <f t="shared" ref="AB256:AI256" si="241">AB254+AB255</f>
        <v>0</v>
      </c>
      <c r="AC256" s="207">
        <f t="shared" si="241"/>
        <v>0</v>
      </c>
      <c r="AD256" s="207">
        <f t="shared" si="241"/>
        <v>0</v>
      </c>
      <c r="AE256" s="207">
        <f t="shared" si="241"/>
        <v>0</v>
      </c>
      <c r="AF256" s="207">
        <f>AF254+AF255</f>
        <v>0</v>
      </c>
      <c r="AG256" s="207">
        <f t="shared" si="241"/>
        <v>0</v>
      </c>
      <c r="AH256" s="207">
        <f t="shared" si="241"/>
        <v>0</v>
      </c>
      <c r="AI256" s="207">
        <f t="shared" si="241"/>
        <v>0</v>
      </c>
      <c r="AJ256" s="128"/>
      <c r="AK256" s="243">
        <f>AK254+AK255</f>
        <v>0</v>
      </c>
      <c r="AL256" s="129"/>
      <c r="AM256" s="207">
        <f>AM254+AM255</f>
        <v>0</v>
      </c>
      <c r="AN256" s="207">
        <f t="shared" ref="AN256:AU256" si="242">AN254+AN255</f>
        <v>0</v>
      </c>
      <c r="AO256" s="207">
        <f t="shared" si="242"/>
        <v>0</v>
      </c>
      <c r="AP256" s="207">
        <f t="shared" si="242"/>
        <v>0</v>
      </c>
      <c r="AQ256" s="207">
        <f t="shared" si="242"/>
        <v>0</v>
      </c>
      <c r="AR256" s="207">
        <f>AR254+AR255</f>
        <v>0</v>
      </c>
      <c r="AS256" s="207">
        <f t="shared" si="242"/>
        <v>0</v>
      </c>
      <c r="AT256" s="207">
        <f t="shared" si="242"/>
        <v>0</v>
      </c>
      <c r="AU256" s="207">
        <f t="shared" si="242"/>
        <v>0</v>
      </c>
      <c r="AV256" s="128"/>
      <c r="AW256" s="243">
        <f>AW254+AW255</f>
        <v>0</v>
      </c>
      <c r="AX256" s="129"/>
      <c r="AY256" s="207">
        <f>AY254+AY255</f>
        <v>0</v>
      </c>
      <c r="AZ256" s="207">
        <f t="shared" ref="AZ256:BG256" si="243">AZ254+AZ255</f>
        <v>0</v>
      </c>
      <c r="BA256" s="207">
        <f t="shared" si="243"/>
        <v>0</v>
      </c>
      <c r="BB256" s="207">
        <f t="shared" si="243"/>
        <v>0</v>
      </c>
      <c r="BC256" s="207">
        <f t="shared" si="243"/>
        <v>0</v>
      </c>
      <c r="BD256" s="207">
        <f>BD254+BD255</f>
        <v>0</v>
      </c>
      <c r="BE256" s="207">
        <f t="shared" si="243"/>
        <v>0</v>
      </c>
      <c r="BF256" s="207">
        <f t="shared" si="243"/>
        <v>0</v>
      </c>
      <c r="BG256" s="207">
        <f t="shared" si="243"/>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44">P252+P256</f>
        <v>0</v>
      </c>
      <c r="Q258" s="207">
        <f t="shared" si="244"/>
        <v>0</v>
      </c>
      <c r="R258" s="207">
        <f t="shared" si="244"/>
        <v>0</v>
      </c>
      <c r="S258" s="207">
        <f t="shared" si="244"/>
        <v>0</v>
      </c>
      <c r="T258" s="207">
        <f>T252+T256</f>
        <v>0</v>
      </c>
      <c r="U258" s="207">
        <f t="shared" si="244"/>
        <v>0</v>
      </c>
      <c r="V258" s="207">
        <f t="shared" si="244"/>
        <v>0</v>
      </c>
      <c r="W258" s="207">
        <f t="shared" si="244"/>
        <v>0</v>
      </c>
      <c r="X258" s="128"/>
      <c r="Y258" s="243">
        <f>Y252+Y256</f>
        <v>0</v>
      </c>
      <c r="Z258" s="129"/>
      <c r="AA258" s="207">
        <f>AA252+AA256</f>
        <v>0</v>
      </c>
      <c r="AB258" s="207">
        <f t="shared" ref="AB258:AI258" si="245">AB252+AB256</f>
        <v>0</v>
      </c>
      <c r="AC258" s="207">
        <f t="shared" si="245"/>
        <v>0</v>
      </c>
      <c r="AD258" s="207">
        <f t="shared" si="245"/>
        <v>0</v>
      </c>
      <c r="AE258" s="207">
        <f t="shared" si="245"/>
        <v>0</v>
      </c>
      <c r="AF258" s="207">
        <f>AF252+AF256</f>
        <v>0</v>
      </c>
      <c r="AG258" s="207">
        <f t="shared" si="245"/>
        <v>0</v>
      </c>
      <c r="AH258" s="207">
        <f t="shared" si="245"/>
        <v>0</v>
      </c>
      <c r="AI258" s="207">
        <f t="shared" si="245"/>
        <v>0</v>
      </c>
      <c r="AJ258" s="128"/>
      <c r="AK258" s="243">
        <f>AK252+AK256</f>
        <v>0</v>
      </c>
      <c r="AL258" s="129"/>
      <c r="AM258" s="207">
        <f>AM252+AM256</f>
        <v>0</v>
      </c>
      <c r="AN258" s="207">
        <f t="shared" ref="AN258:AU258" si="246">AN252+AN256</f>
        <v>0</v>
      </c>
      <c r="AO258" s="207">
        <f t="shared" si="246"/>
        <v>0</v>
      </c>
      <c r="AP258" s="207">
        <f t="shared" si="246"/>
        <v>0</v>
      </c>
      <c r="AQ258" s="207">
        <f t="shared" si="246"/>
        <v>0</v>
      </c>
      <c r="AR258" s="207">
        <f>AR252+AR256</f>
        <v>0</v>
      </c>
      <c r="AS258" s="207">
        <f t="shared" si="246"/>
        <v>0</v>
      </c>
      <c r="AT258" s="207">
        <f t="shared" si="246"/>
        <v>0</v>
      </c>
      <c r="AU258" s="207">
        <f t="shared" si="246"/>
        <v>0</v>
      </c>
      <c r="AV258" s="128"/>
      <c r="AW258" s="243">
        <f>AW252+AW256</f>
        <v>0</v>
      </c>
      <c r="AX258" s="129"/>
      <c r="AY258" s="207">
        <f>AY252+AY256</f>
        <v>0</v>
      </c>
      <c r="AZ258" s="207">
        <f t="shared" ref="AZ258:BG258" si="247">AZ252+AZ256</f>
        <v>0</v>
      </c>
      <c r="BA258" s="207">
        <f t="shared" si="247"/>
        <v>0</v>
      </c>
      <c r="BB258" s="207">
        <f t="shared" si="247"/>
        <v>0</v>
      </c>
      <c r="BC258" s="207">
        <f t="shared" si="247"/>
        <v>0</v>
      </c>
      <c r="BD258" s="207">
        <f>BD252+BD256</f>
        <v>0</v>
      </c>
      <c r="BE258" s="207">
        <f t="shared" si="247"/>
        <v>0</v>
      </c>
      <c r="BF258" s="207">
        <f t="shared" si="247"/>
        <v>0</v>
      </c>
      <c r="BG258" s="207">
        <f t="shared" si="247"/>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48">O258+(O244+O254)*($M$54-1)</f>
        <v>0</v>
      </c>
      <c r="P260" s="207">
        <f t="shared" si="248"/>
        <v>0</v>
      </c>
      <c r="Q260" s="207">
        <f t="shared" si="248"/>
        <v>0</v>
      </c>
      <c r="R260" s="207">
        <f t="shared" si="248"/>
        <v>0</v>
      </c>
      <c r="S260" s="207">
        <f t="shared" si="248"/>
        <v>0</v>
      </c>
      <c r="T260" s="207">
        <f t="shared" si="248"/>
        <v>0</v>
      </c>
      <c r="U260" s="207">
        <f t="shared" si="248"/>
        <v>0</v>
      </c>
      <c r="V260" s="207">
        <f t="shared" si="248"/>
        <v>0</v>
      </c>
      <c r="W260" s="207">
        <f t="shared" si="248"/>
        <v>0</v>
      </c>
      <c r="X260" s="128"/>
      <c r="Y260" s="375">
        <f>SUMPRODUCT(Z260:AJ260,Z$24:AJ$24,Z$31:AJ$31)/1000</f>
        <v>0</v>
      </c>
      <c r="Z260" s="129"/>
      <c r="AA260" s="207">
        <f t="shared" ref="AA260:AI260" si="249">AA258+(AA244+AA254)*($Y$54-1)</f>
        <v>0</v>
      </c>
      <c r="AB260" s="207">
        <f t="shared" si="249"/>
        <v>0</v>
      </c>
      <c r="AC260" s="207">
        <f t="shared" si="249"/>
        <v>0</v>
      </c>
      <c r="AD260" s="207">
        <f t="shared" si="249"/>
        <v>0</v>
      </c>
      <c r="AE260" s="207">
        <f t="shared" si="249"/>
        <v>0</v>
      </c>
      <c r="AF260" s="207">
        <f t="shared" si="249"/>
        <v>0</v>
      </c>
      <c r="AG260" s="207">
        <f t="shared" si="249"/>
        <v>0</v>
      </c>
      <c r="AH260" s="207">
        <f t="shared" si="249"/>
        <v>0</v>
      </c>
      <c r="AI260" s="207">
        <f t="shared" si="249"/>
        <v>0</v>
      </c>
      <c r="AJ260" s="128"/>
      <c r="AK260" s="375">
        <f>SUMPRODUCT(AL260:AV260,AL$24:AV$24,AL$31:AV$31)/1000</f>
        <v>0</v>
      </c>
      <c r="AL260" s="129"/>
      <c r="AM260" s="207">
        <f t="shared" ref="AM260:AU260" si="250">AM258+(AM244+AM254)*($AK$54-1)</f>
        <v>0</v>
      </c>
      <c r="AN260" s="207">
        <f t="shared" si="250"/>
        <v>0</v>
      </c>
      <c r="AO260" s="207">
        <f t="shared" si="250"/>
        <v>0</v>
      </c>
      <c r="AP260" s="207">
        <f t="shared" si="250"/>
        <v>0</v>
      </c>
      <c r="AQ260" s="207">
        <f t="shared" si="250"/>
        <v>0</v>
      </c>
      <c r="AR260" s="207">
        <f t="shared" si="250"/>
        <v>0</v>
      </c>
      <c r="AS260" s="207">
        <f t="shared" si="250"/>
        <v>0</v>
      </c>
      <c r="AT260" s="207">
        <f t="shared" si="250"/>
        <v>0</v>
      </c>
      <c r="AU260" s="207">
        <f t="shared" si="250"/>
        <v>0</v>
      </c>
      <c r="AV260" s="128"/>
      <c r="AW260" s="375">
        <f>SUMPRODUCT(AX260:BH260,AX$24:BH$24,AX$31:BH$31)/1000</f>
        <v>0</v>
      </c>
      <c r="AX260" s="129"/>
      <c r="AY260" s="207">
        <f t="shared" ref="AY260:BG260" si="251">AY258+(AY244+AY254)*($AW$54-1)</f>
        <v>0</v>
      </c>
      <c r="AZ260" s="207">
        <f t="shared" si="251"/>
        <v>0</v>
      </c>
      <c r="BA260" s="207">
        <f t="shared" si="251"/>
        <v>0</v>
      </c>
      <c r="BB260" s="207">
        <f t="shared" si="251"/>
        <v>0</v>
      </c>
      <c r="BC260" s="207">
        <f t="shared" si="251"/>
        <v>0</v>
      </c>
      <c r="BD260" s="207">
        <f t="shared" si="251"/>
        <v>0</v>
      </c>
      <c r="BE260" s="207">
        <f t="shared" si="251"/>
        <v>0</v>
      </c>
      <c r="BF260" s="207">
        <f t="shared" si="251"/>
        <v>0</v>
      </c>
      <c r="BG260" s="207">
        <f t="shared" si="251"/>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0"/>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2">O$17</f>
        <v/>
      </c>
      <c r="P263" s="320" t="str">
        <f t="shared" si="252"/>
        <v/>
      </c>
      <c r="Q263" s="320" t="str">
        <f t="shared" si="252"/>
        <v/>
      </c>
      <c r="R263" s="320" t="str">
        <f t="shared" si="252"/>
        <v/>
      </c>
      <c r="S263" s="320" t="str">
        <f t="shared" si="252"/>
        <v/>
      </c>
      <c r="T263" s="320" t="str">
        <f t="shared" si="252"/>
        <v/>
      </c>
      <c r="U263" s="320" t="str">
        <f t="shared" si="252"/>
        <v/>
      </c>
      <c r="V263" s="320" t="str">
        <f t="shared" si="252"/>
        <v/>
      </c>
      <c r="W263" s="320" t="str">
        <f t="shared" si="252"/>
        <v/>
      </c>
      <c r="X263" s="214"/>
      <c r="Y263" s="318"/>
      <c r="Z263" s="222"/>
      <c r="AA263" s="320" t="str">
        <f t="shared" ref="AA263:AI263" si="253">AA$17</f>
        <v/>
      </c>
      <c r="AB263" s="320" t="str">
        <f t="shared" si="253"/>
        <v/>
      </c>
      <c r="AC263" s="320" t="str">
        <f t="shared" si="253"/>
        <v/>
      </c>
      <c r="AD263" s="320" t="str">
        <f t="shared" si="253"/>
        <v/>
      </c>
      <c r="AE263" s="320" t="str">
        <f t="shared" si="253"/>
        <v/>
      </c>
      <c r="AF263" s="320" t="str">
        <f t="shared" si="253"/>
        <v/>
      </c>
      <c r="AG263" s="320" t="str">
        <f t="shared" si="253"/>
        <v/>
      </c>
      <c r="AH263" s="320" t="str">
        <f t="shared" si="253"/>
        <v/>
      </c>
      <c r="AI263" s="320" t="str">
        <f t="shared" si="253"/>
        <v/>
      </c>
      <c r="AJ263" s="214"/>
      <c r="AK263" s="318"/>
      <c r="AL263" s="222"/>
      <c r="AM263" s="320" t="str">
        <f>AM$17</f>
        <v/>
      </c>
      <c r="AN263" s="320" t="str">
        <f t="shared" ref="AN263:AU263" si="254">AN$17</f>
        <v/>
      </c>
      <c r="AO263" s="320" t="str">
        <f t="shared" si="254"/>
        <v/>
      </c>
      <c r="AP263" s="320" t="str">
        <f t="shared" si="254"/>
        <v/>
      </c>
      <c r="AQ263" s="320" t="str">
        <f t="shared" si="254"/>
        <v/>
      </c>
      <c r="AR263" s="320" t="str">
        <f t="shared" si="254"/>
        <v/>
      </c>
      <c r="AS263" s="320" t="str">
        <f t="shared" si="254"/>
        <v/>
      </c>
      <c r="AT263" s="320" t="str">
        <f t="shared" si="254"/>
        <v/>
      </c>
      <c r="AU263" s="320" t="str">
        <f t="shared" si="254"/>
        <v/>
      </c>
      <c r="AV263" s="214"/>
      <c r="AW263" s="318"/>
      <c r="AX263" s="222"/>
      <c r="AY263" s="320" t="str">
        <f>AY$17</f>
        <v/>
      </c>
      <c r="AZ263" s="320" t="str">
        <f t="shared" ref="AZ263:BG263" si="255">AZ$17</f>
        <v/>
      </c>
      <c r="BA263" s="320" t="str">
        <f t="shared" si="255"/>
        <v/>
      </c>
      <c r="BB263" s="320" t="str">
        <f t="shared" si="255"/>
        <v/>
      </c>
      <c r="BC263" s="320" t="str">
        <f t="shared" si="255"/>
        <v/>
      </c>
      <c r="BD263" s="320" t="str">
        <f t="shared" si="255"/>
        <v/>
      </c>
      <c r="BE263" s="320" t="str">
        <f t="shared" si="255"/>
        <v/>
      </c>
      <c r="BF263" s="320" t="str">
        <f t="shared" si="255"/>
        <v/>
      </c>
      <c r="BG263" s="320" t="str">
        <f t="shared" si="255"/>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56">IF(OR(O$19="",O$24=0,O$31=0),"",O$258-O$251-O$250-IF(OR(O$21=woning,O$21=woongebouw),O247,0))</f>
        <v/>
      </c>
      <c r="P265" s="207" t="str">
        <f t="shared" si="256"/>
        <v/>
      </c>
      <c r="Q265" s="207" t="str">
        <f t="shared" si="256"/>
        <v/>
      </c>
      <c r="R265" s="207" t="str">
        <f t="shared" si="256"/>
        <v/>
      </c>
      <c r="S265" s="207" t="str">
        <f t="shared" si="256"/>
        <v/>
      </c>
      <c r="T265" s="207" t="str">
        <f t="shared" si="256"/>
        <v/>
      </c>
      <c r="U265" s="207" t="str">
        <f t="shared" si="256"/>
        <v/>
      </c>
      <c r="V265" s="207" t="str">
        <f t="shared" si="256"/>
        <v/>
      </c>
      <c r="W265" s="207" t="str">
        <f t="shared" si="256"/>
        <v/>
      </c>
      <c r="X265" s="128"/>
      <c r="Y265" s="243">
        <f>SUMPRODUCT(Z265:AJ265,Z$32:AJ$32)/1000</f>
        <v>0</v>
      </c>
      <c r="Z265" s="129"/>
      <c r="AA265" s="207" t="str">
        <f t="shared" ref="AA265:AI265" si="257">IF(OR(AA$19="",AA$24=0,AA$31=0),"",AA$258-AA$251-AA$250-IF(OR(AA$21=woning,AA$21=woongebouw),AA247,0))</f>
        <v/>
      </c>
      <c r="AB265" s="207" t="str">
        <f t="shared" si="257"/>
        <v/>
      </c>
      <c r="AC265" s="207" t="str">
        <f t="shared" si="257"/>
        <v/>
      </c>
      <c r="AD265" s="207" t="str">
        <f t="shared" si="257"/>
        <v/>
      </c>
      <c r="AE265" s="207" t="str">
        <f t="shared" si="257"/>
        <v/>
      </c>
      <c r="AF265" s="207" t="str">
        <f t="shared" si="257"/>
        <v/>
      </c>
      <c r="AG265" s="207" t="str">
        <f t="shared" si="257"/>
        <v/>
      </c>
      <c r="AH265" s="207" t="str">
        <f t="shared" si="257"/>
        <v/>
      </c>
      <c r="AI265" s="207" t="str">
        <f t="shared" si="257"/>
        <v/>
      </c>
      <c r="AJ265" s="128"/>
      <c r="AK265" s="243">
        <f>SUMPRODUCT(AL265:AV265,AL$32:AV$32)/1000</f>
        <v>0</v>
      </c>
      <c r="AL265" s="129"/>
      <c r="AM265" s="207" t="str">
        <f t="shared" ref="AM265:AU265" si="258">IF(OR(AM$19="",AM$24=0,AM$31=0),"",AM$258-AM$251-AM$250-IF(OR(AM$21=woning,AM$21=woongebouw),AM247,0))</f>
        <v/>
      </c>
      <c r="AN265" s="207" t="str">
        <f t="shared" si="258"/>
        <v/>
      </c>
      <c r="AO265" s="207" t="str">
        <f t="shared" si="258"/>
        <v/>
      </c>
      <c r="AP265" s="207" t="str">
        <f t="shared" si="258"/>
        <v/>
      </c>
      <c r="AQ265" s="207" t="str">
        <f t="shared" si="258"/>
        <v/>
      </c>
      <c r="AR265" s="207" t="str">
        <f t="shared" si="258"/>
        <v/>
      </c>
      <c r="AS265" s="207" t="str">
        <f t="shared" si="258"/>
        <v/>
      </c>
      <c r="AT265" s="207" t="str">
        <f t="shared" si="258"/>
        <v/>
      </c>
      <c r="AU265" s="207" t="str">
        <f t="shared" si="258"/>
        <v/>
      </c>
      <c r="AV265" s="128"/>
      <c r="AW265" s="243">
        <f>SUMPRODUCT(AX265:BH265,AX$32:BH$32)/1000</f>
        <v>0</v>
      </c>
      <c r="AX265" s="129"/>
      <c r="AY265" s="207" t="str">
        <f t="shared" ref="AY265:BG265" si="259">IF(OR(AY$19="",AY$24=0,AY$31=0),"",AY$258-AY$251-AY$250-IF(OR(AY$21=woning,AY$21=woongebouw),AY247,0))</f>
        <v/>
      </c>
      <c r="AZ265" s="207" t="str">
        <f t="shared" si="259"/>
        <v/>
      </c>
      <c r="BA265" s="207" t="str">
        <f t="shared" si="259"/>
        <v/>
      </c>
      <c r="BB265" s="207" t="str">
        <f t="shared" si="259"/>
        <v/>
      </c>
      <c r="BC265" s="207" t="str">
        <f t="shared" si="259"/>
        <v/>
      </c>
      <c r="BD265" s="207" t="str">
        <f t="shared" si="259"/>
        <v/>
      </c>
      <c r="BE265" s="207" t="str">
        <f t="shared" si="259"/>
        <v/>
      </c>
      <c r="BF265" s="207" t="str">
        <f t="shared" si="259"/>
        <v/>
      </c>
      <c r="BG265" s="207" t="str">
        <f t="shared" si="259"/>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0">M267+Y267+AK267+AW267</f>
        <v>0</v>
      </c>
      <c r="K267" s="236"/>
      <c r="L267" s="236"/>
      <c r="M267" s="243">
        <f t="shared" ref="M267:M272" si="261">SUMPRODUCT(N267:X267,N$32:X$32)/1000</f>
        <v>0</v>
      </c>
      <c r="N267" s="129"/>
      <c r="O267" s="207" t="str">
        <f t="shared" ref="O267:W267" si="262">IF(OR(O$19="",O$24=0,O$31=0),"",
(O$237*$O212+O$238*$P212+O$239*$Q212)*1000/(O$24*O$31))</f>
        <v/>
      </c>
      <c r="P267" s="207" t="str">
        <f t="shared" si="262"/>
        <v/>
      </c>
      <c r="Q267" s="207" t="str">
        <f t="shared" si="262"/>
        <v/>
      </c>
      <c r="R267" s="207" t="str">
        <f t="shared" si="262"/>
        <v/>
      </c>
      <c r="S267" s="207" t="str">
        <f t="shared" si="262"/>
        <v/>
      </c>
      <c r="T267" s="207" t="str">
        <f t="shared" si="262"/>
        <v/>
      </c>
      <c r="U267" s="207" t="str">
        <f t="shared" si="262"/>
        <v/>
      </c>
      <c r="V267" s="207" t="str">
        <f t="shared" si="262"/>
        <v/>
      </c>
      <c r="W267" s="207" t="str">
        <f t="shared" si="262"/>
        <v/>
      </c>
      <c r="X267" s="128"/>
      <c r="Y267" s="243">
        <f t="shared" ref="Y267:Y272" si="263">SUMPRODUCT(Z267:AJ267,Z$32:AJ$32)/1000</f>
        <v>0</v>
      </c>
      <c r="Z267" s="129"/>
      <c r="AA267" s="207" t="str">
        <f t="shared" ref="AA267:AI267" si="264">IF(OR(AA$19="",AA$24=0,AA$31=0),"",
(AA$237*$AA212+AA$238*$AB212+AA$239*$AC212)*1000/(AA$24*AA$31))</f>
        <v/>
      </c>
      <c r="AB267" s="207" t="str">
        <f t="shared" si="264"/>
        <v/>
      </c>
      <c r="AC267" s="207" t="str">
        <f t="shared" si="264"/>
        <v/>
      </c>
      <c r="AD267" s="207" t="str">
        <f t="shared" si="264"/>
        <v/>
      </c>
      <c r="AE267" s="207" t="str">
        <f t="shared" si="264"/>
        <v/>
      </c>
      <c r="AF267" s="207" t="str">
        <f t="shared" si="264"/>
        <v/>
      </c>
      <c r="AG267" s="207" t="str">
        <f t="shared" si="264"/>
        <v/>
      </c>
      <c r="AH267" s="207" t="str">
        <f t="shared" si="264"/>
        <v/>
      </c>
      <c r="AI267" s="207" t="str">
        <f t="shared" si="264"/>
        <v/>
      </c>
      <c r="AJ267" s="128"/>
      <c r="AK267" s="243">
        <f t="shared" ref="AK267:AK272" si="265">SUMPRODUCT(AL267:AV267,AL$32:AV$32)/1000</f>
        <v>0</v>
      </c>
      <c r="AL267" s="129"/>
      <c r="AM267" s="207" t="str">
        <f t="shared" ref="AM267:AU267" si="266">IF(OR(AM$19="",AM$24=0,AM$31=0),"",
(AM$237*$AM212+AM$238*$AN212+AM$239*$AO212)*1000/(AM$24*AM$31))</f>
        <v/>
      </c>
      <c r="AN267" s="207" t="str">
        <f t="shared" si="266"/>
        <v/>
      </c>
      <c r="AO267" s="207" t="str">
        <f t="shared" si="266"/>
        <v/>
      </c>
      <c r="AP267" s="207" t="str">
        <f t="shared" si="266"/>
        <v/>
      </c>
      <c r="AQ267" s="207" t="str">
        <f t="shared" si="266"/>
        <v/>
      </c>
      <c r="AR267" s="207" t="str">
        <f t="shared" si="266"/>
        <v/>
      </c>
      <c r="AS267" s="207" t="str">
        <f t="shared" si="266"/>
        <v/>
      </c>
      <c r="AT267" s="207" t="str">
        <f t="shared" si="266"/>
        <v/>
      </c>
      <c r="AU267" s="207" t="str">
        <f t="shared" si="266"/>
        <v/>
      </c>
      <c r="AV267" s="128"/>
      <c r="AW267" s="243">
        <f t="shared" ref="AW267:AW272" si="267">SUMPRODUCT(AX267:BH267,AX$32:BH$32)/1000</f>
        <v>0</v>
      </c>
      <c r="AX267" s="129"/>
      <c r="AY267" s="207" t="str">
        <f t="shared" ref="AY267:BG267" si="268">IF(OR(AY$19="",AY$24=0,AY$31=0),"",
(AY$237*$AY212+AY$238*$AZ212+AY$239*$BA212)*1000/(AY$24*AY$31))</f>
        <v/>
      </c>
      <c r="AZ267" s="207" t="str">
        <f t="shared" si="268"/>
        <v/>
      </c>
      <c r="BA267" s="207" t="str">
        <f t="shared" si="268"/>
        <v/>
      </c>
      <c r="BB267" s="207" t="str">
        <f t="shared" si="268"/>
        <v/>
      </c>
      <c r="BC267" s="207" t="str">
        <f t="shared" si="268"/>
        <v/>
      </c>
      <c r="BD267" s="207" t="str">
        <f t="shared" si="268"/>
        <v/>
      </c>
      <c r="BE267" s="207" t="str">
        <f t="shared" si="268"/>
        <v/>
      </c>
      <c r="BF267" s="207" t="str">
        <f t="shared" si="268"/>
        <v/>
      </c>
      <c r="BG267" s="207" t="str">
        <f t="shared" si="268"/>
        <v/>
      </c>
      <c r="BH267" s="255"/>
    </row>
    <row r="268" spans="1:60">
      <c r="A268" s="645"/>
      <c r="B268" s="492" t="s">
        <v>321</v>
      </c>
      <c r="C268" s="653" t="s">
        <v>111</v>
      </c>
      <c r="D268" s="746" t="s">
        <v>48</v>
      </c>
      <c r="E268" s="220" t="s">
        <v>327</v>
      </c>
      <c r="F268" s="220"/>
      <c r="G268" s="220"/>
      <c r="H268" s="242" t="s">
        <v>314</v>
      </c>
      <c r="I268" s="129"/>
      <c r="J268" s="243">
        <f t="shared" si="260"/>
        <v>0</v>
      </c>
      <c r="K268" s="236"/>
      <c r="L268" s="236"/>
      <c r="M268" s="243">
        <f t="shared" si="261"/>
        <v>0</v>
      </c>
      <c r="N268" s="129"/>
      <c r="O268" s="207" t="str">
        <f t="shared" ref="O268:W268" si="269">IF(OR(O$19="",O$24=0,O$31=0),"",
(O$238*$P213)*1000/(O$24*O$31))</f>
        <v/>
      </c>
      <c r="P268" s="207" t="str">
        <f t="shared" si="269"/>
        <v/>
      </c>
      <c r="Q268" s="207" t="str">
        <f t="shared" si="269"/>
        <v/>
      </c>
      <c r="R268" s="207" t="str">
        <f t="shared" si="269"/>
        <v/>
      </c>
      <c r="S268" s="207" t="str">
        <f t="shared" si="269"/>
        <v/>
      </c>
      <c r="T268" s="207" t="str">
        <f t="shared" si="269"/>
        <v/>
      </c>
      <c r="U268" s="207" t="str">
        <f t="shared" si="269"/>
        <v/>
      </c>
      <c r="V268" s="207" t="str">
        <f t="shared" si="269"/>
        <v/>
      </c>
      <c r="W268" s="207" t="str">
        <f t="shared" si="269"/>
        <v/>
      </c>
      <c r="X268" s="128"/>
      <c r="Y268" s="243">
        <f t="shared" si="263"/>
        <v>0</v>
      </c>
      <c r="Z268" s="129"/>
      <c r="AA268" s="207" t="str">
        <f t="shared" ref="AA268:AI268" si="270">IF(OR(AA$19="",AA$24=0,AA$31=0),"",
(AA$238*$AB213)*1000/(AA$24*AA$31))</f>
        <v/>
      </c>
      <c r="AB268" s="207" t="str">
        <f t="shared" si="270"/>
        <v/>
      </c>
      <c r="AC268" s="207" t="str">
        <f t="shared" si="270"/>
        <v/>
      </c>
      <c r="AD268" s="207" t="str">
        <f t="shared" si="270"/>
        <v/>
      </c>
      <c r="AE268" s="207" t="str">
        <f t="shared" si="270"/>
        <v/>
      </c>
      <c r="AF268" s="207" t="str">
        <f t="shared" si="270"/>
        <v/>
      </c>
      <c r="AG268" s="207" t="str">
        <f t="shared" si="270"/>
        <v/>
      </c>
      <c r="AH268" s="207" t="str">
        <f t="shared" si="270"/>
        <v/>
      </c>
      <c r="AI268" s="207" t="str">
        <f t="shared" si="270"/>
        <v/>
      </c>
      <c r="AJ268" s="128"/>
      <c r="AK268" s="243">
        <f t="shared" si="265"/>
        <v>0</v>
      </c>
      <c r="AL268" s="129"/>
      <c r="AM268" s="207" t="str">
        <f t="shared" ref="AM268:AU268" si="271">IF(OR(AM$19="",AM$24=0,AM$31=0),"",
(AM$238*$AN213)*1000/(AM$24*AM$31))</f>
        <v/>
      </c>
      <c r="AN268" s="207" t="str">
        <f t="shared" si="271"/>
        <v/>
      </c>
      <c r="AO268" s="207" t="str">
        <f t="shared" si="271"/>
        <v/>
      </c>
      <c r="AP268" s="207" t="str">
        <f t="shared" si="271"/>
        <v/>
      </c>
      <c r="AQ268" s="207" t="str">
        <f t="shared" si="271"/>
        <v/>
      </c>
      <c r="AR268" s="207" t="str">
        <f t="shared" si="271"/>
        <v/>
      </c>
      <c r="AS268" s="207" t="str">
        <f t="shared" si="271"/>
        <v/>
      </c>
      <c r="AT268" s="207" t="str">
        <f t="shared" si="271"/>
        <v/>
      </c>
      <c r="AU268" s="207" t="str">
        <f t="shared" si="271"/>
        <v/>
      </c>
      <c r="AV268" s="128"/>
      <c r="AW268" s="243">
        <f t="shared" si="267"/>
        <v>0</v>
      </c>
      <c r="AX268" s="129"/>
      <c r="AY268" s="207" t="str">
        <f t="shared" ref="AY268:BG268" si="272">IF(OR(AY$19="",AY$24=0,AY$31=0),"",
(AY$238*$AZ213)*1000/(AY$24*AY$31))</f>
        <v/>
      </c>
      <c r="AZ268" s="207" t="str">
        <f t="shared" si="272"/>
        <v/>
      </c>
      <c r="BA268" s="207" t="str">
        <f t="shared" si="272"/>
        <v/>
      </c>
      <c r="BB268" s="207" t="str">
        <f t="shared" si="272"/>
        <v/>
      </c>
      <c r="BC268" s="207" t="str">
        <f t="shared" si="272"/>
        <v/>
      </c>
      <c r="BD268" s="207" t="str">
        <f t="shared" si="272"/>
        <v/>
      </c>
      <c r="BE268" s="207" t="str">
        <f t="shared" si="272"/>
        <v/>
      </c>
      <c r="BF268" s="207" t="str">
        <f t="shared" si="272"/>
        <v/>
      </c>
      <c r="BG268" s="207" t="str">
        <f t="shared" si="272"/>
        <v/>
      </c>
      <c r="BH268" s="255"/>
    </row>
    <row r="269" spans="1:60">
      <c r="A269" s="645"/>
      <c r="B269" s="492" t="s">
        <v>321</v>
      </c>
      <c r="C269" s="653" t="s">
        <v>111</v>
      </c>
      <c r="D269" s="746" t="s">
        <v>48</v>
      </c>
      <c r="E269" s="220" t="s">
        <v>291</v>
      </c>
      <c r="F269" s="220"/>
      <c r="G269" s="220"/>
      <c r="H269" s="242" t="s">
        <v>314</v>
      </c>
      <c r="I269" s="129"/>
      <c r="J269" s="243">
        <f t="shared" si="260"/>
        <v>0</v>
      </c>
      <c r="K269" s="236"/>
      <c r="L269" s="236"/>
      <c r="M269" s="243">
        <f t="shared" si="261"/>
        <v>0</v>
      </c>
      <c r="N269" s="129"/>
      <c r="O269" s="207" t="str">
        <f t="shared" ref="O269:W269" si="273">IF(OR(O$19="",O$24=0,O$31=0),"",
(O$237*$O214+O$239*$Q214)*1000/(O$24*O$31))</f>
        <v/>
      </c>
      <c r="P269" s="207" t="str">
        <f t="shared" si="273"/>
        <v/>
      </c>
      <c r="Q269" s="207" t="str">
        <f t="shared" si="273"/>
        <v/>
      </c>
      <c r="R269" s="207" t="str">
        <f t="shared" si="273"/>
        <v/>
      </c>
      <c r="S269" s="207" t="str">
        <f t="shared" si="273"/>
        <v/>
      </c>
      <c r="T269" s="207" t="str">
        <f t="shared" si="273"/>
        <v/>
      </c>
      <c r="U269" s="207" t="str">
        <f t="shared" si="273"/>
        <v/>
      </c>
      <c r="V269" s="207" t="str">
        <f t="shared" si="273"/>
        <v/>
      </c>
      <c r="W269" s="207" t="str">
        <f t="shared" si="273"/>
        <v/>
      </c>
      <c r="X269" s="128"/>
      <c r="Y269" s="243">
        <f t="shared" si="263"/>
        <v>0</v>
      </c>
      <c r="Z269" s="129"/>
      <c r="AA269" s="207" t="str">
        <f t="shared" ref="AA269:AI269" si="274">IF(OR(AA$19="",AA$24=0,AA$31=0),"",
(AA$237*$AA214+AA$239*$AC214)*1000/(AA$24*AA$31))</f>
        <v/>
      </c>
      <c r="AB269" s="207" t="str">
        <f t="shared" si="274"/>
        <v/>
      </c>
      <c r="AC269" s="207" t="str">
        <f t="shared" si="274"/>
        <v/>
      </c>
      <c r="AD269" s="207" t="str">
        <f t="shared" si="274"/>
        <v/>
      </c>
      <c r="AE269" s="207" t="str">
        <f t="shared" si="274"/>
        <v/>
      </c>
      <c r="AF269" s="207" t="str">
        <f t="shared" si="274"/>
        <v/>
      </c>
      <c r="AG269" s="207" t="str">
        <f t="shared" si="274"/>
        <v/>
      </c>
      <c r="AH269" s="207" t="str">
        <f t="shared" si="274"/>
        <v/>
      </c>
      <c r="AI269" s="207" t="str">
        <f t="shared" si="274"/>
        <v/>
      </c>
      <c r="AJ269" s="128"/>
      <c r="AK269" s="243">
        <f t="shared" si="265"/>
        <v>0</v>
      </c>
      <c r="AL269" s="129"/>
      <c r="AM269" s="207" t="str">
        <f t="shared" ref="AM269:AU269" si="275">IF(OR(AM$19="",AM$24=0,AM$31=0),"",
(AM$237*$AM214+AM$239*$AO214)*1000/(AM$24*AM$31))</f>
        <v/>
      </c>
      <c r="AN269" s="207" t="str">
        <f t="shared" si="275"/>
        <v/>
      </c>
      <c r="AO269" s="207" t="str">
        <f t="shared" si="275"/>
        <v/>
      </c>
      <c r="AP269" s="207" t="str">
        <f t="shared" si="275"/>
        <v/>
      </c>
      <c r="AQ269" s="207" t="str">
        <f t="shared" si="275"/>
        <v/>
      </c>
      <c r="AR269" s="207" t="str">
        <f t="shared" si="275"/>
        <v/>
      </c>
      <c r="AS269" s="207" t="str">
        <f t="shared" si="275"/>
        <v/>
      </c>
      <c r="AT269" s="207" t="str">
        <f t="shared" si="275"/>
        <v/>
      </c>
      <c r="AU269" s="207" t="str">
        <f t="shared" si="275"/>
        <v/>
      </c>
      <c r="AV269" s="128"/>
      <c r="AW269" s="243">
        <f t="shared" si="267"/>
        <v>0</v>
      </c>
      <c r="AX269" s="129"/>
      <c r="AY269" s="207" t="str">
        <f t="shared" ref="AY269:BG269" si="276">IF(OR(AY$19="",AY$24=0,AY$31=0),"",
(AY$237*$AY214+AY$239*$BA214)*1000/(AY$24*AY$31))</f>
        <v/>
      </c>
      <c r="AZ269" s="207" t="str">
        <f t="shared" si="276"/>
        <v/>
      </c>
      <c r="BA269" s="207" t="str">
        <f t="shared" si="276"/>
        <v/>
      </c>
      <c r="BB269" s="207" t="str">
        <f t="shared" si="276"/>
        <v/>
      </c>
      <c r="BC269" s="207" t="str">
        <f t="shared" si="276"/>
        <v/>
      </c>
      <c r="BD269" s="207" t="str">
        <f t="shared" si="276"/>
        <v/>
      </c>
      <c r="BE269" s="207" t="str">
        <f t="shared" si="276"/>
        <v/>
      </c>
      <c r="BF269" s="207" t="str">
        <f t="shared" si="276"/>
        <v/>
      </c>
      <c r="BG269" s="207" t="str">
        <f t="shared" si="276"/>
        <v/>
      </c>
      <c r="BH269" s="255"/>
    </row>
    <row r="270" spans="1:60">
      <c r="A270" s="645"/>
      <c r="B270" s="492" t="s">
        <v>321</v>
      </c>
      <c r="C270" s="653" t="s">
        <v>111</v>
      </c>
      <c r="D270" s="746" t="s">
        <v>48</v>
      </c>
      <c r="E270" s="220" t="s">
        <v>292</v>
      </c>
      <c r="F270" s="220"/>
      <c r="G270" s="220"/>
      <c r="H270" s="242" t="s">
        <v>314</v>
      </c>
      <c r="I270" s="129"/>
      <c r="J270" s="243">
        <f t="shared" si="260"/>
        <v>0</v>
      </c>
      <c r="K270" s="236"/>
      <c r="L270" s="236"/>
      <c r="M270" s="243">
        <f t="shared" si="261"/>
        <v>0</v>
      </c>
      <c r="N270" s="129"/>
      <c r="O270" s="207" t="str">
        <f t="shared" ref="O270:W270" si="277">IF(OR(O$19="",O$24=0,O$31=0),"",
(O$237*$O215+O$238*$P215+O$239*$Q215)*1000/(O$24*O$31))</f>
        <v/>
      </c>
      <c r="P270" s="207" t="str">
        <f t="shared" si="277"/>
        <v/>
      </c>
      <c r="Q270" s="207" t="str">
        <f t="shared" si="277"/>
        <v/>
      </c>
      <c r="R270" s="207" t="str">
        <f t="shared" si="277"/>
        <v/>
      </c>
      <c r="S270" s="207" t="str">
        <f t="shared" si="277"/>
        <v/>
      </c>
      <c r="T270" s="207" t="str">
        <f t="shared" si="277"/>
        <v/>
      </c>
      <c r="U270" s="207" t="str">
        <f t="shared" si="277"/>
        <v/>
      </c>
      <c r="V270" s="207" t="str">
        <f t="shared" si="277"/>
        <v/>
      </c>
      <c r="W270" s="207" t="str">
        <f t="shared" si="277"/>
        <v/>
      </c>
      <c r="X270" s="128"/>
      <c r="Y270" s="243">
        <f t="shared" si="263"/>
        <v>0</v>
      </c>
      <c r="Z270" s="129"/>
      <c r="AA270" s="207" t="str">
        <f t="shared" ref="AA270:AI270" si="278">IF(OR(AA$19="",AA$24=0,AA$31=0),"",
(AA$237*$AA215+AA$238*$AB215+AA$239*$AC215)*1000/(AA$24*AA$31))</f>
        <v/>
      </c>
      <c r="AB270" s="207" t="str">
        <f t="shared" si="278"/>
        <v/>
      </c>
      <c r="AC270" s="207" t="str">
        <f t="shared" si="278"/>
        <v/>
      </c>
      <c r="AD270" s="207" t="str">
        <f t="shared" si="278"/>
        <v/>
      </c>
      <c r="AE270" s="207" t="str">
        <f t="shared" si="278"/>
        <v/>
      </c>
      <c r="AF270" s="207" t="str">
        <f t="shared" si="278"/>
        <v/>
      </c>
      <c r="AG270" s="207" t="str">
        <f t="shared" si="278"/>
        <v/>
      </c>
      <c r="AH270" s="207" t="str">
        <f t="shared" si="278"/>
        <v/>
      </c>
      <c r="AI270" s="207" t="str">
        <f t="shared" si="278"/>
        <v/>
      </c>
      <c r="AJ270" s="128"/>
      <c r="AK270" s="243">
        <f t="shared" si="265"/>
        <v>0</v>
      </c>
      <c r="AL270" s="129"/>
      <c r="AM270" s="207" t="str">
        <f t="shared" ref="AM270:AU270" si="279">IF(OR(AM$19="",AM$24=0,AM$31=0),"",
(AM$237*$AM215+AM$238*$AN215+AM$239*$AO215)*1000/(AM$24*AM$31))</f>
        <v/>
      </c>
      <c r="AN270" s="207" t="str">
        <f t="shared" si="279"/>
        <v/>
      </c>
      <c r="AO270" s="207" t="str">
        <f t="shared" si="279"/>
        <v/>
      </c>
      <c r="AP270" s="207" t="str">
        <f t="shared" si="279"/>
        <v/>
      </c>
      <c r="AQ270" s="207" t="str">
        <f t="shared" si="279"/>
        <v/>
      </c>
      <c r="AR270" s="207" t="str">
        <f t="shared" si="279"/>
        <v/>
      </c>
      <c r="AS270" s="207" t="str">
        <f t="shared" si="279"/>
        <v/>
      </c>
      <c r="AT270" s="207" t="str">
        <f t="shared" si="279"/>
        <v/>
      </c>
      <c r="AU270" s="207" t="str">
        <f t="shared" si="279"/>
        <v/>
      </c>
      <c r="AV270" s="128"/>
      <c r="AW270" s="243">
        <f t="shared" si="267"/>
        <v>0</v>
      </c>
      <c r="AX270" s="129"/>
      <c r="AY270" s="207" t="str">
        <f t="shared" ref="AY270:BG270" si="280">IF(OR(AY$19="",AY$24=0,AY$31=0),"",
(AY$237*$AY215+AY$238*$AZ215+AY$239*$BA215)*1000/(AY$24*AY$31))</f>
        <v/>
      </c>
      <c r="AZ270" s="207" t="str">
        <f t="shared" si="280"/>
        <v/>
      </c>
      <c r="BA270" s="207" t="str">
        <f t="shared" si="280"/>
        <v/>
      </c>
      <c r="BB270" s="207" t="str">
        <f t="shared" si="280"/>
        <v/>
      </c>
      <c r="BC270" s="207" t="str">
        <f t="shared" si="280"/>
        <v/>
      </c>
      <c r="BD270" s="207" t="str">
        <f t="shared" si="280"/>
        <v/>
      </c>
      <c r="BE270" s="207" t="str">
        <f t="shared" si="280"/>
        <v/>
      </c>
      <c r="BF270" s="207" t="str">
        <f t="shared" si="280"/>
        <v/>
      </c>
      <c r="BG270" s="207" t="str">
        <f t="shared" si="280"/>
        <v/>
      </c>
      <c r="BH270" s="255"/>
    </row>
    <row r="271" spans="1:60">
      <c r="A271" s="645"/>
      <c r="B271" s="492" t="s">
        <v>321</v>
      </c>
      <c r="C271" s="653" t="s">
        <v>111</v>
      </c>
      <c r="D271" s="746" t="s">
        <v>48</v>
      </c>
      <c r="E271" s="220" t="s">
        <v>293</v>
      </c>
      <c r="F271" s="220"/>
      <c r="G271" s="220"/>
      <c r="H271" s="242" t="s">
        <v>314</v>
      </c>
      <c r="I271" s="129"/>
      <c r="J271" s="243">
        <f t="shared" si="260"/>
        <v>0</v>
      </c>
      <c r="K271" s="236"/>
      <c r="L271" s="236"/>
      <c r="M271" s="243">
        <f t="shared" si="261"/>
        <v>0</v>
      </c>
      <c r="N271" s="129"/>
      <c r="O271" s="207" t="str">
        <f t="shared" ref="O271:W271" si="281">IF(OR(O$19="",O$24=0,O$31=0),"",
(O$238*$P216)*1000/(O$24*O$31))</f>
        <v/>
      </c>
      <c r="P271" s="207" t="str">
        <f t="shared" si="281"/>
        <v/>
      </c>
      <c r="Q271" s="207" t="str">
        <f t="shared" si="281"/>
        <v/>
      </c>
      <c r="R271" s="207" t="str">
        <f t="shared" si="281"/>
        <v/>
      </c>
      <c r="S271" s="207" t="str">
        <f t="shared" si="281"/>
        <v/>
      </c>
      <c r="T271" s="207" t="str">
        <f t="shared" si="281"/>
        <v/>
      </c>
      <c r="U271" s="207" t="str">
        <f t="shared" si="281"/>
        <v/>
      </c>
      <c r="V271" s="207" t="str">
        <f t="shared" si="281"/>
        <v/>
      </c>
      <c r="W271" s="207" t="str">
        <f t="shared" si="281"/>
        <v/>
      </c>
      <c r="X271" s="128"/>
      <c r="Y271" s="243">
        <f t="shared" si="263"/>
        <v>0</v>
      </c>
      <c r="Z271" s="129"/>
      <c r="AA271" s="207" t="str">
        <f t="shared" ref="AA271:AI271" si="282">IF(OR(AA$19="",AA$24=0,AA$31=0),"",
(AA$238*$AB216)*1000/(AA$24*AA$31))</f>
        <v/>
      </c>
      <c r="AB271" s="207" t="str">
        <f t="shared" si="282"/>
        <v/>
      </c>
      <c r="AC271" s="207" t="str">
        <f t="shared" si="282"/>
        <v/>
      </c>
      <c r="AD271" s="207" t="str">
        <f t="shared" si="282"/>
        <v/>
      </c>
      <c r="AE271" s="207" t="str">
        <f t="shared" si="282"/>
        <v/>
      </c>
      <c r="AF271" s="207" t="str">
        <f t="shared" si="282"/>
        <v/>
      </c>
      <c r="AG271" s="207" t="str">
        <f t="shared" si="282"/>
        <v/>
      </c>
      <c r="AH271" s="207" t="str">
        <f t="shared" si="282"/>
        <v/>
      </c>
      <c r="AI271" s="207" t="str">
        <f t="shared" si="282"/>
        <v/>
      </c>
      <c r="AJ271" s="128"/>
      <c r="AK271" s="243">
        <f t="shared" si="265"/>
        <v>0</v>
      </c>
      <c r="AL271" s="129"/>
      <c r="AM271" s="207" t="str">
        <f t="shared" ref="AM271:AU271" si="283">IF(OR(AM$19="",AM$24=0,AM$31=0),"",
(AM$238*$AN216)*1000/(AM$24*AM$31))</f>
        <v/>
      </c>
      <c r="AN271" s="207" t="str">
        <f t="shared" si="283"/>
        <v/>
      </c>
      <c r="AO271" s="207" t="str">
        <f t="shared" si="283"/>
        <v/>
      </c>
      <c r="AP271" s="207" t="str">
        <f t="shared" si="283"/>
        <v/>
      </c>
      <c r="AQ271" s="207" t="str">
        <f t="shared" si="283"/>
        <v/>
      </c>
      <c r="AR271" s="207" t="str">
        <f t="shared" si="283"/>
        <v/>
      </c>
      <c r="AS271" s="207" t="str">
        <f t="shared" si="283"/>
        <v/>
      </c>
      <c r="AT271" s="207" t="str">
        <f t="shared" si="283"/>
        <v/>
      </c>
      <c r="AU271" s="207" t="str">
        <f t="shared" si="283"/>
        <v/>
      </c>
      <c r="AV271" s="128"/>
      <c r="AW271" s="243">
        <f t="shared" si="267"/>
        <v>0</v>
      </c>
      <c r="AX271" s="129"/>
      <c r="AY271" s="207" t="str">
        <f t="shared" ref="AY271:BG271" si="284">IF(OR(AY$19="",AY$24=0,AY$31=0),"",
(AY$238*$AZ216)*1000/(AY$24*AY$31))</f>
        <v/>
      </c>
      <c r="AZ271" s="207" t="str">
        <f t="shared" si="284"/>
        <v/>
      </c>
      <c r="BA271" s="207" t="str">
        <f t="shared" si="284"/>
        <v/>
      </c>
      <c r="BB271" s="207" t="str">
        <f t="shared" si="284"/>
        <v/>
      </c>
      <c r="BC271" s="207" t="str">
        <f t="shared" si="284"/>
        <v/>
      </c>
      <c r="BD271" s="207" t="str">
        <f t="shared" si="284"/>
        <v/>
      </c>
      <c r="BE271" s="207" t="str">
        <f t="shared" si="284"/>
        <v/>
      </c>
      <c r="BF271" s="207" t="str">
        <f t="shared" si="284"/>
        <v/>
      </c>
      <c r="BG271" s="207" t="str">
        <f t="shared" si="284"/>
        <v/>
      </c>
      <c r="BH271" s="255"/>
    </row>
    <row r="272" spans="1:60">
      <c r="A272" s="645"/>
      <c r="B272" s="492" t="s">
        <v>321</v>
      </c>
      <c r="C272" s="653" t="s">
        <v>111</v>
      </c>
      <c r="D272" s="746" t="s">
        <v>48</v>
      </c>
      <c r="E272" s="220" t="s">
        <v>294</v>
      </c>
      <c r="F272" s="220"/>
      <c r="G272" s="220"/>
      <c r="H272" s="242" t="s">
        <v>314</v>
      </c>
      <c r="I272" s="129"/>
      <c r="J272" s="243">
        <f t="shared" si="260"/>
        <v>0</v>
      </c>
      <c r="K272" s="236"/>
      <c r="L272" s="236"/>
      <c r="M272" s="243">
        <f t="shared" si="261"/>
        <v>0</v>
      </c>
      <c r="N272" s="129"/>
      <c r="O272" s="207" t="str">
        <f t="shared" ref="O272:W272" si="285">IF(OR(O$19="",O$24=0,O$31=0),"",
(O$237*$O217+O$239*$Q217)*1000/(O$24*O$31))</f>
        <v/>
      </c>
      <c r="P272" s="207" t="str">
        <f t="shared" si="285"/>
        <v/>
      </c>
      <c r="Q272" s="207" t="str">
        <f t="shared" si="285"/>
        <v/>
      </c>
      <c r="R272" s="207" t="str">
        <f t="shared" si="285"/>
        <v/>
      </c>
      <c r="S272" s="207" t="str">
        <f t="shared" si="285"/>
        <v/>
      </c>
      <c r="T272" s="207" t="str">
        <f t="shared" si="285"/>
        <v/>
      </c>
      <c r="U272" s="207" t="str">
        <f t="shared" si="285"/>
        <v/>
      </c>
      <c r="V272" s="207" t="str">
        <f t="shared" si="285"/>
        <v/>
      </c>
      <c r="W272" s="207" t="str">
        <f t="shared" si="285"/>
        <v/>
      </c>
      <c r="X272" s="122"/>
      <c r="Y272" s="243">
        <f t="shared" si="263"/>
        <v>0</v>
      </c>
      <c r="Z272" s="129"/>
      <c r="AA272" s="207" t="str">
        <f t="shared" ref="AA272:AI272" si="286">IF(OR(AA$19="",AA$24=0,AA$31=0),"",
(AA$237*$AA217+AA$239*$AC217)*1000/(AA$24*AA$31))</f>
        <v/>
      </c>
      <c r="AB272" s="207" t="str">
        <f t="shared" si="286"/>
        <v/>
      </c>
      <c r="AC272" s="207" t="str">
        <f t="shared" si="286"/>
        <v/>
      </c>
      <c r="AD272" s="207" t="str">
        <f t="shared" si="286"/>
        <v/>
      </c>
      <c r="AE272" s="207" t="str">
        <f t="shared" si="286"/>
        <v/>
      </c>
      <c r="AF272" s="207" t="str">
        <f t="shared" si="286"/>
        <v/>
      </c>
      <c r="AG272" s="207" t="str">
        <f t="shared" si="286"/>
        <v/>
      </c>
      <c r="AH272" s="207" t="str">
        <f t="shared" si="286"/>
        <v/>
      </c>
      <c r="AI272" s="207" t="str">
        <f t="shared" si="286"/>
        <v/>
      </c>
      <c r="AJ272" s="122"/>
      <c r="AK272" s="243">
        <f t="shared" si="265"/>
        <v>0</v>
      </c>
      <c r="AL272" s="129"/>
      <c r="AM272" s="207" t="str">
        <f t="shared" ref="AM272:AU272" si="287">IF(OR(AM$19="",AM$24=0,AM$31=0),"",
(AM$237*$AM217+AM$239*$AO217)*1000/(AM$24*AM$31))</f>
        <v/>
      </c>
      <c r="AN272" s="207" t="str">
        <f t="shared" si="287"/>
        <v/>
      </c>
      <c r="AO272" s="207" t="str">
        <f t="shared" si="287"/>
        <v/>
      </c>
      <c r="AP272" s="207" t="str">
        <f t="shared" si="287"/>
        <v/>
      </c>
      <c r="AQ272" s="207" t="str">
        <f t="shared" si="287"/>
        <v/>
      </c>
      <c r="AR272" s="207" t="str">
        <f t="shared" si="287"/>
        <v/>
      </c>
      <c r="AS272" s="207" t="str">
        <f t="shared" si="287"/>
        <v/>
      </c>
      <c r="AT272" s="207" t="str">
        <f t="shared" si="287"/>
        <v/>
      </c>
      <c r="AU272" s="207" t="str">
        <f t="shared" si="287"/>
        <v/>
      </c>
      <c r="AV272" s="122"/>
      <c r="AW272" s="243">
        <f t="shared" si="267"/>
        <v>0</v>
      </c>
      <c r="AX272" s="129"/>
      <c r="AY272" s="207" t="str">
        <f t="shared" ref="AY272:BG272" si="288">IF(OR(AY$19="",AY$24=0,AY$31=0),"",
(AY$237*$AY217+AY$239*$BA217)*1000/(AY$24*AY$31))</f>
        <v/>
      </c>
      <c r="AZ272" s="207" t="str">
        <f t="shared" si="288"/>
        <v/>
      </c>
      <c r="BA272" s="207" t="str">
        <f t="shared" si="288"/>
        <v/>
      </c>
      <c r="BB272" s="207" t="str">
        <f t="shared" si="288"/>
        <v/>
      </c>
      <c r="BC272" s="207" t="str">
        <f t="shared" si="288"/>
        <v/>
      </c>
      <c r="BD272" s="207" t="str">
        <f t="shared" si="288"/>
        <v/>
      </c>
      <c r="BE272" s="207" t="str">
        <f t="shared" si="288"/>
        <v/>
      </c>
      <c r="BF272" s="207" t="str">
        <f t="shared" si="288"/>
        <v/>
      </c>
      <c r="BG272" s="207" t="str">
        <f t="shared" si="288"/>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89">IF(OR(O$19="",O$24=0,O$31=0),"",
O$73/O$31*f_P_renelect)</f>
        <v/>
      </c>
      <c r="P274" s="207" t="str">
        <f t="shared" si="289"/>
        <v/>
      </c>
      <c r="Q274" s="207" t="str">
        <f t="shared" si="289"/>
        <v/>
      </c>
      <c r="R274" s="207" t="str">
        <f t="shared" si="289"/>
        <v/>
      </c>
      <c r="S274" s="207" t="str">
        <f t="shared" si="289"/>
        <v/>
      </c>
      <c r="T274" s="207" t="str">
        <f t="shared" si="289"/>
        <v/>
      </c>
      <c r="U274" s="207" t="str">
        <f t="shared" si="289"/>
        <v/>
      </c>
      <c r="V274" s="207" t="str">
        <f t="shared" si="289"/>
        <v/>
      </c>
      <c r="W274" s="207" t="str">
        <f t="shared" si="289"/>
        <v/>
      </c>
      <c r="X274" s="128"/>
      <c r="Y274" s="243">
        <f>SUMPRODUCT(Z274:AJ274,Z$32:AJ$32)/1000</f>
        <v>0</v>
      </c>
      <c r="Z274" s="129"/>
      <c r="AA274" s="207" t="str">
        <f t="shared" ref="AA274:AI274" si="290">IF(OR(AA$19="",AA$24=0,AA$31=0),"",
AA$73/AA$31*f_P_renelect)</f>
        <v/>
      </c>
      <c r="AB274" s="207" t="str">
        <f t="shared" si="290"/>
        <v/>
      </c>
      <c r="AC274" s="207" t="str">
        <f t="shared" si="290"/>
        <v/>
      </c>
      <c r="AD274" s="207" t="str">
        <f t="shared" si="290"/>
        <v/>
      </c>
      <c r="AE274" s="207" t="str">
        <f t="shared" si="290"/>
        <v/>
      </c>
      <c r="AF274" s="207" t="str">
        <f t="shared" si="290"/>
        <v/>
      </c>
      <c r="AG274" s="207" t="str">
        <f t="shared" si="290"/>
        <v/>
      </c>
      <c r="AH274" s="207" t="str">
        <f t="shared" si="290"/>
        <v/>
      </c>
      <c r="AI274" s="207" t="str">
        <f t="shared" si="290"/>
        <v/>
      </c>
      <c r="AJ274" s="128"/>
      <c r="AK274" s="243">
        <f>SUMPRODUCT(AL274:AV274,AL$32:AV$32)/1000</f>
        <v>0</v>
      </c>
      <c r="AL274" s="129"/>
      <c r="AM274" s="207" t="str">
        <f t="shared" ref="AM274:AU274" si="291">IF(OR(AM$19="",AM$24=0,AM$31=0),"",
AM$73/AM$31*f_P_renelect)</f>
        <v/>
      </c>
      <c r="AN274" s="207" t="str">
        <f t="shared" si="291"/>
        <v/>
      </c>
      <c r="AO274" s="207" t="str">
        <f t="shared" si="291"/>
        <v/>
      </c>
      <c r="AP274" s="207" t="str">
        <f t="shared" si="291"/>
        <v/>
      </c>
      <c r="AQ274" s="207" t="str">
        <f t="shared" si="291"/>
        <v/>
      </c>
      <c r="AR274" s="207" t="str">
        <f t="shared" si="291"/>
        <v/>
      </c>
      <c r="AS274" s="207" t="str">
        <f t="shared" si="291"/>
        <v/>
      </c>
      <c r="AT274" s="207" t="str">
        <f t="shared" si="291"/>
        <v/>
      </c>
      <c r="AU274" s="207" t="str">
        <f t="shared" si="291"/>
        <v/>
      </c>
      <c r="AV274" s="128"/>
      <c r="AW274" s="243">
        <f>SUMPRODUCT(AX274:BH274,AX$32:BH$32)/1000</f>
        <v>0</v>
      </c>
      <c r="AX274" s="129"/>
      <c r="AY274" s="207" t="str">
        <f t="shared" ref="AY274:BG274" si="292">IF(OR(AY$19="",AY$24=0,AY$31=0),"",
AY$73/AY$31*f_P_renelect)</f>
        <v/>
      </c>
      <c r="AZ274" s="207" t="str">
        <f t="shared" si="292"/>
        <v/>
      </c>
      <c r="BA274" s="207" t="str">
        <f t="shared" si="292"/>
        <v/>
      </c>
      <c r="BB274" s="207" t="str">
        <f t="shared" si="292"/>
        <v/>
      </c>
      <c r="BC274" s="207" t="str">
        <f t="shared" si="292"/>
        <v/>
      </c>
      <c r="BD274" s="207" t="str">
        <f t="shared" si="292"/>
        <v/>
      </c>
      <c r="BE274" s="207" t="str">
        <f t="shared" si="292"/>
        <v/>
      </c>
      <c r="BF274" s="207" t="str">
        <f t="shared" si="292"/>
        <v/>
      </c>
      <c r="BG274" s="207" t="str">
        <f t="shared" si="292"/>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293">IF(OR(O$19="",O$24=0,O$31=0),"",SUM(O267:O272)+O274)</f>
        <v/>
      </c>
      <c r="P276" s="207" t="str">
        <f t="shared" si="293"/>
        <v/>
      </c>
      <c r="Q276" s="207" t="str">
        <f t="shared" si="293"/>
        <v/>
      </c>
      <c r="R276" s="207" t="str">
        <f t="shared" si="293"/>
        <v/>
      </c>
      <c r="S276" s="207" t="str">
        <f t="shared" si="293"/>
        <v/>
      </c>
      <c r="T276" s="207" t="str">
        <f t="shared" si="293"/>
        <v/>
      </c>
      <c r="U276" s="207" t="str">
        <f t="shared" si="293"/>
        <v/>
      </c>
      <c r="V276" s="207" t="str">
        <f t="shared" si="293"/>
        <v/>
      </c>
      <c r="W276" s="207" t="str">
        <f t="shared" si="293"/>
        <v/>
      </c>
      <c r="X276" s="128"/>
      <c r="Y276" s="243">
        <f>SUMPRODUCT(Z276:AJ276,Z$32:AJ$32)/1000</f>
        <v>0</v>
      </c>
      <c r="Z276" s="129"/>
      <c r="AA276" s="207" t="str">
        <f t="shared" ref="AA276:AI276" si="294">IF(OR(AA$19="",AA$24=0,AA$31=0),"",SUM(AA267:AA272)+AA274)</f>
        <v/>
      </c>
      <c r="AB276" s="207" t="str">
        <f t="shared" si="294"/>
        <v/>
      </c>
      <c r="AC276" s="207" t="str">
        <f t="shared" si="294"/>
        <v/>
      </c>
      <c r="AD276" s="207" t="str">
        <f t="shared" si="294"/>
        <v/>
      </c>
      <c r="AE276" s="207" t="str">
        <f t="shared" si="294"/>
        <v/>
      </c>
      <c r="AF276" s="207" t="str">
        <f t="shared" si="294"/>
        <v/>
      </c>
      <c r="AG276" s="207" t="str">
        <f t="shared" si="294"/>
        <v/>
      </c>
      <c r="AH276" s="207" t="str">
        <f t="shared" si="294"/>
        <v/>
      </c>
      <c r="AI276" s="207" t="str">
        <f t="shared" si="294"/>
        <v/>
      </c>
      <c r="AJ276" s="128"/>
      <c r="AK276" s="243">
        <f>SUMPRODUCT(AL276:AV276,AL$32:AV$32)/1000</f>
        <v>0</v>
      </c>
      <c r="AL276" s="129"/>
      <c r="AM276" s="207" t="str">
        <f>IF(OR(AM$19="",AM$24=0,AM$31=0),"",SUM(AM267:AM272)+AM274)</f>
        <v/>
      </c>
      <c r="AN276" s="207" t="str">
        <f t="shared" ref="AN276:AU276" si="295">IF(OR(AN$19="",AN$24=0,AN$31=0),"",SUM(AN267:AN272)+AN274)</f>
        <v/>
      </c>
      <c r="AO276" s="207" t="str">
        <f t="shared" si="295"/>
        <v/>
      </c>
      <c r="AP276" s="207" t="str">
        <f t="shared" si="295"/>
        <v/>
      </c>
      <c r="AQ276" s="207" t="str">
        <f t="shared" si="295"/>
        <v/>
      </c>
      <c r="AR276" s="207" t="str">
        <f t="shared" si="295"/>
        <v/>
      </c>
      <c r="AS276" s="207" t="str">
        <f t="shared" si="295"/>
        <v/>
      </c>
      <c r="AT276" s="207" t="str">
        <f t="shared" si="295"/>
        <v/>
      </c>
      <c r="AU276" s="207" t="str">
        <f t="shared" si="295"/>
        <v/>
      </c>
      <c r="AV276" s="128"/>
      <c r="AW276" s="243">
        <f>SUMPRODUCT(AX276:BH276,AX$32:BH$32)/1000</f>
        <v>0</v>
      </c>
      <c r="AX276" s="129"/>
      <c r="AY276" s="207" t="str">
        <f>IF(OR(AY$19="",AY$24=0,AY$31=0),"",SUM(AY267:AY272)+AY274)</f>
        <v/>
      </c>
      <c r="AZ276" s="207" t="str">
        <f t="shared" ref="AZ276:BG276" si="296">IF(OR(AZ$19="",AZ$24=0,AZ$31=0),"",SUM(AZ267:AZ272)+AZ274)</f>
        <v/>
      </c>
      <c r="BA276" s="207" t="str">
        <f t="shared" si="296"/>
        <v/>
      </c>
      <c r="BB276" s="207" t="str">
        <f t="shared" si="296"/>
        <v/>
      </c>
      <c r="BC276" s="207" t="str">
        <f t="shared" si="296"/>
        <v/>
      </c>
      <c r="BD276" s="207" t="str">
        <f t="shared" si="296"/>
        <v/>
      </c>
      <c r="BE276" s="207" t="str">
        <f t="shared" si="296"/>
        <v/>
      </c>
      <c r="BF276" s="207" t="str">
        <f t="shared" si="296"/>
        <v/>
      </c>
      <c r="BG276" s="207" t="str">
        <f t="shared" si="296"/>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297">IF(OR(O$19="",O$24=0,O$31=0),"",
IF(O265+O276=0,0,O276/(O265+O276)))</f>
        <v/>
      </c>
      <c r="P278" s="245" t="str">
        <f t="shared" si="297"/>
        <v/>
      </c>
      <c r="Q278" s="245" t="str">
        <f t="shared" si="297"/>
        <v/>
      </c>
      <c r="R278" s="245" t="str">
        <f t="shared" si="297"/>
        <v/>
      </c>
      <c r="S278" s="245" t="str">
        <f t="shared" si="297"/>
        <v/>
      </c>
      <c r="T278" s="245" t="str">
        <f t="shared" si="297"/>
        <v/>
      </c>
      <c r="U278" s="245" t="str">
        <f t="shared" si="297"/>
        <v/>
      </c>
      <c r="V278" s="245" t="str">
        <f t="shared" si="297"/>
        <v/>
      </c>
      <c r="W278" s="245" t="str">
        <f t="shared" si="297"/>
        <v/>
      </c>
      <c r="X278" s="140"/>
      <c r="Y278" s="244" t="str">
        <f>IF(Y$24=0,"",
IF(Y265+Y276=0,0,Y276/(Y265+Y276)))</f>
        <v/>
      </c>
      <c r="Z278" s="129"/>
      <c r="AA278" s="245" t="str">
        <f t="shared" ref="AA278:AI278" si="298">IF(OR(AA$19="",AA$24=0,AA$31=0),"",
IF(AA265+AA276=0,0,AA276/(AA265+AA276)))</f>
        <v/>
      </c>
      <c r="AB278" s="245" t="str">
        <f t="shared" si="298"/>
        <v/>
      </c>
      <c r="AC278" s="245" t="str">
        <f t="shared" si="298"/>
        <v/>
      </c>
      <c r="AD278" s="245" t="str">
        <f t="shared" si="298"/>
        <v/>
      </c>
      <c r="AE278" s="245" t="str">
        <f t="shared" si="298"/>
        <v/>
      </c>
      <c r="AF278" s="245" t="str">
        <f t="shared" si="298"/>
        <v/>
      </c>
      <c r="AG278" s="245" t="str">
        <f t="shared" si="298"/>
        <v/>
      </c>
      <c r="AH278" s="245" t="str">
        <f t="shared" si="298"/>
        <v/>
      </c>
      <c r="AI278" s="245" t="str">
        <f t="shared" si="298"/>
        <v/>
      </c>
      <c r="AJ278" s="140"/>
      <c r="AK278" s="244" t="str">
        <f>IF(AK$24=0,"",
IF(AK265+AK276=0,0,AK276/(AK265+AK276)))</f>
        <v/>
      </c>
      <c r="AL278" s="129"/>
      <c r="AM278" s="245" t="str">
        <f>IF(OR(AM$19="",AM$24=0,AM$31=0),"",
IF(AM265+AM276=0,0,AM276/(AM265+AM276)))</f>
        <v/>
      </c>
      <c r="AN278" s="245" t="str">
        <f t="shared" ref="AN278:AU278" si="299">IF(OR(AN$19="",AN$24=0,AN$31=0),"",
IF(AN265+AN276=0,0,AN276/(AN265+AN276)))</f>
        <v/>
      </c>
      <c r="AO278" s="245" t="str">
        <f>IF(OR(AO$19="",AO$24=0,AO$31=0),"",
IF(AO265+AO276=0,0,AO276/(AO265+AO276)))</f>
        <v/>
      </c>
      <c r="AP278" s="245" t="str">
        <f t="shared" si="299"/>
        <v/>
      </c>
      <c r="AQ278" s="245" t="str">
        <f t="shared" si="299"/>
        <v/>
      </c>
      <c r="AR278" s="245" t="str">
        <f t="shared" si="299"/>
        <v/>
      </c>
      <c r="AS278" s="245" t="str">
        <f t="shared" si="299"/>
        <v/>
      </c>
      <c r="AT278" s="245" t="str">
        <f t="shared" si="299"/>
        <v/>
      </c>
      <c r="AU278" s="245" t="str">
        <f t="shared" si="299"/>
        <v/>
      </c>
      <c r="AV278" s="140"/>
      <c r="AW278" s="244" t="str">
        <f>IF(AW$24=0,"",
IF(AW265+AW276=0,0,AW276/(AW265+AW276)))</f>
        <v/>
      </c>
      <c r="AX278" s="129"/>
      <c r="AY278" s="245" t="str">
        <f>IF(OR(AY$19="",AY$24=0,AY$31=0),"",
IF(AY265+AY276=0,0,AY276/(AY265+AY276)))</f>
        <v/>
      </c>
      <c r="AZ278" s="245" t="str">
        <f t="shared" ref="AZ278:BG278" si="300">IF(OR(AZ$19="",AZ$24=0,AZ$31=0),"",
IF(AZ265+AZ276=0,0,AZ276/(AZ265+AZ276)))</f>
        <v/>
      </c>
      <c r="BA278" s="245" t="str">
        <f t="shared" si="300"/>
        <v/>
      </c>
      <c r="BB278" s="245" t="str">
        <f t="shared" si="300"/>
        <v/>
      </c>
      <c r="BC278" s="245" t="str">
        <f t="shared" si="300"/>
        <v/>
      </c>
      <c r="BD278" s="245" t="str">
        <f t="shared" si="300"/>
        <v/>
      </c>
      <c r="BE278" s="245" t="str">
        <f t="shared" si="300"/>
        <v/>
      </c>
      <c r="BF278" s="245" t="str">
        <f t="shared" si="300"/>
        <v/>
      </c>
      <c r="BG278" s="245" t="str">
        <f t="shared" si="300"/>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3"/>
      <c r="AA279" s="93"/>
      <c r="AB279" s="93"/>
      <c r="AC279" s="93"/>
      <c r="AD279" s="93"/>
      <c r="AE279" s="93"/>
      <c r="AF279" s="93"/>
      <c r="AG279" s="93"/>
      <c r="AH279" s="93"/>
      <c r="AI279" s="93"/>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1">O$17</f>
        <v/>
      </c>
      <c r="P281" s="320" t="str">
        <f t="shared" si="301"/>
        <v/>
      </c>
      <c r="Q281" s="320" t="str">
        <f t="shared" si="301"/>
        <v/>
      </c>
      <c r="R281" s="320" t="str">
        <f t="shared" si="301"/>
        <v/>
      </c>
      <c r="S281" s="320" t="str">
        <f t="shared" si="301"/>
        <v/>
      </c>
      <c r="T281" s="320" t="str">
        <f t="shared" si="301"/>
        <v/>
      </c>
      <c r="U281" s="320" t="str">
        <f t="shared" si="301"/>
        <v/>
      </c>
      <c r="V281" s="320" t="str">
        <f t="shared" si="301"/>
        <v/>
      </c>
      <c r="W281" s="320" t="str">
        <f t="shared" si="301"/>
        <v/>
      </c>
      <c r="X281" s="214"/>
      <c r="Y281" s="318"/>
      <c r="Z281" s="222"/>
      <c r="AA281" s="320" t="str">
        <f t="shared" ref="AA281:AI281" si="302">AA$17</f>
        <v/>
      </c>
      <c r="AB281" s="320" t="str">
        <f t="shared" si="302"/>
        <v/>
      </c>
      <c r="AC281" s="320" t="str">
        <f t="shared" si="302"/>
        <v/>
      </c>
      <c r="AD281" s="320" t="str">
        <f t="shared" si="302"/>
        <v/>
      </c>
      <c r="AE281" s="320" t="str">
        <f t="shared" si="302"/>
        <v/>
      </c>
      <c r="AF281" s="320" t="str">
        <f t="shared" si="302"/>
        <v/>
      </c>
      <c r="AG281" s="320" t="str">
        <f t="shared" si="302"/>
        <v/>
      </c>
      <c r="AH281" s="320" t="str">
        <f t="shared" si="302"/>
        <v/>
      </c>
      <c r="AI281" s="320" t="str">
        <f t="shared" si="302"/>
        <v/>
      </c>
      <c r="AJ281" s="214"/>
      <c r="AK281" s="318"/>
      <c r="AL281" s="222"/>
      <c r="AM281" s="320" t="str">
        <f>AM$17</f>
        <v/>
      </c>
      <c r="AN281" s="320" t="str">
        <f t="shared" ref="AN281:AU281" si="303">AN$17</f>
        <v/>
      </c>
      <c r="AO281" s="320" t="str">
        <f t="shared" si="303"/>
        <v/>
      </c>
      <c r="AP281" s="320" t="str">
        <f t="shared" si="303"/>
        <v/>
      </c>
      <c r="AQ281" s="320" t="str">
        <f t="shared" si="303"/>
        <v/>
      </c>
      <c r="AR281" s="320" t="str">
        <f t="shared" si="303"/>
        <v/>
      </c>
      <c r="AS281" s="320" t="str">
        <f t="shared" si="303"/>
        <v/>
      </c>
      <c r="AT281" s="320" t="str">
        <f t="shared" si="303"/>
        <v/>
      </c>
      <c r="AU281" s="320" t="str">
        <f t="shared" si="303"/>
        <v/>
      </c>
      <c r="AV281" s="214"/>
      <c r="AW281" s="318"/>
      <c r="AX281" s="222"/>
      <c r="AY281" s="320" t="str">
        <f>AY$17</f>
        <v/>
      </c>
      <c r="AZ281" s="320" t="str">
        <f t="shared" ref="AZ281:BG281" si="304">AZ$17</f>
        <v/>
      </c>
      <c r="BA281" s="320" t="str">
        <f t="shared" si="304"/>
        <v/>
      </c>
      <c r="BB281" s="320" t="str">
        <f t="shared" si="304"/>
        <v/>
      </c>
      <c r="BC281" s="320" t="str">
        <f t="shared" si="304"/>
        <v/>
      </c>
      <c r="BD281" s="320" t="str">
        <f t="shared" si="304"/>
        <v/>
      </c>
      <c r="BE281" s="320" t="str">
        <f t="shared" si="304"/>
        <v/>
      </c>
      <c r="BF281" s="320" t="str">
        <f t="shared" si="304"/>
        <v/>
      </c>
      <c r="BG281" s="320" t="str">
        <f t="shared" si="304"/>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05">IF(OR(O$19="",O$24=0,O$31=0),"",MATCH(O$21,BENG_gebruiksfuncties,0))</f>
        <v/>
      </c>
      <c r="P283" s="250" t="str">
        <f t="shared" si="305"/>
        <v/>
      </c>
      <c r="Q283" s="250" t="str">
        <f t="shared" si="305"/>
        <v/>
      </c>
      <c r="R283" s="250" t="str">
        <f t="shared" si="305"/>
        <v/>
      </c>
      <c r="S283" s="250" t="str">
        <f t="shared" si="305"/>
        <v/>
      </c>
      <c r="T283" s="250" t="str">
        <f t="shared" si="305"/>
        <v/>
      </c>
      <c r="U283" s="250" t="str">
        <f t="shared" si="305"/>
        <v/>
      </c>
      <c r="V283" s="250" t="str">
        <f t="shared" si="305"/>
        <v/>
      </c>
      <c r="W283" s="250" t="str">
        <f t="shared" si="305"/>
        <v/>
      </c>
      <c r="X283" s="122"/>
      <c r="Y283" s="249"/>
      <c r="Z283" s="248"/>
      <c r="AA283" s="250" t="str">
        <f t="shared" ref="AA283:AI283" si="306">IF(OR(AA$19="",AA$24=0,AA$31=0),"",MATCH(AA$21,BENG_gebruiksfuncties,0))</f>
        <v/>
      </c>
      <c r="AB283" s="250" t="str">
        <f t="shared" si="306"/>
        <v/>
      </c>
      <c r="AC283" s="250" t="str">
        <f t="shared" si="306"/>
        <v/>
      </c>
      <c r="AD283" s="250" t="str">
        <f t="shared" si="306"/>
        <v/>
      </c>
      <c r="AE283" s="250" t="str">
        <f t="shared" si="306"/>
        <v/>
      </c>
      <c r="AF283" s="250" t="str">
        <f t="shared" si="306"/>
        <v/>
      </c>
      <c r="AG283" s="250" t="str">
        <f t="shared" si="306"/>
        <v/>
      </c>
      <c r="AH283" s="250" t="str">
        <f t="shared" si="306"/>
        <v/>
      </c>
      <c r="AI283" s="250" t="str">
        <f t="shared" si="306"/>
        <v/>
      </c>
      <c r="AJ283" s="122"/>
      <c r="AK283" s="249"/>
      <c r="AL283" s="248"/>
      <c r="AM283" s="250" t="str">
        <f>IF(OR(AM$19="",AM$24=0,AM$31=0),"",MATCH(AM$21,BENG_gebruiksfuncties,0))</f>
        <v/>
      </c>
      <c r="AN283" s="250" t="str">
        <f t="shared" ref="AN283:AU283" si="307">IF(OR(AN$19="",AN$24=0,AN$31=0),"",MATCH(AN$21,BENG_gebruiksfuncties,0))</f>
        <v/>
      </c>
      <c r="AO283" s="250" t="str">
        <f t="shared" si="307"/>
        <v/>
      </c>
      <c r="AP283" s="250" t="str">
        <f t="shared" si="307"/>
        <v/>
      </c>
      <c r="AQ283" s="250" t="str">
        <f t="shared" si="307"/>
        <v/>
      </c>
      <c r="AR283" s="250" t="str">
        <f t="shared" si="307"/>
        <v/>
      </c>
      <c r="AS283" s="250" t="str">
        <f t="shared" si="307"/>
        <v/>
      </c>
      <c r="AT283" s="250" t="str">
        <f t="shared" si="307"/>
        <v/>
      </c>
      <c r="AU283" s="250" t="str">
        <f t="shared" si="307"/>
        <v/>
      </c>
      <c r="AV283" s="122"/>
      <c r="AW283" s="249"/>
      <c r="AX283" s="248"/>
      <c r="AY283" s="250" t="str">
        <f t="shared" ref="AY283:BG283" si="308">IF(OR(AY$19="",AY$24=0,AY$31=0),"",MATCH(AY$21,BENG_gebruiksfuncties,0))</f>
        <v/>
      </c>
      <c r="AZ283" s="250" t="str">
        <f t="shared" si="308"/>
        <v/>
      </c>
      <c r="BA283" s="250" t="str">
        <f t="shared" si="308"/>
        <v/>
      </c>
      <c r="BB283" s="250" t="str">
        <f t="shared" si="308"/>
        <v/>
      </c>
      <c r="BC283" s="250" t="str">
        <f t="shared" si="308"/>
        <v/>
      </c>
      <c r="BD283" s="250" t="str">
        <f t="shared" si="308"/>
        <v/>
      </c>
      <c r="BE283" s="250" t="str">
        <f t="shared" si="308"/>
        <v/>
      </c>
      <c r="BF283" s="250" t="str">
        <f t="shared" si="308"/>
        <v/>
      </c>
      <c r="BG283" s="250" t="str">
        <f t="shared" si="308"/>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1876</v>
      </c>
      <c r="F289" s="359"/>
      <c r="G289" s="1070" t="s">
        <v>1843</v>
      </c>
      <c r="H289" s="358" t="s">
        <v>68</v>
      </c>
      <c r="I289" s="321"/>
      <c r="J289" s="1071"/>
      <c r="K289" s="1072"/>
      <c r="L289" s="1072"/>
      <c r="M289" s="1071"/>
      <c r="N289" s="1073" t="s">
        <v>87</v>
      </c>
      <c r="O289" s="1055" t="e">
        <f t="shared" ref="O289:W289" si="309">INDEX(gebruiksfuncties_fitcurve_NTA8800,MATCH(O$21,gebruiksfuncties_namen,0))
&amp;INDEX(ventilatiesystemen_code,MATCH(O$42,ventilatiesystemen_namen,0))
&amp;O$49
&amp;$G289</f>
        <v>#N/A</v>
      </c>
      <c r="P289" s="1055" t="e">
        <f t="shared" si="309"/>
        <v>#N/A</v>
      </c>
      <c r="Q289" s="1055" t="e">
        <f t="shared" si="309"/>
        <v>#N/A</v>
      </c>
      <c r="R289" s="1055" t="e">
        <f t="shared" si="309"/>
        <v>#N/A</v>
      </c>
      <c r="S289" s="1055" t="e">
        <f t="shared" si="309"/>
        <v>#N/A</v>
      </c>
      <c r="T289" s="1055" t="e">
        <f t="shared" si="309"/>
        <v>#N/A</v>
      </c>
      <c r="U289" s="1055" t="e">
        <f t="shared" si="309"/>
        <v>#N/A</v>
      </c>
      <c r="V289" s="1055" t="e">
        <f t="shared" si="309"/>
        <v>#N/A</v>
      </c>
      <c r="W289" s="1055" t="e">
        <f t="shared" si="309"/>
        <v>#N/A</v>
      </c>
      <c r="X289" s="1072"/>
      <c r="Y289" s="1071"/>
      <c r="Z289" s="1073" t="s">
        <v>87</v>
      </c>
      <c r="AA289" s="1055" t="e">
        <f t="shared" ref="AA289:AI289" si="310">INDEX(gebruiksfuncties_fitcurve_NTA8800,MATCH(AA$21,gebruiksfuncties_namen,0))
&amp;INDEX(ventilatiesystemen_code,MATCH(AA$42,ventilatiesystemen_namen,0))
&amp;AA$49
&amp;$G289</f>
        <v>#N/A</v>
      </c>
      <c r="AB289" s="1055" t="e">
        <f t="shared" si="310"/>
        <v>#N/A</v>
      </c>
      <c r="AC289" s="1055" t="e">
        <f t="shared" si="310"/>
        <v>#N/A</v>
      </c>
      <c r="AD289" s="1055" t="e">
        <f t="shared" si="310"/>
        <v>#N/A</v>
      </c>
      <c r="AE289" s="1055" t="e">
        <f t="shared" si="310"/>
        <v>#N/A</v>
      </c>
      <c r="AF289" s="1055" t="e">
        <f t="shared" si="310"/>
        <v>#N/A</v>
      </c>
      <c r="AG289" s="1055" t="e">
        <f t="shared" si="310"/>
        <v>#N/A</v>
      </c>
      <c r="AH289" s="1055" t="e">
        <f t="shared" si="310"/>
        <v>#N/A</v>
      </c>
      <c r="AI289" s="1055" t="e">
        <f t="shared" si="310"/>
        <v>#N/A</v>
      </c>
      <c r="AJ289" s="1072"/>
      <c r="AK289" s="1071"/>
      <c r="AL289" s="1073" t="s">
        <v>87</v>
      </c>
      <c r="AM289" s="1055" t="e">
        <f t="shared" ref="AM289:AU289" si="311">INDEX(gebruiksfuncties_fitcurve_NTA8800,MATCH(AM$21,gebruiksfuncties_namen,0))
&amp;INDEX(ventilatiesystemen_code,MATCH(AM$42,ventilatiesystemen_namen,0))
&amp;AM$49
&amp;$G289</f>
        <v>#N/A</v>
      </c>
      <c r="AN289" s="1055" t="e">
        <f t="shared" si="311"/>
        <v>#N/A</v>
      </c>
      <c r="AO289" s="1055" t="e">
        <f t="shared" si="311"/>
        <v>#N/A</v>
      </c>
      <c r="AP289" s="1055" t="e">
        <f t="shared" si="311"/>
        <v>#N/A</v>
      </c>
      <c r="AQ289" s="1055" t="e">
        <f t="shared" si="311"/>
        <v>#N/A</v>
      </c>
      <c r="AR289" s="1055" t="e">
        <f t="shared" si="311"/>
        <v>#N/A</v>
      </c>
      <c r="AS289" s="1055" t="e">
        <f t="shared" si="311"/>
        <v>#N/A</v>
      </c>
      <c r="AT289" s="1055" t="e">
        <f t="shared" si="311"/>
        <v>#N/A</v>
      </c>
      <c r="AU289" s="1055" t="e">
        <f t="shared" si="311"/>
        <v>#N/A</v>
      </c>
      <c r="AV289" s="1072"/>
      <c r="AW289" s="1071"/>
      <c r="AX289" s="1073" t="s">
        <v>87</v>
      </c>
      <c r="AY289" s="1055" t="e">
        <f t="shared" ref="AY289:BG289" si="312">INDEX(gebruiksfuncties_fitcurve_NTA8800,MATCH(AY$21,gebruiksfuncties_namen,0))
&amp;INDEX(ventilatiesystemen_code,MATCH(AY$42,ventilatiesystemen_namen,0))
&amp;AY$49
&amp;$G289</f>
        <v>#N/A</v>
      </c>
      <c r="AZ289" s="1055" t="e">
        <f t="shared" si="312"/>
        <v>#N/A</v>
      </c>
      <c r="BA289" s="1055" t="e">
        <f t="shared" si="312"/>
        <v>#N/A</v>
      </c>
      <c r="BB289" s="1055" t="e">
        <f t="shared" si="312"/>
        <v>#N/A</v>
      </c>
      <c r="BC289" s="1055" t="e">
        <f t="shared" si="312"/>
        <v>#N/A</v>
      </c>
      <c r="BD289" s="1055" t="e">
        <f t="shared" si="312"/>
        <v>#N/A</v>
      </c>
      <c r="BE289" s="1055" t="e">
        <f t="shared" si="312"/>
        <v>#N/A</v>
      </c>
      <c r="BF289" s="1055" t="e">
        <f t="shared" si="312"/>
        <v>#N/A</v>
      </c>
      <c r="BG289" s="1055" t="e">
        <f t="shared" si="312"/>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13">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13"/>
        <v/>
      </c>
      <c r="Q290" s="302" t="str">
        <f t="shared" si="313"/>
        <v/>
      </c>
      <c r="R290" s="302" t="str">
        <f t="shared" si="313"/>
        <v/>
      </c>
      <c r="S290" s="302" t="str">
        <f t="shared" si="313"/>
        <v/>
      </c>
      <c r="T290" s="302" t="str">
        <f t="shared" si="313"/>
        <v/>
      </c>
      <c r="U290" s="302" t="str">
        <f t="shared" si="313"/>
        <v/>
      </c>
      <c r="V290" s="302" t="str">
        <f t="shared" si="313"/>
        <v/>
      </c>
      <c r="W290" s="302" t="str">
        <f t="shared" si="313"/>
        <v/>
      </c>
      <c r="X290" s="122"/>
      <c r="Y290" s="249"/>
      <c r="Z290" s="248"/>
      <c r="AA290" s="302" t="str">
        <f t="shared" ref="AA290:AI290" si="314">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14"/>
        <v/>
      </c>
      <c r="AC290" s="302" t="str">
        <f t="shared" si="314"/>
        <v/>
      </c>
      <c r="AD290" s="302" t="str">
        <f t="shared" si="314"/>
        <v/>
      </c>
      <c r="AE290" s="302" t="str">
        <f t="shared" si="314"/>
        <v/>
      </c>
      <c r="AF290" s="302" t="str">
        <f t="shared" si="314"/>
        <v/>
      </c>
      <c r="AG290" s="302" t="str">
        <f t="shared" si="314"/>
        <v/>
      </c>
      <c r="AH290" s="302" t="str">
        <f t="shared" si="314"/>
        <v/>
      </c>
      <c r="AI290" s="302" t="str">
        <f t="shared" si="314"/>
        <v/>
      </c>
      <c r="AJ290" s="122"/>
      <c r="AK290" s="249"/>
      <c r="AL290" s="248"/>
      <c r="AM290" s="302" t="str">
        <f t="shared" ref="AM290:AU290" si="315">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15"/>
        <v/>
      </c>
      <c r="AO290" s="302" t="str">
        <f t="shared" si="315"/>
        <v/>
      </c>
      <c r="AP290" s="302" t="str">
        <f t="shared" si="315"/>
        <v/>
      </c>
      <c r="AQ290" s="302" t="str">
        <f t="shared" si="315"/>
        <v/>
      </c>
      <c r="AR290" s="302" t="str">
        <f t="shared" si="315"/>
        <v/>
      </c>
      <c r="AS290" s="302" t="str">
        <f t="shared" si="315"/>
        <v/>
      </c>
      <c r="AT290" s="302" t="str">
        <f t="shared" si="315"/>
        <v/>
      </c>
      <c r="AU290" s="302" t="str">
        <f t="shared" si="315"/>
        <v/>
      </c>
      <c r="AV290" s="122"/>
      <c r="AW290" s="249"/>
      <c r="AX290" s="248"/>
      <c r="AY290" s="302" t="str">
        <f t="shared" ref="AY290:BG290" si="316">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16"/>
        <v/>
      </c>
      <c r="BA290" s="302" t="str">
        <f t="shared" si="316"/>
        <v/>
      </c>
      <c r="BB290" s="302" t="str">
        <f t="shared" si="316"/>
        <v/>
      </c>
      <c r="BC290" s="302" t="str">
        <f t="shared" si="316"/>
        <v/>
      </c>
      <c r="BD290" s="302" t="str">
        <f t="shared" si="316"/>
        <v/>
      </c>
      <c r="BE290" s="302" t="str">
        <f t="shared" si="316"/>
        <v/>
      </c>
      <c r="BF290" s="302" t="str">
        <f t="shared" si="316"/>
        <v/>
      </c>
      <c r="BG290" s="302" t="str">
        <f t="shared" si="316"/>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17">IF(OR(O$19="",O$24=0,O$31=0),"",ROUNDUP(O$258-O$249-O$250-O$251-IF(OR(O$21=woning,O$21=woongebouw),O247,0),2))</f>
        <v/>
      </c>
      <c r="P291" s="302" t="str">
        <f t="shared" si="317"/>
        <v/>
      </c>
      <c r="Q291" s="302" t="str">
        <f t="shared" si="317"/>
        <v/>
      </c>
      <c r="R291" s="302" t="str">
        <f t="shared" si="317"/>
        <v/>
      </c>
      <c r="S291" s="302" t="str">
        <f t="shared" si="317"/>
        <v/>
      </c>
      <c r="T291" s="302" t="str">
        <f t="shared" si="317"/>
        <v/>
      </c>
      <c r="U291" s="302" t="str">
        <f t="shared" si="317"/>
        <v/>
      </c>
      <c r="V291" s="302" t="str">
        <f t="shared" si="317"/>
        <v/>
      </c>
      <c r="W291" s="302" t="str">
        <f t="shared" si="317"/>
        <v/>
      </c>
      <c r="X291" s="122"/>
      <c r="Y291" s="249"/>
      <c r="Z291" s="248"/>
      <c r="AA291" s="302" t="str">
        <f t="shared" ref="AA291:AI291" si="318">IF(OR(AA$19="",AA$24=0,AA$31=0),"",ROUNDUP(AA$258-AA$249-AA$250-AA$251-IF(OR(AA$21=woning,AA$21=woongebouw),AA247,0),2))</f>
        <v/>
      </c>
      <c r="AB291" s="302" t="str">
        <f t="shared" si="318"/>
        <v/>
      </c>
      <c r="AC291" s="302" t="str">
        <f t="shared" si="318"/>
        <v/>
      </c>
      <c r="AD291" s="302" t="str">
        <f t="shared" si="318"/>
        <v/>
      </c>
      <c r="AE291" s="302" t="str">
        <f t="shared" si="318"/>
        <v/>
      </c>
      <c r="AF291" s="302" t="str">
        <f t="shared" si="318"/>
        <v/>
      </c>
      <c r="AG291" s="302" t="str">
        <f t="shared" si="318"/>
        <v/>
      </c>
      <c r="AH291" s="302" t="str">
        <f t="shared" si="318"/>
        <v/>
      </c>
      <c r="AI291" s="302" t="str">
        <f t="shared" si="318"/>
        <v/>
      </c>
      <c r="AJ291" s="122"/>
      <c r="AK291" s="249"/>
      <c r="AL291" s="248"/>
      <c r="AM291" s="302" t="str">
        <f t="shared" ref="AM291:AU291" si="319">IF(OR(AM$19="",AM$24=0,AM$31=0),"",ROUNDUP(AM$258-AM$249-AM$250-AM$251-IF(OR(AM$21=woning,AM$21=woongebouw),AM247,0),2))</f>
        <v/>
      </c>
      <c r="AN291" s="302" t="str">
        <f t="shared" si="319"/>
        <v/>
      </c>
      <c r="AO291" s="302" t="str">
        <f t="shared" si="319"/>
        <v/>
      </c>
      <c r="AP291" s="302" t="str">
        <f t="shared" si="319"/>
        <v/>
      </c>
      <c r="AQ291" s="302" t="str">
        <f t="shared" si="319"/>
        <v/>
      </c>
      <c r="AR291" s="302" t="str">
        <f t="shared" si="319"/>
        <v/>
      </c>
      <c r="AS291" s="302" t="str">
        <f t="shared" si="319"/>
        <v/>
      </c>
      <c r="AT291" s="302" t="str">
        <f t="shared" si="319"/>
        <v/>
      </c>
      <c r="AU291" s="302" t="str">
        <f t="shared" si="319"/>
        <v/>
      </c>
      <c r="AV291" s="122"/>
      <c r="AW291" s="249"/>
      <c r="AX291" s="248"/>
      <c r="AY291" s="302" t="str">
        <f t="shared" ref="AY291:BG291" si="320">IF(OR(AY$19="",AY$24=0,AY$31=0),"",ROUNDUP(AY$258-AY$249-AY$250-AY$251-IF(OR(AY$21=woning,AY$21=woongebouw),AY247,0),2))</f>
        <v/>
      </c>
      <c r="AZ291" s="302" t="str">
        <f t="shared" si="320"/>
        <v/>
      </c>
      <c r="BA291" s="302" t="str">
        <f t="shared" si="320"/>
        <v/>
      </c>
      <c r="BB291" s="302" t="str">
        <f t="shared" si="320"/>
        <v/>
      </c>
      <c r="BC291" s="302" t="str">
        <f t="shared" si="320"/>
        <v/>
      </c>
      <c r="BD291" s="302" t="str">
        <f t="shared" si="320"/>
        <v/>
      </c>
      <c r="BE291" s="302" t="str">
        <f t="shared" si="320"/>
        <v/>
      </c>
      <c r="BF291" s="302" t="str">
        <f t="shared" si="320"/>
        <v/>
      </c>
      <c r="BG291" s="302" t="str">
        <f t="shared" si="320"/>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1">IF(O$283="","",O278)</f>
        <v/>
      </c>
      <c r="P292" s="685" t="str">
        <f t="shared" si="321"/>
        <v/>
      </c>
      <c r="Q292" s="685" t="str">
        <f t="shared" si="321"/>
        <v/>
      </c>
      <c r="R292" s="685" t="str">
        <f t="shared" si="321"/>
        <v/>
      </c>
      <c r="S292" s="685" t="str">
        <f t="shared" si="321"/>
        <v/>
      </c>
      <c r="T292" s="685" t="str">
        <f t="shared" si="321"/>
        <v/>
      </c>
      <c r="U292" s="685" t="str">
        <f t="shared" si="321"/>
        <v/>
      </c>
      <c r="V292" s="685" t="str">
        <f t="shared" si="321"/>
        <v/>
      </c>
      <c r="W292" s="685" t="str">
        <f t="shared" si="321"/>
        <v/>
      </c>
      <c r="X292" s="686"/>
      <c r="Y292" s="687"/>
      <c r="Z292" s="688"/>
      <c r="AA292" s="685" t="str">
        <f t="shared" ref="AA292:AI292" si="322">IF(AA$283="","",AA278)</f>
        <v/>
      </c>
      <c r="AB292" s="685" t="str">
        <f t="shared" si="322"/>
        <v/>
      </c>
      <c r="AC292" s="685" t="str">
        <f t="shared" si="322"/>
        <v/>
      </c>
      <c r="AD292" s="685" t="str">
        <f t="shared" si="322"/>
        <v/>
      </c>
      <c r="AE292" s="685" t="str">
        <f t="shared" si="322"/>
        <v/>
      </c>
      <c r="AF292" s="685" t="str">
        <f t="shared" si="322"/>
        <v/>
      </c>
      <c r="AG292" s="685" t="str">
        <f t="shared" si="322"/>
        <v/>
      </c>
      <c r="AH292" s="685" t="str">
        <f t="shared" si="322"/>
        <v/>
      </c>
      <c r="AI292" s="685" t="str">
        <f t="shared" si="322"/>
        <v/>
      </c>
      <c r="AJ292" s="686"/>
      <c r="AK292" s="687"/>
      <c r="AL292" s="688"/>
      <c r="AM292" s="685" t="str">
        <f>IF(AM$283="","",AM278)</f>
        <v/>
      </c>
      <c r="AN292" s="685" t="str">
        <f t="shared" ref="AN292:AU292" si="323">IF(AN$283="","",AN278)</f>
        <v/>
      </c>
      <c r="AO292" s="685" t="str">
        <f t="shared" si="323"/>
        <v/>
      </c>
      <c r="AP292" s="685" t="str">
        <f t="shared" si="323"/>
        <v/>
      </c>
      <c r="AQ292" s="685" t="str">
        <f t="shared" si="323"/>
        <v/>
      </c>
      <c r="AR292" s="685" t="str">
        <f t="shared" si="323"/>
        <v/>
      </c>
      <c r="AS292" s="685" t="str">
        <f t="shared" si="323"/>
        <v/>
      </c>
      <c r="AT292" s="685" t="str">
        <f t="shared" si="323"/>
        <v/>
      </c>
      <c r="AU292" s="685" t="str">
        <f t="shared" si="323"/>
        <v/>
      </c>
      <c r="AV292" s="686"/>
      <c r="AW292" s="687"/>
      <c r="AX292" s="688"/>
      <c r="AY292" s="685" t="str">
        <f>IF(AY$283="","",AY278)</f>
        <v/>
      </c>
      <c r="AZ292" s="685" t="str">
        <f t="shared" ref="AZ292:BG292" si="324">IF(AZ$283="","",AZ278)</f>
        <v/>
      </c>
      <c r="BA292" s="685" t="str">
        <f t="shared" si="324"/>
        <v/>
      </c>
      <c r="BB292" s="685" t="str">
        <f t="shared" si="324"/>
        <v/>
      </c>
      <c r="BC292" s="685" t="str">
        <f t="shared" si="324"/>
        <v/>
      </c>
      <c r="BD292" s="685" t="str">
        <f t="shared" si="324"/>
        <v/>
      </c>
      <c r="BE292" s="685" t="str">
        <f t="shared" si="324"/>
        <v/>
      </c>
      <c r="BF292" s="685" t="str">
        <f t="shared" si="324"/>
        <v/>
      </c>
      <c r="BG292" s="685" t="str">
        <f t="shared" si="324"/>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25">IF(O$28=0,"",INDEX(eindnorm_utiliteit_energielabel,MATCH(O$21,gebruiksfuncties_namen,0)))</f>
        <v/>
      </c>
      <c r="P295" s="207" t="str">
        <f>IF(P$28=0,"",INDEX(eindnorm_utiliteit_energielabel,1,MATCH(P$21,gebruiksfuncties_namen,0)))</f>
        <v/>
      </c>
      <c r="Q295" s="207" t="str">
        <f t="shared" si="325"/>
        <v/>
      </c>
      <c r="R295" s="207" t="str">
        <f t="shared" si="325"/>
        <v/>
      </c>
      <c r="S295" s="207" t="str">
        <f t="shared" si="325"/>
        <v/>
      </c>
      <c r="T295" s="207" t="str">
        <f t="shared" si="325"/>
        <v/>
      </c>
      <c r="U295" s="207" t="str">
        <f t="shared" si="325"/>
        <v/>
      </c>
      <c r="V295" s="207" t="str">
        <f t="shared" si="325"/>
        <v/>
      </c>
      <c r="W295" s="207" t="str">
        <f t="shared" si="325"/>
        <v/>
      </c>
      <c r="X295" s="128"/>
      <c r="Y295" s="243"/>
      <c r="Z295" s="129"/>
      <c r="AA295" s="207" t="str">
        <f t="shared" ref="AA295:AI295" si="326">IF(AA$28=0,"",INDEX(eindnorm_utiliteit_energielabel,MATCH(AA$21,gebruiksfuncties_namen,0)))</f>
        <v/>
      </c>
      <c r="AB295" s="207" t="str">
        <f t="shared" si="326"/>
        <v/>
      </c>
      <c r="AC295" s="207" t="str">
        <f t="shared" si="326"/>
        <v/>
      </c>
      <c r="AD295" s="207" t="str">
        <f t="shared" si="326"/>
        <v/>
      </c>
      <c r="AE295" s="207" t="str">
        <f t="shared" si="326"/>
        <v/>
      </c>
      <c r="AF295" s="207" t="str">
        <f t="shared" si="326"/>
        <v/>
      </c>
      <c r="AG295" s="207" t="str">
        <f t="shared" si="326"/>
        <v/>
      </c>
      <c r="AH295" s="207" t="str">
        <f t="shared" si="326"/>
        <v/>
      </c>
      <c r="AI295" s="207" t="str">
        <f t="shared" si="326"/>
        <v/>
      </c>
      <c r="AJ295" s="128"/>
      <c r="AK295" s="243"/>
      <c r="AL295" s="129"/>
      <c r="AM295" s="207" t="str">
        <f t="shared" ref="AM295:AU295" si="327">IF(AM$28=0,"",INDEX(eindnorm_utiliteit_energielabel,MATCH(AM$21,gebruiksfuncties_namen,0)))</f>
        <v/>
      </c>
      <c r="AN295" s="207" t="str">
        <f t="shared" si="327"/>
        <v/>
      </c>
      <c r="AO295" s="207" t="str">
        <f t="shared" si="327"/>
        <v/>
      </c>
      <c r="AP295" s="207" t="str">
        <f t="shared" si="327"/>
        <v/>
      </c>
      <c r="AQ295" s="207" t="str">
        <f t="shared" si="327"/>
        <v/>
      </c>
      <c r="AR295" s="207" t="str">
        <f t="shared" si="327"/>
        <v/>
      </c>
      <c r="AS295" s="207" t="str">
        <f t="shared" si="327"/>
        <v/>
      </c>
      <c r="AT295" s="207" t="str">
        <f t="shared" si="327"/>
        <v/>
      </c>
      <c r="AU295" s="207" t="str">
        <f t="shared" si="327"/>
        <v/>
      </c>
      <c r="AV295" s="128"/>
      <c r="AW295" s="243"/>
      <c r="AX295" s="129"/>
      <c r="AY295" s="207" t="str">
        <f t="shared" ref="AY295:BG295" si="328">IF(AY$28=0,"",INDEX(eindnorm_utiliteit_energielabel,MATCH(AY$21,gebruiksfuncties_namen,0)))</f>
        <v/>
      </c>
      <c r="AZ295" s="207" t="str">
        <f t="shared" si="328"/>
        <v/>
      </c>
      <c r="BA295" s="207" t="str">
        <f t="shared" si="328"/>
        <v/>
      </c>
      <c r="BB295" s="207" t="str">
        <f t="shared" si="328"/>
        <v/>
      </c>
      <c r="BC295" s="207" t="str">
        <f t="shared" si="328"/>
        <v/>
      </c>
      <c r="BD295" s="207" t="str">
        <f t="shared" si="328"/>
        <v/>
      </c>
      <c r="BE295" s="207" t="str">
        <f t="shared" si="328"/>
        <v/>
      </c>
      <c r="BF295" s="207" t="str">
        <f t="shared" si="328"/>
        <v/>
      </c>
      <c r="BG295" s="207" t="str">
        <f t="shared" si="328"/>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29">IF(O$298="","",IF(O$298="nvt","nvt",
INDEX(standaardwaarde_basis,MATCH(O$21,standaardwaarden_gebruiksfuncties,0))+
MAX(0,O$34-1)*INDEX(standaardwaarde_extra_vraag_boven_grenswaarde_vormfactor,MATCH(O$21,standaardwaarden_gebruiksfuncties,0))))</f>
        <v/>
      </c>
      <c r="P297" s="251" t="str">
        <f t="shared" si="329"/>
        <v/>
      </c>
      <c r="Q297" s="251" t="str">
        <f t="shared" si="329"/>
        <v/>
      </c>
      <c r="R297" s="251" t="str">
        <f t="shared" si="329"/>
        <v/>
      </c>
      <c r="S297" s="251" t="str">
        <f t="shared" si="329"/>
        <v/>
      </c>
      <c r="T297" s="251" t="str">
        <f t="shared" si="329"/>
        <v/>
      </c>
      <c r="U297" s="251" t="str">
        <f t="shared" si="329"/>
        <v/>
      </c>
      <c r="V297" s="251" t="str">
        <f t="shared" si="329"/>
        <v/>
      </c>
      <c r="W297" s="251" t="str">
        <f t="shared" si="329"/>
        <v/>
      </c>
      <c r="X297" s="128"/>
      <c r="Y297" s="249"/>
      <c r="Z297" s="248"/>
      <c r="AA297" s="251" t="str">
        <f t="shared" ref="AA297:AI297" si="330">IF(AA$298="","",IF(AA$298="nvt","nvt",
INDEX(standaardwaarde_basis,MATCH(AA$21,standaardwaarden_gebruiksfuncties,0))+
MAX(0,AA$34-1)*INDEX(standaardwaarde_extra_vraag_boven_grenswaarde_vormfactor,MATCH(AA$21,standaardwaarden_gebruiksfuncties,0))))</f>
        <v/>
      </c>
      <c r="AB297" s="251" t="str">
        <f t="shared" si="330"/>
        <v/>
      </c>
      <c r="AC297" s="251" t="str">
        <f t="shared" si="330"/>
        <v/>
      </c>
      <c r="AD297" s="251" t="str">
        <f t="shared" si="330"/>
        <v/>
      </c>
      <c r="AE297" s="251" t="str">
        <f t="shared" si="330"/>
        <v/>
      </c>
      <c r="AF297" s="251" t="str">
        <f t="shared" si="330"/>
        <v/>
      </c>
      <c r="AG297" s="251" t="str">
        <f t="shared" si="330"/>
        <v/>
      </c>
      <c r="AH297" s="251" t="str">
        <f t="shared" si="330"/>
        <v/>
      </c>
      <c r="AI297" s="251" t="str">
        <f t="shared" si="330"/>
        <v/>
      </c>
      <c r="AJ297" s="128"/>
      <c r="AK297" s="249"/>
      <c r="AL297" s="248"/>
      <c r="AM297" s="251" t="str">
        <f t="shared" ref="AM297:AU297" si="331">IF(AM$298="","",IF(AM$298="nvt","nvt",
INDEX(standaardwaarde_basis,MATCH(AM$21,standaardwaarden_gebruiksfuncties,0))+
MAX(0,AM$34-1)*INDEX(standaardwaarde_extra_vraag_boven_grenswaarde_vormfactor,MATCH(AM$21,standaardwaarden_gebruiksfuncties,0))))</f>
        <v/>
      </c>
      <c r="AN297" s="251" t="str">
        <f t="shared" si="331"/>
        <v/>
      </c>
      <c r="AO297" s="251" t="str">
        <f t="shared" si="331"/>
        <v/>
      </c>
      <c r="AP297" s="251" t="str">
        <f t="shared" si="331"/>
        <v/>
      </c>
      <c r="AQ297" s="251" t="str">
        <f t="shared" si="331"/>
        <v/>
      </c>
      <c r="AR297" s="251" t="str">
        <f t="shared" si="331"/>
        <v/>
      </c>
      <c r="AS297" s="251" t="str">
        <f t="shared" si="331"/>
        <v/>
      </c>
      <c r="AT297" s="251" t="str">
        <f t="shared" si="331"/>
        <v/>
      </c>
      <c r="AU297" s="251" t="str">
        <f t="shared" si="331"/>
        <v/>
      </c>
      <c r="AV297" s="128"/>
      <c r="AW297" s="249"/>
      <c r="AX297" s="248"/>
      <c r="AY297" s="251" t="str">
        <f t="shared" ref="AY297:BG297" si="332">IF(AY$298="","",IF(AY$298="nvt","nvt",
INDEX(standaardwaarde_basis,MATCH(AY$21,standaardwaarden_gebruiksfuncties,0))+
MAX(0,AY$34-1)*INDEX(standaardwaarde_extra_vraag_boven_grenswaarde_vormfactor,MATCH(AY$21,standaardwaarden_gebruiksfuncties,0))))</f>
        <v/>
      </c>
      <c r="AZ297" s="251" t="str">
        <f t="shared" si="332"/>
        <v/>
      </c>
      <c r="BA297" s="251" t="str">
        <f t="shared" si="332"/>
        <v/>
      </c>
      <c r="BB297" s="251" t="str">
        <f t="shared" si="332"/>
        <v/>
      </c>
      <c r="BC297" s="251" t="str">
        <f t="shared" si="332"/>
        <v/>
      </c>
      <c r="BD297" s="251" t="str">
        <f t="shared" si="332"/>
        <v/>
      </c>
      <c r="BE297" s="251" t="str">
        <f t="shared" si="332"/>
        <v/>
      </c>
      <c r="BF297" s="251" t="str">
        <f t="shared" si="332"/>
        <v/>
      </c>
      <c r="BG297" s="251" t="str">
        <f t="shared" si="332"/>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33">IF(OR(O$19="",O$40="",O$42="",O$283=""),"",IF(OR(O$21=woning,O$21=woongebouw),O$230,"nvt"))</f>
        <v/>
      </c>
      <c r="P298" s="251" t="str">
        <f t="shared" si="333"/>
        <v/>
      </c>
      <c r="Q298" s="251" t="str">
        <f t="shared" si="333"/>
        <v/>
      </c>
      <c r="R298" s="251" t="str">
        <f t="shared" si="333"/>
        <v/>
      </c>
      <c r="S298" s="251" t="str">
        <f t="shared" si="333"/>
        <v/>
      </c>
      <c r="T298" s="251" t="str">
        <f t="shared" si="333"/>
        <v/>
      </c>
      <c r="U298" s="251" t="str">
        <f t="shared" si="333"/>
        <v/>
      </c>
      <c r="V298" s="251" t="str">
        <f t="shared" si="333"/>
        <v/>
      </c>
      <c r="W298" s="251" t="str">
        <f t="shared" si="333"/>
        <v/>
      </c>
      <c r="X298" s="128"/>
      <c r="Y298" s="249"/>
      <c r="Z298" s="248"/>
      <c r="AA298" s="251" t="str">
        <f t="shared" ref="AA298:AI298" si="334">IF(OR(AA$19="",AA$40="",AA$42="",AA$283=""),"",IF(OR(AA$21=woning,AA$21=woongebouw),AA$230,"nvt"))</f>
        <v/>
      </c>
      <c r="AB298" s="251" t="str">
        <f t="shared" si="334"/>
        <v/>
      </c>
      <c r="AC298" s="251" t="str">
        <f t="shared" si="334"/>
        <v/>
      </c>
      <c r="AD298" s="251" t="str">
        <f t="shared" si="334"/>
        <v/>
      </c>
      <c r="AE298" s="251" t="str">
        <f t="shared" si="334"/>
        <v/>
      </c>
      <c r="AF298" s="251" t="str">
        <f t="shared" si="334"/>
        <v/>
      </c>
      <c r="AG298" s="251" t="str">
        <f t="shared" si="334"/>
        <v/>
      </c>
      <c r="AH298" s="251" t="str">
        <f t="shared" si="334"/>
        <v/>
      </c>
      <c r="AI298" s="251" t="str">
        <f t="shared" si="334"/>
        <v/>
      </c>
      <c r="AJ298" s="128"/>
      <c r="AK298" s="249"/>
      <c r="AL298" s="248"/>
      <c r="AM298" s="251" t="str">
        <f t="shared" ref="AM298:AU298" si="335">IF(OR(AM$19="",AM$40="",AM$42="",AM$283=""),"",IF(OR(AM$21=woning,AM$21=woongebouw),AM$230,"nvt"))</f>
        <v/>
      </c>
      <c r="AN298" s="251" t="str">
        <f t="shared" si="335"/>
        <v/>
      </c>
      <c r="AO298" s="251" t="str">
        <f t="shared" si="335"/>
        <v/>
      </c>
      <c r="AP298" s="251" t="str">
        <f t="shared" si="335"/>
        <v/>
      </c>
      <c r="AQ298" s="251" t="str">
        <f t="shared" si="335"/>
        <v/>
      </c>
      <c r="AR298" s="251" t="str">
        <f t="shared" si="335"/>
        <v/>
      </c>
      <c r="AS298" s="251" t="str">
        <f t="shared" si="335"/>
        <v/>
      </c>
      <c r="AT298" s="251" t="str">
        <f t="shared" si="335"/>
        <v/>
      </c>
      <c r="AU298" s="251" t="str">
        <f t="shared" si="335"/>
        <v/>
      </c>
      <c r="AV298" s="128"/>
      <c r="AW298" s="249"/>
      <c r="AX298" s="248"/>
      <c r="AY298" s="251" t="str">
        <f t="shared" ref="AY298:BG298" si="336">IF(OR(AY$19="",AY$40="",AY$42="",AY$283=""),"",IF(OR(AY$21=woning,AY$21=woongebouw),AY$230,"nvt"))</f>
        <v/>
      </c>
      <c r="AZ298" s="251" t="str">
        <f t="shared" si="336"/>
        <v/>
      </c>
      <c r="BA298" s="251" t="str">
        <f t="shared" si="336"/>
        <v/>
      </c>
      <c r="BB298" s="251" t="str">
        <f t="shared" si="336"/>
        <v/>
      </c>
      <c r="BC298" s="251" t="str">
        <f t="shared" si="336"/>
        <v/>
      </c>
      <c r="BD298" s="251" t="str">
        <f t="shared" si="336"/>
        <v/>
      </c>
      <c r="BE298" s="251" t="str">
        <f t="shared" si="336"/>
        <v/>
      </c>
      <c r="BF298" s="251" t="str">
        <f t="shared" si="336"/>
        <v/>
      </c>
      <c r="BG298" s="251" t="str">
        <f t="shared" si="336"/>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37">IF(OR(O$19="",O$40="",O$42="",O$283=""),"",IF(OR(O$21=woning,O$21=woongebouw),O$230,"nvt"))</f>
        <v/>
      </c>
      <c r="P301" s="251" t="str">
        <f t="shared" si="337"/>
        <v/>
      </c>
      <c r="Q301" s="251" t="str">
        <f t="shared" si="337"/>
        <v/>
      </c>
      <c r="R301" s="251" t="str">
        <f t="shared" si="337"/>
        <v/>
      </c>
      <c r="S301" s="251" t="str">
        <f t="shared" si="337"/>
        <v/>
      </c>
      <c r="T301" s="251" t="str">
        <f t="shared" si="337"/>
        <v/>
      </c>
      <c r="U301" s="251" t="str">
        <f t="shared" si="337"/>
        <v/>
      </c>
      <c r="V301" s="251" t="str">
        <f t="shared" si="337"/>
        <v/>
      </c>
      <c r="W301" s="251" t="str">
        <f t="shared" si="337"/>
        <v/>
      </c>
      <c r="X301" s="128"/>
      <c r="Y301" s="249"/>
      <c r="Z301" s="248"/>
      <c r="AA301" s="251" t="str">
        <f t="shared" ref="AA301:AI301" si="338">IF(OR(AA$19="",AA$40="",AA$42="",AA$283=""),"",IF(OR(AA$21=woning,AA$21=woongebouw),AA$230,"nvt"))</f>
        <v/>
      </c>
      <c r="AB301" s="251" t="str">
        <f t="shared" si="338"/>
        <v/>
      </c>
      <c r="AC301" s="251" t="str">
        <f t="shared" si="338"/>
        <v/>
      </c>
      <c r="AD301" s="251" t="str">
        <f t="shared" si="338"/>
        <v/>
      </c>
      <c r="AE301" s="251" t="str">
        <f t="shared" si="338"/>
        <v/>
      </c>
      <c r="AF301" s="251" t="str">
        <f t="shared" si="338"/>
        <v/>
      </c>
      <c r="AG301" s="251" t="str">
        <f t="shared" si="338"/>
        <v/>
      </c>
      <c r="AH301" s="251" t="str">
        <f t="shared" si="338"/>
        <v/>
      </c>
      <c r="AI301" s="251" t="str">
        <f t="shared" si="338"/>
        <v/>
      </c>
      <c r="AJ301" s="128"/>
      <c r="AK301" s="249"/>
      <c r="AL301" s="248"/>
      <c r="AM301" s="251" t="str">
        <f t="shared" ref="AM301:AU301" si="339">IF(OR(AM$19="",AM$40="",AM$42="",AM$283=""),"",IF(OR(AM$21=woning,AM$21=woongebouw),AM$230,"nvt"))</f>
        <v/>
      </c>
      <c r="AN301" s="251" t="str">
        <f t="shared" si="339"/>
        <v/>
      </c>
      <c r="AO301" s="251" t="str">
        <f t="shared" si="339"/>
        <v/>
      </c>
      <c r="AP301" s="251" t="str">
        <f t="shared" si="339"/>
        <v/>
      </c>
      <c r="AQ301" s="251" t="str">
        <f t="shared" si="339"/>
        <v/>
      </c>
      <c r="AR301" s="251" t="str">
        <f t="shared" si="339"/>
        <v/>
      </c>
      <c r="AS301" s="251" t="str">
        <f t="shared" si="339"/>
        <v/>
      </c>
      <c r="AT301" s="251" t="str">
        <f t="shared" si="339"/>
        <v/>
      </c>
      <c r="AU301" s="251" t="str">
        <f t="shared" si="339"/>
        <v/>
      </c>
      <c r="AV301" s="128"/>
      <c r="AW301" s="249"/>
      <c r="AX301" s="248"/>
      <c r="AY301" s="251" t="str">
        <f t="shared" ref="AY301:BG301" si="340">IF(OR(AY$19="",AY$40="",AY$42="",AY$283=""),"",IF(OR(AY$21=woning,AY$21=woongebouw),AY$230,"nvt"))</f>
        <v/>
      </c>
      <c r="AZ301" s="251" t="str">
        <f t="shared" si="340"/>
        <v/>
      </c>
      <c r="BA301" s="251" t="str">
        <f t="shared" si="340"/>
        <v/>
      </c>
      <c r="BB301" s="251" t="str">
        <f t="shared" si="340"/>
        <v/>
      </c>
      <c r="BC301" s="251" t="str">
        <f t="shared" si="340"/>
        <v/>
      </c>
      <c r="BD301" s="251" t="str">
        <f t="shared" si="340"/>
        <v/>
      </c>
      <c r="BE301" s="251" t="str">
        <f t="shared" si="340"/>
        <v/>
      </c>
      <c r="BF301" s="251" t="str">
        <f t="shared" si="340"/>
        <v/>
      </c>
      <c r="BG301" s="251" t="str">
        <f t="shared" si="340"/>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1">O$17</f>
        <v/>
      </c>
      <c r="P304" s="320" t="str">
        <f t="shared" si="341"/>
        <v/>
      </c>
      <c r="Q304" s="320" t="str">
        <f t="shared" si="341"/>
        <v/>
      </c>
      <c r="R304" s="320" t="str">
        <f t="shared" si="341"/>
        <v/>
      </c>
      <c r="S304" s="320" t="str">
        <f t="shared" si="341"/>
        <v/>
      </c>
      <c r="T304" s="320" t="str">
        <f t="shared" si="341"/>
        <v/>
      </c>
      <c r="U304" s="320" t="str">
        <f t="shared" si="341"/>
        <v/>
      </c>
      <c r="V304" s="320" t="str">
        <f t="shared" si="341"/>
        <v/>
      </c>
      <c r="W304" s="320" t="str">
        <f t="shared" si="341"/>
        <v/>
      </c>
      <c r="X304" s="214"/>
      <c r="Y304" s="318" t="str">
        <f>Y$10&amp;" ton CO2"</f>
        <v>totaal ton CO2</v>
      </c>
      <c r="Z304" s="222"/>
      <c r="AA304" s="320" t="str">
        <f t="shared" ref="AA304:AI304" si="342">AA$17</f>
        <v/>
      </c>
      <c r="AB304" s="320" t="str">
        <f t="shared" si="342"/>
        <v/>
      </c>
      <c r="AC304" s="320" t="str">
        <f t="shared" si="342"/>
        <v/>
      </c>
      <c r="AD304" s="320" t="str">
        <f t="shared" si="342"/>
        <v/>
      </c>
      <c r="AE304" s="320" t="str">
        <f t="shared" si="342"/>
        <v/>
      </c>
      <c r="AF304" s="320" t="str">
        <f t="shared" si="342"/>
        <v/>
      </c>
      <c r="AG304" s="320" t="str">
        <f t="shared" si="342"/>
        <v/>
      </c>
      <c r="AH304" s="320" t="str">
        <f t="shared" si="342"/>
        <v/>
      </c>
      <c r="AI304" s="320" t="str">
        <f t="shared" si="342"/>
        <v/>
      </c>
      <c r="AJ304" s="214"/>
      <c r="AK304" s="318" t="str">
        <f>AK$10&amp;" ton CO2"</f>
        <v>totaal ton CO2</v>
      </c>
      <c r="AL304" s="222"/>
      <c r="AM304" s="320" t="str">
        <f>AM$17</f>
        <v/>
      </c>
      <c r="AN304" s="320" t="str">
        <f t="shared" ref="AN304:AU304" si="343">AN$17</f>
        <v/>
      </c>
      <c r="AO304" s="320" t="str">
        <f t="shared" si="343"/>
        <v/>
      </c>
      <c r="AP304" s="320" t="str">
        <f t="shared" si="343"/>
        <v/>
      </c>
      <c r="AQ304" s="320" t="str">
        <f t="shared" si="343"/>
        <v/>
      </c>
      <c r="AR304" s="320" t="str">
        <f t="shared" si="343"/>
        <v/>
      </c>
      <c r="AS304" s="320" t="str">
        <f t="shared" si="343"/>
        <v/>
      </c>
      <c r="AT304" s="320" t="str">
        <f t="shared" si="343"/>
        <v/>
      </c>
      <c r="AU304" s="320" t="str">
        <f t="shared" si="343"/>
        <v/>
      </c>
      <c r="AV304" s="214"/>
      <c r="AW304" s="318" t="str">
        <f>AW$10&amp;" ton CO2"</f>
        <v>totaal ton CO2</v>
      </c>
      <c r="AX304" s="222"/>
      <c r="AY304" s="320" t="str">
        <f>AY$17</f>
        <v/>
      </c>
      <c r="AZ304" s="320" t="str">
        <f t="shared" ref="AZ304:BG304" si="344">AZ$17</f>
        <v/>
      </c>
      <c r="BA304" s="320" t="str">
        <f t="shared" si="344"/>
        <v/>
      </c>
      <c r="BB304" s="320" t="str">
        <f t="shared" si="344"/>
        <v/>
      </c>
      <c r="BC304" s="320" t="str">
        <f t="shared" si="344"/>
        <v/>
      </c>
      <c r="BD304" s="320" t="str">
        <f t="shared" si="344"/>
        <v/>
      </c>
      <c r="BE304" s="320" t="str">
        <f t="shared" si="344"/>
        <v/>
      </c>
      <c r="BF304" s="320" t="str">
        <f t="shared" si="344"/>
        <v/>
      </c>
      <c r="BG304" s="320" t="str">
        <f t="shared" si="344"/>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45">M306+Y306+AK306+AW306</f>
        <v>0</v>
      </c>
      <c r="K306" s="376"/>
      <c r="L306" s="376"/>
      <c r="M306" s="375">
        <f t="shared" ref="M306:M313" si="346">SUMPRODUCT(N306:X306,N$24:X$24,N$31:X$31)/1000</f>
        <v>0</v>
      </c>
      <c r="N306" s="376"/>
      <c r="O306" s="254">
        <f t="shared" ref="O306:W306" si="347">IF($O$78=0,0,
($O$124+$O$149+$O$165)/$O$78*O62)</f>
        <v>0</v>
      </c>
      <c r="P306" s="254">
        <f t="shared" si="347"/>
        <v>0</v>
      </c>
      <c r="Q306" s="254">
        <f t="shared" si="347"/>
        <v>0</v>
      </c>
      <c r="R306" s="254">
        <f t="shared" si="347"/>
        <v>0</v>
      </c>
      <c r="S306" s="254">
        <f t="shared" si="347"/>
        <v>0</v>
      </c>
      <c r="T306" s="254">
        <f t="shared" si="347"/>
        <v>0</v>
      </c>
      <c r="U306" s="254">
        <f t="shared" si="347"/>
        <v>0</v>
      </c>
      <c r="V306" s="254">
        <f t="shared" si="347"/>
        <v>0</v>
      </c>
      <c r="W306" s="254">
        <f t="shared" si="347"/>
        <v>0</v>
      </c>
      <c r="X306" s="255"/>
      <c r="Y306" s="375">
        <f t="shared" ref="Y306:Y313" si="348">SUMPRODUCT(Z306:AJ306,Z$24:AJ$24,Z$31:AJ$31)/1000</f>
        <v>0</v>
      </c>
      <c r="Z306" s="376"/>
      <c r="AA306" s="254">
        <f t="shared" ref="AA306:AI306" si="349">IF($AA$78=0,0,
($AA$124+$AA$149+$AA$165)/$AA$78*AA62)</f>
        <v>0</v>
      </c>
      <c r="AB306" s="254">
        <f t="shared" si="349"/>
        <v>0</v>
      </c>
      <c r="AC306" s="254">
        <f t="shared" si="349"/>
        <v>0</v>
      </c>
      <c r="AD306" s="254">
        <f t="shared" si="349"/>
        <v>0</v>
      </c>
      <c r="AE306" s="254">
        <f t="shared" si="349"/>
        <v>0</v>
      </c>
      <c r="AF306" s="254">
        <f t="shared" si="349"/>
        <v>0</v>
      </c>
      <c r="AG306" s="254">
        <f t="shared" si="349"/>
        <v>0</v>
      </c>
      <c r="AH306" s="254">
        <f t="shared" si="349"/>
        <v>0</v>
      </c>
      <c r="AI306" s="254">
        <f t="shared" si="349"/>
        <v>0</v>
      </c>
      <c r="AJ306" s="255"/>
      <c r="AK306" s="375">
        <f t="shared" ref="AK306:AK313" si="350">SUMPRODUCT(AL306:AV306,AL$24:AV$24,AL$31:AV$31)/1000</f>
        <v>0</v>
      </c>
      <c r="AL306" s="213"/>
      <c r="AM306" s="254">
        <f t="shared" ref="AM306:AU306" si="351">IF($AM$78=0,0,
($AM$124+$AM$149+$AM$165)/$AM$78*AM62)</f>
        <v>0</v>
      </c>
      <c r="AN306" s="254">
        <f t="shared" si="351"/>
        <v>0</v>
      </c>
      <c r="AO306" s="254">
        <f t="shared" si="351"/>
        <v>0</v>
      </c>
      <c r="AP306" s="254">
        <f t="shared" si="351"/>
        <v>0</v>
      </c>
      <c r="AQ306" s="254">
        <f t="shared" si="351"/>
        <v>0</v>
      </c>
      <c r="AR306" s="254">
        <f t="shared" si="351"/>
        <v>0</v>
      </c>
      <c r="AS306" s="254">
        <f t="shared" si="351"/>
        <v>0</v>
      </c>
      <c r="AT306" s="254">
        <f t="shared" si="351"/>
        <v>0</v>
      </c>
      <c r="AU306" s="254">
        <f t="shared" si="351"/>
        <v>0</v>
      </c>
      <c r="AV306" s="255"/>
      <c r="AW306" s="375">
        <f t="shared" ref="AW306:AW313" si="352">SUMPRODUCT(AX306:BH306,AX$24:BH$24,AX$31:BH$31)/1000</f>
        <v>0</v>
      </c>
      <c r="AX306" s="213"/>
      <c r="AY306" s="254">
        <f t="shared" ref="AY306:BG306" si="353">IF($AY$78=0,0,
($AY$124+$AY$149+$AY$165)/$AY$78*AY62)</f>
        <v>0</v>
      </c>
      <c r="AZ306" s="254">
        <f t="shared" si="353"/>
        <v>0</v>
      </c>
      <c r="BA306" s="254">
        <f t="shared" si="353"/>
        <v>0</v>
      </c>
      <c r="BB306" s="254">
        <f t="shared" si="353"/>
        <v>0</v>
      </c>
      <c r="BC306" s="254">
        <f t="shared" si="353"/>
        <v>0</v>
      </c>
      <c r="BD306" s="254">
        <f t="shared" si="353"/>
        <v>0</v>
      </c>
      <c r="BE306" s="254">
        <f t="shared" si="353"/>
        <v>0</v>
      </c>
      <c r="BF306" s="254">
        <f t="shared" si="353"/>
        <v>0</v>
      </c>
      <c r="BG306" s="254">
        <f t="shared" si="353"/>
        <v>0</v>
      </c>
      <c r="BH306" s="255"/>
    </row>
    <row r="307" spans="1:60">
      <c r="A307" s="645"/>
      <c r="B307" s="492" t="s">
        <v>349</v>
      </c>
      <c r="C307" s="653" t="s">
        <v>111</v>
      </c>
      <c r="D307" s="746"/>
      <c r="E307" s="367" t="str">
        <f>$P$76</f>
        <v>koeling</v>
      </c>
      <c r="F307" s="246"/>
      <c r="G307" s="246"/>
      <c r="H307" s="247" t="s">
        <v>352</v>
      </c>
      <c r="I307" s="248"/>
      <c r="J307" s="375">
        <f t="shared" si="345"/>
        <v>0</v>
      </c>
      <c r="K307" s="376"/>
      <c r="L307" s="376"/>
      <c r="M307" s="375">
        <f t="shared" si="346"/>
        <v>0</v>
      </c>
      <c r="N307" s="376"/>
      <c r="O307" s="254">
        <f t="shared" ref="O307:W307" si="354">IF($P$78=0,0,
($P$124+$P$149+$P$165)/$P$78*O64)</f>
        <v>0</v>
      </c>
      <c r="P307" s="254">
        <f t="shared" si="354"/>
        <v>0</v>
      </c>
      <c r="Q307" s="254">
        <f t="shared" si="354"/>
        <v>0</v>
      </c>
      <c r="R307" s="254">
        <f t="shared" si="354"/>
        <v>0</v>
      </c>
      <c r="S307" s="254">
        <f t="shared" si="354"/>
        <v>0</v>
      </c>
      <c r="T307" s="254">
        <f t="shared" si="354"/>
        <v>0</v>
      </c>
      <c r="U307" s="254">
        <f t="shared" si="354"/>
        <v>0</v>
      </c>
      <c r="V307" s="254">
        <f t="shared" si="354"/>
        <v>0</v>
      </c>
      <c r="W307" s="254">
        <f t="shared" si="354"/>
        <v>0</v>
      </c>
      <c r="X307" s="255"/>
      <c r="Y307" s="375">
        <f t="shared" si="348"/>
        <v>0</v>
      </c>
      <c r="Z307" s="376"/>
      <c r="AA307" s="254">
        <f t="shared" ref="AA307:AI307" si="355">IF($AB$78=0,0,
($AB$124+$AB$149+$AB$165)/$AB$78*AA64)</f>
        <v>0</v>
      </c>
      <c r="AB307" s="254">
        <f t="shared" si="355"/>
        <v>0</v>
      </c>
      <c r="AC307" s="254">
        <f t="shared" si="355"/>
        <v>0</v>
      </c>
      <c r="AD307" s="254">
        <f t="shared" si="355"/>
        <v>0</v>
      </c>
      <c r="AE307" s="254">
        <f t="shared" si="355"/>
        <v>0</v>
      </c>
      <c r="AF307" s="254">
        <f t="shared" si="355"/>
        <v>0</v>
      </c>
      <c r="AG307" s="254">
        <f t="shared" si="355"/>
        <v>0</v>
      </c>
      <c r="AH307" s="254">
        <f t="shared" si="355"/>
        <v>0</v>
      </c>
      <c r="AI307" s="254">
        <f t="shared" si="355"/>
        <v>0</v>
      </c>
      <c r="AJ307" s="255"/>
      <c r="AK307" s="375">
        <f t="shared" si="350"/>
        <v>0</v>
      </c>
      <c r="AL307" s="213"/>
      <c r="AM307" s="254">
        <f t="shared" ref="AM307:AU307" si="356">IF($AN$78=0,0,
($AN$124+$AN$149+$AN$165)/$AN$78*AM64)</f>
        <v>0</v>
      </c>
      <c r="AN307" s="254">
        <f t="shared" si="356"/>
        <v>0</v>
      </c>
      <c r="AO307" s="254">
        <f t="shared" si="356"/>
        <v>0</v>
      </c>
      <c r="AP307" s="254">
        <f t="shared" si="356"/>
        <v>0</v>
      </c>
      <c r="AQ307" s="254">
        <f t="shared" si="356"/>
        <v>0</v>
      </c>
      <c r="AR307" s="254">
        <f t="shared" si="356"/>
        <v>0</v>
      </c>
      <c r="AS307" s="254">
        <f t="shared" si="356"/>
        <v>0</v>
      </c>
      <c r="AT307" s="254">
        <f t="shared" si="356"/>
        <v>0</v>
      </c>
      <c r="AU307" s="254">
        <f t="shared" si="356"/>
        <v>0</v>
      </c>
      <c r="AV307" s="255"/>
      <c r="AW307" s="375">
        <f t="shared" si="352"/>
        <v>0</v>
      </c>
      <c r="AX307" s="213"/>
      <c r="AY307" s="254">
        <f t="shared" ref="AY307:BG307" si="357">IF($AZ$78=0,0,
($AZ$124+$AZ$149+$AZ$165)/$AZ$78*AY64)</f>
        <v>0</v>
      </c>
      <c r="AZ307" s="254">
        <f t="shared" si="357"/>
        <v>0</v>
      </c>
      <c r="BA307" s="254">
        <f t="shared" si="357"/>
        <v>0</v>
      </c>
      <c r="BB307" s="254">
        <f t="shared" si="357"/>
        <v>0</v>
      </c>
      <c r="BC307" s="254">
        <f t="shared" si="357"/>
        <v>0</v>
      </c>
      <c r="BD307" s="254">
        <f t="shared" si="357"/>
        <v>0</v>
      </c>
      <c r="BE307" s="254">
        <f t="shared" si="357"/>
        <v>0</v>
      </c>
      <c r="BF307" s="254">
        <f t="shared" si="357"/>
        <v>0</v>
      </c>
      <c r="BG307" s="254">
        <f t="shared" si="357"/>
        <v>0</v>
      </c>
      <c r="BH307" s="255"/>
    </row>
    <row r="308" spans="1:60">
      <c r="A308" s="645"/>
      <c r="B308" s="492" t="s">
        <v>349</v>
      </c>
      <c r="C308" s="653" t="s">
        <v>111</v>
      </c>
      <c r="D308" s="746"/>
      <c r="E308" s="367" t="str">
        <f>$Q$76</f>
        <v>tapwater</v>
      </c>
      <c r="F308" s="246"/>
      <c r="G308" s="246"/>
      <c r="H308" s="247" t="s">
        <v>352</v>
      </c>
      <c r="I308" s="248"/>
      <c r="J308" s="375">
        <f t="shared" si="345"/>
        <v>0</v>
      </c>
      <c r="K308" s="376"/>
      <c r="L308" s="376"/>
      <c r="M308" s="375">
        <f t="shared" si="346"/>
        <v>0</v>
      </c>
      <c r="N308" s="376"/>
      <c r="O308" s="254">
        <f t="shared" ref="O308:W308" si="358">IF($Q$78=0,0,
($Q$124+$Q$149+$Q$165)/$Q$78*O65)</f>
        <v>0</v>
      </c>
      <c r="P308" s="254">
        <f t="shared" si="358"/>
        <v>0</v>
      </c>
      <c r="Q308" s="254">
        <f t="shared" si="358"/>
        <v>0</v>
      </c>
      <c r="R308" s="254">
        <f t="shared" si="358"/>
        <v>0</v>
      </c>
      <c r="S308" s="254">
        <f t="shared" si="358"/>
        <v>0</v>
      </c>
      <c r="T308" s="254">
        <f t="shared" si="358"/>
        <v>0</v>
      </c>
      <c r="U308" s="254">
        <f t="shared" si="358"/>
        <v>0</v>
      </c>
      <c r="V308" s="254">
        <f t="shared" si="358"/>
        <v>0</v>
      </c>
      <c r="W308" s="254">
        <f t="shared" si="358"/>
        <v>0</v>
      </c>
      <c r="X308" s="255"/>
      <c r="Y308" s="375">
        <f t="shared" si="348"/>
        <v>0</v>
      </c>
      <c r="Z308" s="376"/>
      <c r="AA308" s="254">
        <f t="shared" ref="AA308:AI308" si="359">IF($AC$78=0,0,
($AC$124+$AC$149+$AC$165)/$AC$78*AA65)</f>
        <v>0</v>
      </c>
      <c r="AB308" s="254">
        <f t="shared" si="359"/>
        <v>0</v>
      </c>
      <c r="AC308" s="254">
        <f t="shared" si="359"/>
        <v>0</v>
      </c>
      <c r="AD308" s="254">
        <f t="shared" si="359"/>
        <v>0</v>
      </c>
      <c r="AE308" s="254">
        <f t="shared" si="359"/>
        <v>0</v>
      </c>
      <c r="AF308" s="254">
        <f t="shared" si="359"/>
        <v>0</v>
      </c>
      <c r="AG308" s="254">
        <f t="shared" si="359"/>
        <v>0</v>
      </c>
      <c r="AH308" s="254">
        <f t="shared" si="359"/>
        <v>0</v>
      </c>
      <c r="AI308" s="254">
        <f t="shared" si="359"/>
        <v>0</v>
      </c>
      <c r="AJ308" s="255"/>
      <c r="AK308" s="375">
        <f t="shared" si="350"/>
        <v>0</v>
      </c>
      <c r="AL308" s="213"/>
      <c r="AM308" s="254">
        <f t="shared" ref="AM308:AU308" si="360">IF($AO$78=0,0,
($AO$124+$AO$149+$AO$165)/$AO$78*AM65)</f>
        <v>0</v>
      </c>
      <c r="AN308" s="254">
        <f t="shared" si="360"/>
        <v>0</v>
      </c>
      <c r="AO308" s="254">
        <f t="shared" si="360"/>
        <v>0</v>
      </c>
      <c r="AP308" s="254">
        <f t="shared" si="360"/>
        <v>0</v>
      </c>
      <c r="AQ308" s="254">
        <f t="shared" si="360"/>
        <v>0</v>
      </c>
      <c r="AR308" s="254">
        <f t="shared" si="360"/>
        <v>0</v>
      </c>
      <c r="AS308" s="254">
        <f t="shared" si="360"/>
        <v>0</v>
      </c>
      <c r="AT308" s="254">
        <f t="shared" si="360"/>
        <v>0</v>
      </c>
      <c r="AU308" s="254">
        <f t="shared" si="360"/>
        <v>0</v>
      </c>
      <c r="AV308" s="255"/>
      <c r="AW308" s="375">
        <f t="shared" si="352"/>
        <v>0</v>
      </c>
      <c r="AX308" s="213"/>
      <c r="AY308" s="254">
        <f t="shared" ref="AY308:BG308" si="361">IF($BA$78=0,0,
($BA$124+$BA$149+$BA$165)/$BA$78*AY65)</f>
        <v>0</v>
      </c>
      <c r="AZ308" s="254">
        <f t="shared" si="361"/>
        <v>0</v>
      </c>
      <c r="BA308" s="254">
        <f t="shared" si="361"/>
        <v>0</v>
      </c>
      <c r="BB308" s="254">
        <f t="shared" si="361"/>
        <v>0</v>
      </c>
      <c r="BC308" s="254">
        <f t="shared" si="361"/>
        <v>0</v>
      </c>
      <c r="BD308" s="254">
        <f t="shared" si="361"/>
        <v>0</v>
      </c>
      <c r="BE308" s="254">
        <f t="shared" si="361"/>
        <v>0</v>
      </c>
      <c r="BF308" s="254">
        <f t="shared" si="361"/>
        <v>0</v>
      </c>
      <c r="BG308" s="254">
        <f t="shared" si="361"/>
        <v>0</v>
      </c>
      <c r="BH308" s="255"/>
    </row>
    <row r="309" spans="1:60">
      <c r="A309" s="645"/>
      <c r="B309" s="492" t="s">
        <v>349</v>
      </c>
      <c r="C309" s="653" t="s">
        <v>111</v>
      </c>
      <c r="D309" s="746"/>
      <c r="E309" s="367" t="str">
        <f>$R$76</f>
        <v>verlichting</v>
      </c>
      <c r="F309" s="246"/>
      <c r="G309" s="246"/>
      <c r="H309" s="247" t="s">
        <v>352</v>
      </c>
      <c r="I309" s="248"/>
      <c r="J309" s="375">
        <f t="shared" si="345"/>
        <v>0</v>
      </c>
      <c r="K309" s="376"/>
      <c r="L309" s="376"/>
      <c r="M309" s="375">
        <f t="shared" si="346"/>
        <v>0</v>
      </c>
      <c r="N309" s="376"/>
      <c r="O309" s="254">
        <f t="shared" ref="O309:W309" si="362">IF($R$78=0,0,$R$165/$R$78*O66)</f>
        <v>0</v>
      </c>
      <c r="P309" s="254">
        <f t="shared" si="362"/>
        <v>0</v>
      </c>
      <c r="Q309" s="254">
        <f t="shared" si="362"/>
        <v>0</v>
      </c>
      <c r="R309" s="254">
        <f t="shared" si="362"/>
        <v>0</v>
      </c>
      <c r="S309" s="254">
        <f t="shared" si="362"/>
        <v>0</v>
      </c>
      <c r="T309" s="254">
        <f t="shared" si="362"/>
        <v>0</v>
      </c>
      <c r="U309" s="254">
        <f t="shared" si="362"/>
        <v>0</v>
      </c>
      <c r="V309" s="254">
        <f t="shared" si="362"/>
        <v>0</v>
      </c>
      <c r="W309" s="254">
        <f t="shared" si="362"/>
        <v>0</v>
      </c>
      <c r="X309" s="255"/>
      <c r="Y309" s="375">
        <f t="shared" si="348"/>
        <v>0</v>
      </c>
      <c r="Z309" s="376"/>
      <c r="AA309" s="254">
        <f t="shared" ref="AA309:AI309" si="363">IF($AD$78=0,0,$AD$165/$AD$78*AA66)</f>
        <v>0</v>
      </c>
      <c r="AB309" s="254">
        <f t="shared" si="363"/>
        <v>0</v>
      </c>
      <c r="AC309" s="254">
        <f t="shared" si="363"/>
        <v>0</v>
      </c>
      <c r="AD309" s="254">
        <f t="shared" si="363"/>
        <v>0</v>
      </c>
      <c r="AE309" s="254">
        <f t="shared" si="363"/>
        <v>0</v>
      </c>
      <c r="AF309" s="254">
        <f t="shared" si="363"/>
        <v>0</v>
      </c>
      <c r="AG309" s="254">
        <f t="shared" si="363"/>
        <v>0</v>
      </c>
      <c r="AH309" s="254">
        <f t="shared" si="363"/>
        <v>0</v>
      </c>
      <c r="AI309" s="254">
        <f t="shared" si="363"/>
        <v>0</v>
      </c>
      <c r="AJ309" s="255"/>
      <c r="AK309" s="375">
        <f t="shared" si="350"/>
        <v>0</v>
      </c>
      <c r="AL309" s="213"/>
      <c r="AM309" s="254">
        <f t="shared" ref="AM309:AU309" si="364">IF($AP$78=0,0,$AP$165/$AP$78*AM66)</f>
        <v>0</v>
      </c>
      <c r="AN309" s="254">
        <f t="shared" si="364"/>
        <v>0</v>
      </c>
      <c r="AO309" s="254">
        <f t="shared" si="364"/>
        <v>0</v>
      </c>
      <c r="AP309" s="254">
        <f t="shared" si="364"/>
        <v>0</v>
      </c>
      <c r="AQ309" s="254">
        <f t="shared" si="364"/>
        <v>0</v>
      </c>
      <c r="AR309" s="254">
        <f t="shared" si="364"/>
        <v>0</v>
      </c>
      <c r="AS309" s="254">
        <f t="shared" si="364"/>
        <v>0</v>
      </c>
      <c r="AT309" s="254">
        <f t="shared" si="364"/>
        <v>0</v>
      </c>
      <c r="AU309" s="254">
        <f t="shared" si="364"/>
        <v>0</v>
      </c>
      <c r="AV309" s="255"/>
      <c r="AW309" s="375">
        <f t="shared" si="352"/>
        <v>0</v>
      </c>
      <c r="AX309" s="213"/>
      <c r="AY309" s="254">
        <f t="shared" ref="AY309:BG309" si="365">IF($BB$78=0,0,$BB$165/$BB$78*AY66)</f>
        <v>0</v>
      </c>
      <c r="AZ309" s="254">
        <f t="shared" si="365"/>
        <v>0</v>
      </c>
      <c r="BA309" s="254">
        <f t="shared" si="365"/>
        <v>0</v>
      </c>
      <c r="BB309" s="254">
        <f t="shared" si="365"/>
        <v>0</v>
      </c>
      <c r="BC309" s="254">
        <f t="shared" si="365"/>
        <v>0</v>
      </c>
      <c r="BD309" s="254">
        <f t="shared" si="365"/>
        <v>0</v>
      </c>
      <c r="BE309" s="254">
        <f t="shared" si="365"/>
        <v>0</v>
      </c>
      <c r="BF309" s="254">
        <f t="shared" si="365"/>
        <v>0</v>
      </c>
      <c r="BG309" s="254">
        <f t="shared" si="365"/>
        <v>0</v>
      </c>
      <c r="BH309" s="255"/>
    </row>
    <row r="310" spans="1:60">
      <c r="A310" s="645"/>
      <c r="B310" s="492" t="s">
        <v>349</v>
      </c>
      <c r="C310" s="653" t="s">
        <v>111</v>
      </c>
      <c r="D310" s="746"/>
      <c r="E310" s="367" t="str">
        <f>$S$76</f>
        <v>ventilatoren</v>
      </c>
      <c r="F310" s="246"/>
      <c r="G310" s="246"/>
      <c r="H310" s="247" t="s">
        <v>352</v>
      </c>
      <c r="I310" s="248"/>
      <c r="J310" s="375">
        <f t="shared" si="345"/>
        <v>0</v>
      </c>
      <c r="K310" s="376"/>
      <c r="L310" s="376"/>
      <c r="M310" s="375">
        <f t="shared" si="346"/>
        <v>0</v>
      </c>
      <c r="N310" s="376"/>
      <c r="O310" s="254">
        <f t="shared" ref="O310:W310" si="366">IF($S$78=0,0,$S$165/$S$78*O67)</f>
        <v>0</v>
      </c>
      <c r="P310" s="254">
        <f t="shared" si="366"/>
        <v>0</v>
      </c>
      <c r="Q310" s="254">
        <f t="shared" si="366"/>
        <v>0</v>
      </c>
      <c r="R310" s="254">
        <f t="shared" si="366"/>
        <v>0</v>
      </c>
      <c r="S310" s="254">
        <f t="shared" si="366"/>
        <v>0</v>
      </c>
      <c r="T310" s="254">
        <f t="shared" si="366"/>
        <v>0</v>
      </c>
      <c r="U310" s="254">
        <f t="shared" si="366"/>
        <v>0</v>
      </c>
      <c r="V310" s="254">
        <f t="shared" si="366"/>
        <v>0</v>
      </c>
      <c r="W310" s="254">
        <f t="shared" si="366"/>
        <v>0</v>
      </c>
      <c r="X310" s="255"/>
      <c r="Y310" s="375">
        <f t="shared" si="348"/>
        <v>0</v>
      </c>
      <c r="Z310" s="376"/>
      <c r="AA310" s="254">
        <f t="shared" ref="AA310:AI310" si="367">IF($AE$78=0,0,$AE$165/$AE$78*AA67)</f>
        <v>0</v>
      </c>
      <c r="AB310" s="254">
        <f t="shared" si="367"/>
        <v>0</v>
      </c>
      <c r="AC310" s="254">
        <f t="shared" si="367"/>
        <v>0</v>
      </c>
      <c r="AD310" s="254">
        <f t="shared" si="367"/>
        <v>0</v>
      </c>
      <c r="AE310" s="254">
        <f t="shared" si="367"/>
        <v>0</v>
      </c>
      <c r="AF310" s="254">
        <f t="shared" si="367"/>
        <v>0</v>
      </c>
      <c r="AG310" s="254">
        <f t="shared" si="367"/>
        <v>0</v>
      </c>
      <c r="AH310" s="254">
        <f t="shared" si="367"/>
        <v>0</v>
      </c>
      <c r="AI310" s="254">
        <f t="shared" si="367"/>
        <v>0</v>
      </c>
      <c r="AJ310" s="255"/>
      <c r="AK310" s="375">
        <f t="shared" si="350"/>
        <v>0</v>
      </c>
      <c r="AL310" s="213"/>
      <c r="AM310" s="254">
        <f t="shared" ref="AM310:AU310" si="368">IF($AQ$78=0,0,$AQ$165/$AQ$78*AM67)</f>
        <v>0</v>
      </c>
      <c r="AN310" s="254">
        <f t="shared" si="368"/>
        <v>0</v>
      </c>
      <c r="AO310" s="254">
        <f t="shared" si="368"/>
        <v>0</v>
      </c>
      <c r="AP310" s="254">
        <f t="shared" si="368"/>
        <v>0</v>
      </c>
      <c r="AQ310" s="254">
        <f t="shared" si="368"/>
        <v>0</v>
      </c>
      <c r="AR310" s="254">
        <f t="shared" si="368"/>
        <v>0</v>
      </c>
      <c r="AS310" s="254">
        <f t="shared" si="368"/>
        <v>0</v>
      </c>
      <c r="AT310" s="254">
        <f t="shared" si="368"/>
        <v>0</v>
      </c>
      <c r="AU310" s="254">
        <f t="shared" si="368"/>
        <v>0</v>
      </c>
      <c r="AV310" s="255"/>
      <c r="AW310" s="375">
        <f t="shared" si="352"/>
        <v>0</v>
      </c>
      <c r="AX310" s="213"/>
      <c r="AY310" s="254">
        <f t="shared" ref="AY310:BG310" si="369">IF($BC$78=0,0,$BC$165/$BC$78*AY67)</f>
        <v>0</v>
      </c>
      <c r="AZ310" s="254">
        <f t="shared" si="369"/>
        <v>0</v>
      </c>
      <c r="BA310" s="254">
        <f t="shared" si="369"/>
        <v>0</v>
      </c>
      <c r="BB310" s="254">
        <f t="shared" si="369"/>
        <v>0</v>
      </c>
      <c r="BC310" s="254">
        <f t="shared" si="369"/>
        <v>0</v>
      </c>
      <c r="BD310" s="254">
        <f t="shared" si="369"/>
        <v>0</v>
      </c>
      <c r="BE310" s="254">
        <f t="shared" si="369"/>
        <v>0</v>
      </c>
      <c r="BF310" s="254">
        <f t="shared" si="369"/>
        <v>0</v>
      </c>
      <c r="BG310" s="254">
        <f t="shared" si="369"/>
        <v>0</v>
      </c>
      <c r="BH310" s="255"/>
    </row>
    <row r="311" spans="1:60">
      <c r="A311" s="645"/>
      <c r="B311" s="492" t="s">
        <v>349</v>
      </c>
      <c r="C311" s="653" t="s">
        <v>111</v>
      </c>
      <c r="D311" s="746"/>
      <c r="E311" s="367" t="str">
        <f>$T$76</f>
        <v>kookgas</v>
      </c>
      <c r="F311" s="246"/>
      <c r="G311" s="246"/>
      <c r="H311" s="247" t="s">
        <v>352</v>
      </c>
      <c r="I311" s="248"/>
      <c r="J311" s="375">
        <f t="shared" si="345"/>
        <v>0</v>
      </c>
      <c r="K311" s="376"/>
      <c r="L311" s="376"/>
      <c r="M311" s="375">
        <f t="shared" si="346"/>
        <v>0</v>
      </c>
      <c r="N311" s="376"/>
      <c r="O311" s="254">
        <f t="shared" ref="O311:W311" si="370">IF($T$78=0,0,$T$165/$T$78*O68)</f>
        <v>0</v>
      </c>
      <c r="P311" s="254">
        <f t="shared" si="370"/>
        <v>0</v>
      </c>
      <c r="Q311" s="254">
        <f t="shared" si="370"/>
        <v>0</v>
      </c>
      <c r="R311" s="254">
        <f t="shared" si="370"/>
        <v>0</v>
      </c>
      <c r="S311" s="254">
        <f t="shared" si="370"/>
        <v>0</v>
      </c>
      <c r="T311" s="254">
        <f t="shared" si="370"/>
        <v>0</v>
      </c>
      <c r="U311" s="254">
        <f t="shared" si="370"/>
        <v>0</v>
      </c>
      <c r="V311" s="254">
        <f t="shared" si="370"/>
        <v>0</v>
      </c>
      <c r="W311" s="254">
        <f t="shared" si="370"/>
        <v>0</v>
      </c>
      <c r="X311" s="255"/>
      <c r="Y311" s="375">
        <f t="shared" si="348"/>
        <v>0</v>
      </c>
      <c r="Z311" s="376"/>
      <c r="AA311" s="254">
        <f t="shared" ref="AA311:AI311" si="371">IF($AF$78=0,0,$AF$165/$AF$78*AA68)</f>
        <v>0</v>
      </c>
      <c r="AB311" s="254">
        <f t="shared" si="371"/>
        <v>0</v>
      </c>
      <c r="AC311" s="254">
        <f t="shared" si="371"/>
        <v>0</v>
      </c>
      <c r="AD311" s="254">
        <f t="shared" si="371"/>
        <v>0</v>
      </c>
      <c r="AE311" s="254">
        <f t="shared" si="371"/>
        <v>0</v>
      </c>
      <c r="AF311" s="254">
        <f t="shared" si="371"/>
        <v>0</v>
      </c>
      <c r="AG311" s="254">
        <f t="shared" si="371"/>
        <v>0</v>
      </c>
      <c r="AH311" s="254">
        <f t="shared" si="371"/>
        <v>0</v>
      </c>
      <c r="AI311" s="254">
        <f t="shared" si="371"/>
        <v>0</v>
      </c>
      <c r="AJ311" s="255"/>
      <c r="AK311" s="375">
        <f t="shared" si="350"/>
        <v>0</v>
      </c>
      <c r="AL311" s="213"/>
      <c r="AM311" s="254">
        <f t="shared" ref="AM311:AU311" si="372">IF($AR$78=0,0,$AR$165/$AR$78*AM68)</f>
        <v>0</v>
      </c>
      <c r="AN311" s="254">
        <f t="shared" si="372"/>
        <v>0</v>
      </c>
      <c r="AO311" s="254">
        <f t="shared" si="372"/>
        <v>0</v>
      </c>
      <c r="AP311" s="254">
        <f t="shared" si="372"/>
        <v>0</v>
      </c>
      <c r="AQ311" s="254">
        <f t="shared" si="372"/>
        <v>0</v>
      </c>
      <c r="AR311" s="254">
        <f t="shared" si="372"/>
        <v>0</v>
      </c>
      <c r="AS311" s="254">
        <f t="shared" si="372"/>
        <v>0</v>
      </c>
      <c r="AT311" s="254">
        <f t="shared" si="372"/>
        <v>0</v>
      </c>
      <c r="AU311" s="254">
        <f t="shared" si="372"/>
        <v>0</v>
      </c>
      <c r="AV311" s="255"/>
      <c r="AW311" s="375">
        <f t="shared" si="352"/>
        <v>0</v>
      </c>
      <c r="AX311" s="213"/>
      <c r="AY311" s="254">
        <f t="shared" ref="AY311:BG311" si="373">IF($BD$78=0,0,$BD$165/$BD$78*AY68)</f>
        <v>0</v>
      </c>
      <c r="AZ311" s="254">
        <f t="shared" si="373"/>
        <v>0</v>
      </c>
      <c r="BA311" s="254">
        <f t="shared" si="373"/>
        <v>0</v>
      </c>
      <c r="BB311" s="254">
        <f t="shared" si="373"/>
        <v>0</v>
      </c>
      <c r="BC311" s="254">
        <f t="shared" si="373"/>
        <v>0</v>
      </c>
      <c r="BD311" s="254">
        <f t="shared" si="373"/>
        <v>0</v>
      </c>
      <c r="BE311" s="254">
        <f t="shared" si="373"/>
        <v>0</v>
      </c>
      <c r="BF311" s="254">
        <f t="shared" si="373"/>
        <v>0</v>
      </c>
      <c r="BG311" s="254">
        <f t="shared" si="373"/>
        <v>0</v>
      </c>
      <c r="BH311" s="255"/>
    </row>
    <row r="312" spans="1:60">
      <c r="A312" s="645"/>
      <c r="B312" s="492" t="s">
        <v>349</v>
      </c>
      <c r="C312" s="653" t="s">
        <v>111</v>
      </c>
      <c r="D312" s="746"/>
      <c r="E312" s="367" t="str">
        <f>$U$76</f>
        <v>overig elektra</v>
      </c>
      <c r="F312" s="246"/>
      <c r="G312" s="246"/>
      <c r="H312" s="247" t="s">
        <v>352</v>
      </c>
      <c r="I312" s="248"/>
      <c r="J312" s="375">
        <f t="shared" si="345"/>
        <v>0</v>
      </c>
      <c r="K312" s="376"/>
      <c r="L312" s="376"/>
      <c r="M312" s="375">
        <f t="shared" si="346"/>
        <v>0</v>
      </c>
      <c r="N312" s="376"/>
      <c r="O312" s="254">
        <f t="shared" ref="O312:W312" si="374">IF($U$78=0,0,$U$165/$U$78*O69)</f>
        <v>0</v>
      </c>
      <c r="P312" s="254">
        <f t="shared" si="374"/>
        <v>0</v>
      </c>
      <c r="Q312" s="254">
        <f t="shared" si="374"/>
        <v>0</v>
      </c>
      <c r="R312" s="254">
        <f t="shared" si="374"/>
        <v>0</v>
      </c>
      <c r="S312" s="254">
        <f t="shared" si="374"/>
        <v>0</v>
      </c>
      <c r="T312" s="254">
        <f t="shared" si="374"/>
        <v>0</v>
      </c>
      <c r="U312" s="254">
        <f t="shared" si="374"/>
        <v>0</v>
      </c>
      <c r="V312" s="254">
        <f t="shared" si="374"/>
        <v>0</v>
      </c>
      <c r="W312" s="254">
        <f t="shared" si="374"/>
        <v>0</v>
      </c>
      <c r="X312" s="255"/>
      <c r="Y312" s="375">
        <f t="shared" si="348"/>
        <v>0</v>
      </c>
      <c r="Z312" s="376"/>
      <c r="AA312" s="254">
        <f t="shared" ref="AA312:AI312" si="375">IF($AG$78=0,0,$AG$165/$AG$78*AA69)</f>
        <v>0</v>
      </c>
      <c r="AB312" s="254">
        <f t="shared" si="375"/>
        <v>0</v>
      </c>
      <c r="AC312" s="254">
        <f t="shared" si="375"/>
        <v>0</v>
      </c>
      <c r="AD312" s="254">
        <f t="shared" si="375"/>
        <v>0</v>
      </c>
      <c r="AE312" s="254">
        <f t="shared" si="375"/>
        <v>0</v>
      </c>
      <c r="AF312" s="254">
        <f t="shared" si="375"/>
        <v>0</v>
      </c>
      <c r="AG312" s="254">
        <f t="shared" si="375"/>
        <v>0</v>
      </c>
      <c r="AH312" s="254">
        <f t="shared" si="375"/>
        <v>0</v>
      </c>
      <c r="AI312" s="254">
        <f t="shared" si="375"/>
        <v>0</v>
      </c>
      <c r="AJ312" s="255"/>
      <c r="AK312" s="375">
        <f t="shared" si="350"/>
        <v>0</v>
      </c>
      <c r="AL312" s="213"/>
      <c r="AM312" s="254">
        <f t="shared" ref="AM312:AU312" si="376">IF($AS$78=0,0,$AS$165/$AS$78*AM69)</f>
        <v>0</v>
      </c>
      <c r="AN312" s="254">
        <f t="shared" si="376"/>
        <v>0</v>
      </c>
      <c r="AO312" s="254">
        <f t="shared" si="376"/>
        <v>0</v>
      </c>
      <c r="AP312" s="254">
        <f t="shared" si="376"/>
        <v>0</v>
      </c>
      <c r="AQ312" s="254">
        <f t="shared" si="376"/>
        <v>0</v>
      </c>
      <c r="AR312" s="254">
        <f t="shared" si="376"/>
        <v>0</v>
      </c>
      <c r="AS312" s="254">
        <f t="shared" si="376"/>
        <v>0</v>
      </c>
      <c r="AT312" s="254">
        <f t="shared" si="376"/>
        <v>0</v>
      </c>
      <c r="AU312" s="254">
        <f t="shared" si="376"/>
        <v>0</v>
      </c>
      <c r="AV312" s="255"/>
      <c r="AW312" s="375">
        <f t="shared" si="352"/>
        <v>0</v>
      </c>
      <c r="AX312" s="213"/>
      <c r="AY312" s="254">
        <f t="shared" ref="AY312:BG312" si="377">IF($BE$78=0,0,$BE$165/$BE$78*AY69)</f>
        <v>0</v>
      </c>
      <c r="AZ312" s="254">
        <f t="shared" si="377"/>
        <v>0</v>
      </c>
      <c r="BA312" s="254">
        <f t="shared" si="377"/>
        <v>0</v>
      </c>
      <c r="BB312" s="254">
        <f t="shared" si="377"/>
        <v>0</v>
      </c>
      <c r="BC312" s="254">
        <f t="shared" si="377"/>
        <v>0</v>
      </c>
      <c r="BD312" s="254">
        <f t="shared" si="377"/>
        <v>0</v>
      </c>
      <c r="BE312" s="254">
        <f t="shared" si="377"/>
        <v>0</v>
      </c>
      <c r="BF312" s="254">
        <f t="shared" si="377"/>
        <v>0</v>
      </c>
      <c r="BG312" s="254">
        <f t="shared" si="377"/>
        <v>0</v>
      </c>
      <c r="BH312" s="255"/>
    </row>
    <row r="313" spans="1:60">
      <c r="A313" s="645"/>
      <c r="B313" s="492" t="s">
        <v>349</v>
      </c>
      <c r="C313" s="653" t="s">
        <v>111</v>
      </c>
      <c r="D313" s="746"/>
      <c r="E313" s="367" t="str">
        <f>$V$76</f>
        <v>mobiliteit</v>
      </c>
      <c r="F313" s="246"/>
      <c r="G313" s="246"/>
      <c r="H313" s="247" t="s">
        <v>352</v>
      </c>
      <c r="I313" s="248"/>
      <c r="J313" s="375">
        <f t="shared" si="345"/>
        <v>0</v>
      </c>
      <c r="K313" s="376"/>
      <c r="L313" s="376"/>
      <c r="M313" s="375">
        <f t="shared" si="346"/>
        <v>0</v>
      </c>
      <c r="N313" s="376"/>
      <c r="O313" s="254">
        <f t="shared" ref="O313:W313" si="378">IF(OR($V$157=0,O$31=0),0,$V$165/$V$157*O$71/O$31)</f>
        <v>0</v>
      </c>
      <c r="P313" s="254">
        <f t="shared" si="378"/>
        <v>0</v>
      </c>
      <c r="Q313" s="254">
        <f t="shared" si="378"/>
        <v>0</v>
      </c>
      <c r="R313" s="254">
        <f t="shared" si="378"/>
        <v>0</v>
      </c>
      <c r="S313" s="254">
        <f t="shared" si="378"/>
        <v>0</v>
      </c>
      <c r="T313" s="254">
        <f t="shared" si="378"/>
        <v>0</v>
      </c>
      <c r="U313" s="254">
        <f t="shared" si="378"/>
        <v>0</v>
      </c>
      <c r="V313" s="254">
        <f t="shared" si="378"/>
        <v>0</v>
      </c>
      <c r="W313" s="254">
        <f t="shared" si="378"/>
        <v>0</v>
      </c>
      <c r="X313" s="255"/>
      <c r="Y313" s="375">
        <f t="shared" si="348"/>
        <v>0</v>
      </c>
      <c r="Z313" s="376"/>
      <c r="AA313" s="254">
        <f t="shared" ref="AA313:AI313" si="379">IF(OR($AH$157=0,AA$31=0),0,$AH$165/$AH$157*AA$71/AA$31)</f>
        <v>0</v>
      </c>
      <c r="AB313" s="254">
        <f t="shared" si="379"/>
        <v>0</v>
      </c>
      <c r="AC313" s="254">
        <f t="shared" si="379"/>
        <v>0</v>
      </c>
      <c r="AD313" s="254">
        <f t="shared" si="379"/>
        <v>0</v>
      </c>
      <c r="AE313" s="254">
        <f t="shared" si="379"/>
        <v>0</v>
      </c>
      <c r="AF313" s="254">
        <f t="shared" si="379"/>
        <v>0</v>
      </c>
      <c r="AG313" s="254">
        <f t="shared" si="379"/>
        <v>0</v>
      </c>
      <c r="AH313" s="254">
        <f t="shared" si="379"/>
        <v>0</v>
      </c>
      <c r="AI313" s="254">
        <f t="shared" si="379"/>
        <v>0</v>
      </c>
      <c r="AJ313" s="255"/>
      <c r="AK313" s="375">
        <f t="shared" si="350"/>
        <v>0</v>
      </c>
      <c r="AL313" s="213"/>
      <c r="AM313" s="254">
        <f t="shared" ref="AM313:AU313" si="380">IF(OR($AT$157=0,AM$31=0),0,$AT$165/$AT$157*AM$71/AM$31)</f>
        <v>0</v>
      </c>
      <c r="AN313" s="254">
        <f t="shared" si="380"/>
        <v>0</v>
      </c>
      <c r="AO313" s="254">
        <f t="shared" si="380"/>
        <v>0</v>
      </c>
      <c r="AP313" s="254">
        <f t="shared" si="380"/>
        <v>0</v>
      </c>
      <c r="AQ313" s="254">
        <f t="shared" si="380"/>
        <v>0</v>
      </c>
      <c r="AR313" s="254">
        <f t="shared" si="380"/>
        <v>0</v>
      </c>
      <c r="AS313" s="254">
        <f t="shared" si="380"/>
        <v>0</v>
      </c>
      <c r="AT313" s="254">
        <f t="shared" si="380"/>
        <v>0</v>
      </c>
      <c r="AU313" s="254">
        <f t="shared" si="380"/>
        <v>0</v>
      </c>
      <c r="AV313" s="255"/>
      <c r="AW313" s="375">
        <f t="shared" si="352"/>
        <v>0</v>
      </c>
      <c r="AX313" s="213"/>
      <c r="AY313" s="254">
        <f t="shared" ref="AY313:BG313" si="381">IF(OR($BF$157=0,AY$31=0),0,$BF$165/$BF$157*AY$71/AY$31)</f>
        <v>0</v>
      </c>
      <c r="AZ313" s="254">
        <f t="shared" si="381"/>
        <v>0</v>
      </c>
      <c r="BA313" s="254">
        <f t="shared" si="381"/>
        <v>0</v>
      </c>
      <c r="BB313" s="254">
        <f t="shared" si="381"/>
        <v>0</v>
      </c>
      <c r="BC313" s="254">
        <f t="shared" si="381"/>
        <v>0</v>
      </c>
      <c r="BD313" s="254">
        <f t="shared" si="381"/>
        <v>0</v>
      </c>
      <c r="BE313" s="254">
        <f t="shared" si="381"/>
        <v>0</v>
      </c>
      <c r="BF313" s="254">
        <f t="shared" si="381"/>
        <v>0</v>
      </c>
      <c r="BG313" s="254">
        <f t="shared" si="381"/>
        <v>0</v>
      </c>
      <c r="BH313" s="255"/>
    </row>
    <row r="314" spans="1:60">
      <c r="A314" s="645"/>
      <c r="B314" s="492" t="s">
        <v>349</v>
      </c>
      <c r="C314" s="653" t="s">
        <v>111</v>
      </c>
      <c r="D314" s="746"/>
      <c r="E314" s="246" t="s">
        <v>353</v>
      </c>
      <c r="F314" s="246"/>
      <c r="G314" s="246"/>
      <c r="H314" s="247" t="s">
        <v>352</v>
      </c>
      <c r="I314" s="248"/>
      <c r="J314" s="375">
        <f t="shared" si="345"/>
        <v>0</v>
      </c>
      <c r="K314" s="376"/>
      <c r="L314" s="376"/>
      <c r="M314" s="375">
        <f>SUM(M306:M313)</f>
        <v>0</v>
      </c>
      <c r="N314" s="376"/>
      <c r="O314" s="254">
        <f t="shared" ref="O314:W314" si="382">SUM(O306:O313)</f>
        <v>0</v>
      </c>
      <c r="P314" s="254">
        <f t="shared" si="382"/>
        <v>0</v>
      </c>
      <c r="Q314" s="254">
        <f t="shared" si="382"/>
        <v>0</v>
      </c>
      <c r="R314" s="254">
        <f t="shared" si="382"/>
        <v>0</v>
      </c>
      <c r="S314" s="254">
        <f t="shared" si="382"/>
        <v>0</v>
      </c>
      <c r="T314" s="254">
        <f>SUM(T306:T313)</f>
        <v>0</v>
      </c>
      <c r="U314" s="254">
        <f t="shared" si="382"/>
        <v>0</v>
      </c>
      <c r="V314" s="254">
        <f t="shared" si="382"/>
        <v>0</v>
      </c>
      <c r="W314" s="254">
        <f t="shared" si="382"/>
        <v>0</v>
      </c>
      <c r="X314" s="255"/>
      <c r="Y314" s="375">
        <f>SUM(Y306:Y313)</f>
        <v>0</v>
      </c>
      <c r="Z314" s="376"/>
      <c r="AA314" s="254">
        <f t="shared" ref="AA314:AI314" si="383">SUM(AA306:AA313)</f>
        <v>0</v>
      </c>
      <c r="AB314" s="254">
        <f t="shared" si="383"/>
        <v>0</v>
      </c>
      <c r="AC314" s="254">
        <f t="shared" si="383"/>
        <v>0</v>
      </c>
      <c r="AD314" s="254">
        <f t="shared" si="383"/>
        <v>0</v>
      </c>
      <c r="AE314" s="254">
        <f t="shared" si="383"/>
        <v>0</v>
      </c>
      <c r="AF314" s="254">
        <f>SUM(AF306:AF313)</f>
        <v>0</v>
      </c>
      <c r="AG314" s="254">
        <f t="shared" si="383"/>
        <v>0</v>
      </c>
      <c r="AH314" s="254">
        <f t="shared" si="383"/>
        <v>0</v>
      </c>
      <c r="AI314" s="254">
        <f t="shared" si="383"/>
        <v>0</v>
      </c>
      <c r="AJ314" s="255"/>
      <c r="AK314" s="375">
        <f>SUM(AK306:AK313)</f>
        <v>0</v>
      </c>
      <c r="AL314" s="213"/>
      <c r="AM314" s="254">
        <f t="shared" ref="AM314:AU314" si="384">SUM(AM306:AM313)</f>
        <v>0</v>
      </c>
      <c r="AN314" s="254">
        <f t="shared" si="384"/>
        <v>0</v>
      </c>
      <c r="AO314" s="254">
        <f t="shared" si="384"/>
        <v>0</v>
      </c>
      <c r="AP314" s="254">
        <f t="shared" si="384"/>
        <v>0</v>
      </c>
      <c r="AQ314" s="254">
        <f t="shared" si="384"/>
        <v>0</v>
      </c>
      <c r="AR314" s="254">
        <f>SUM(AR306:AR313)</f>
        <v>0</v>
      </c>
      <c r="AS314" s="254">
        <f t="shared" si="384"/>
        <v>0</v>
      </c>
      <c r="AT314" s="254">
        <f t="shared" si="384"/>
        <v>0</v>
      </c>
      <c r="AU314" s="254">
        <f t="shared" si="384"/>
        <v>0</v>
      </c>
      <c r="AV314" s="255"/>
      <c r="AW314" s="375">
        <f>SUM(AW306:AW313)</f>
        <v>0</v>
      </c>
      <c r="AX314" s="213"/>
      <c r="AY314" s="254">
        <f t="shared" ref="AY314:BG314" si="385">SUM(AY306:AY313)</f>
        <v>0</v>
      </c>
      <c r="AZ314" s="254">
        <f t="shared" si="385"/>
        <v>0</v>
      </c>
      <c r="BA314" s="254">
        <f t="shared" si="385"/>
        <v>0</v>
      </c>
      <c r="BB314" s="254">
        <f t="shared" si="385"/>
        <v>0</v>
      </c>
      <c r="BC314" s="254">
        <f t="shared" si="385"/>
        <v>0</v>
      </c>
      <c r="BD314" s="254">
        <f>SUM(BD306:BD313)</f>
        <v>0</v>
      </c>
      <c r="BE314" s="254">
        <f t="shared" si="385"/>
        <v>0</v>
      </c>
      <c r="BF314" s="254">
        <f t="shared" si="385"/>
        <v>0</v>
      </c>
      <c r="BG314" s="254">
        <f t="shared" si="385"/>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86">IF(OR(O$24=0,O$31=0,($M$170+$M$171)=0),0,
-(O237*$M$170/($M$170+$M$171)*$M$184*1000)/(O24*O31))</f>
        <v>0</v>
      </c>
      <c r="P316" s="254">
        <f t="shared" si="386"/>
        <v>0</v>
      </c>
      <c r="Q316" s="254">
        <f t="shared" si="386"/>
        <v>0</v>
      </c>
      <c r="R316" s="254">
        <f t="shared" si="386"/>
        <v>0</v>
      </c>
      <c r="S316" s="254">
        <f t="shared" si="386"/>
        <v>0</v>
      </c>
      <c r="T316" s="254">
        <f t="shared" si="386"/>
        <v>0</v>
      </c>
      <c r="U316" s="254">
        <f t="shared" si="386"/>
        <v>0</v>
      </c>
      <c r="V316" s="254">
        <f t="shared" si="386"/>
        <v>0</v>
      </c>
      <c r="W316" s="254">
        <f t="shared" si="386"/>
        <v>0</v>
      </c>
      <c r="X316" s="255"/>
      <c r="Y316" s="375">
        <f>SUMPRODUCT(Z316:AJ316,Z$24:AJ$24,Z$31:AJ$31)/1000</f>
        <v>0</v>
      </c>
      <c r="Z316" s="376"/>
      <c r="AA316" s="254">
        <f t="shared" ref="AA316:AI316" si="387">IF(OR(AA$24=0,AA$31=0,($Y$170+$Y$171)=0),0,
-(AA237*$Y$170/($Y$170+$Y$171)*$Y$184*1000)/(AA24*AA31))</f>
        <v>0</v>
      </c>
      <c r="AB316" s="254">
        <f t="shared" si="387"/>
        <v>0</v>
      </c>
      <c r="AC316" s="254">
        <f t="shared" si="387"/>
        <v>0</v>
      </c>
      <c r="AD316" s="254">
        <f t="shared" si="387"/>
        <v>0</v>
      </c>
      <c r="AE316" s="254">
        <f t="shared" si="387"/>
        <v>0</v>
      </c>
      <c r="AF316" s="254">
        <f t="shared" si="387"/>
        <v>0</v>
      </c>
      <c r="AG316" s="254">
        <f t="shared" si="387"/>
        <v>0</v>
      </c>
      <c r="AH316" s="254">
        <f t="shared" si="387"/>
        <v>0</v>
      </c>
      <c r="AI316" s="254">
        <f t="shared" si="387"/>
        <v>0</v>
      </c>
      <c r="AJ316" s="255"/>
      <c r="AK316" s="375">
        <f>SUMPRODUCT(AL316:AV316,AL$24:AV$24,AL$31:AV$31)/1000</f>
        <v>0</v>
      </c>
      <c r="AL316" s="213"/>
      <c r="AM316" s="254">
        <f t="shared" ref="AM316:AU316" si="388">IF(OR(AM$24=0,AM$31=0,($AK$170+$AK$171)=0),0,
-(AM237*$AK$170/($AK$170+$AK$171)*$AK$184*1000)/(AM24*AM31))</f>
        <v>0</v>
      </c>
      <c r="AN316" s="254">
        <f t="shared" si="388"/>
        <v>0</v>
      </c>
      <c r="AO316" s="254">
        <f t="shared" si="388"/>
        <v>0</v>
      </c>
      <c r="AP316" s="254">
        <f t="shared" si="388"/>
        <v>0</v>
      </c>
      <c r="AQ316" s="254">
        <f t="shared" si="388"/>
        <v>0</v>
      </c>
      <c r="AR316" s="254">
        <f t="shared" si="388"/>
        <v>0</v>
      </c>
      <c r="AS316" s="254">
        <f t="shared" si="388"/>
        <v>0</v>
      </c>
      <c r="AT316" s="254">
        <f t="shared" si="388"/>
        <v>0</v>
      </c>
      <c r="AU316" s="254">
        <f t="shared" si="388"/>
        <v>0</v>
      </c>
      <c r="AV316" s="255"/>
      <c r="AW316" s="375">
        <f>SUMPRODUCT(AX316:BH316,AX$24:BH$24,AX$31:BH$31)/1000</f>
        <v>0</v>
      </c>
      <c r="AX316" s="213"/>
      <c r="AY316" s="254">
        <f t="shared" ref="AY316:BG316" si="389">IF(OR(AY$24=0,AY$31=0,($AW$170+$AW$171)=0),0,
-(AY237*$AW$170/($AW$170+$AW$171)*$AW$184*1000)/(AY24*AY31))</f>
        <v>0</v>
      </c>
      <c r="AZ316" s="254">
        <f t="shared" si="389"/>
        <v>0</v>
      </c>
      <c r="BA316" s="254">
        <f t="shared" si="389"/>
        <v>0</v>
      </c>
      <c r="BB316" s="254">
        <f t="shared" si="389"/>
        <v>0</v>
      </c>
      <c r="BC316" s="254">
        <f t="shared" si="389"/>
        <v>0</v>
      </c>
      <c r="BD316" s="254">
        <f t="shared" si="389"/>
        <v>0</v>
      </c>
      <c r="BE316" s="254">
        <f t="shared" si="389"/>
        <v>0</v>
      </c>
      <c r="BF316" s="254">
        <f t="shared" si="389"/>
        <v>0</v>
      </c>
      <c r="BG316" s="254">
        <f t="shared" si="389"/>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0">IF(OR(O$24=0,O$31=0,($M$170+$M$171)=0),0,
-O73*$M$184/($M$170+$M$171)/O31)</f>
        <v>0</v>
      </c>
      <c r="P317" s="254">
        <f t="shared" si="390"/>
        <v>0</v>
      </c>
      <c r="Q317" s="254">
        <f t="shared" si="390"/>
        <v>0</v>
      </c>
      <c r="R317" s="254">
        <f t="shared" si="390"/>
        <v>0</v>
      </c>
      <c r="S317" s="254">
        <f t="shared" si="390"/>
        <v>0</v>
      </c>
      <c r="T317" s="254">
        <f t="shared" si="390"/>
        <v>0</v>
      </c>
      <c r="U317" s="254">
        <f t="shared" si="390"/>
        <v>0</v>
      </c>
      <c r="V317" s="254">
        <f t="shared" si="390"/>
        <v>0</v>
      </c>
      <c r="W317" s="254">
        <f t="shared" si="390"/>
        <v>0</v>
      </c>
      <c r="X317" s="255"/>
      <c r="Y317" s="375">
        <f>SUMPRODUCT(Z317:AJ317,Z$24:AJ$24,Z$31:AJ$31)/1000</f>
        <v>0</v>
      </c>
      <c r="Z317" s="376"/>
      <c r="AA317" s="254">
        <f t="shared" ref="AA317:AI317" si="391">IF(OR(AA$24=0,AA$31=0,($Y$170+$Y$171)=0),0,
-AA73*$Y$184/($Y$170+$Y$171)/AA31)</f>
        <v>0</v>
      </c>
      <c r="AB317" s="254">
        <f t="shared" si="391"/>
        <v>0</v>
      </c>
      <c r="AC317" s="254">
        <f t="shared" si="391"/>
        <v>0</v>
      </c>
      <c r="AD317" s="254">
        <f t="shared" si="391"/>
        <v>0</v>
      </c>
      <c r="AE317" s="254">
        <f t="shared" si="391"/>
        <v>0</v>
      </c>
      <c r="AF317" s="254">
        <f t="shared" si="391"/>
        <v>0</v>
      </c>
      <c r="AG317" s="254">
        <f t="shared" si="391"/>
        <v>0</v>
      </c>
      <c r="AH317" s="254">
        <f t="shared" si="391"/>
        <v>0</v>
      </c>
      <c r="AI317" s="254">
        <f t="shared" si="391"/>
        <v>0</v>
      </c>
      <c r="AJ317" s="255"/>
      <c r="AK317" s="375">
        <f>SUMPRODUCT(AL317:AV317,AL$24:AV$24,AL$31:AV$31)/1000</f>
        <v>0</v>
      </c>
      <c r="AL317" s="213"/>
      <c r="AM317" s="254">
        <f t="shared" ref="AM317:AU317" si="392">IF(OR(AM$24=0,AM$31=0,($AK$170+$AK$171)=0),0,
-AM73*$AK$184/($AK$170+$AK$171)/AM31)</f>
        <v>0</v>
      </c>
      <c r="AN317" s="254">
        <f t="shared" si="392"/>
        <v>0</v>
      </c>
      <c r="AO317" s="254">
        <f t="shared" si="392"/>
        <v>0</v>
      </c>
      <c r="AP317" s="254">
        <f t="shared" si="392"/>
        <v>0</v>
      </c>
      <c r="AQ317" s="254">
        <f t="shared" si="392"/>
        <v>0</v>
      </c>
      <c r="AR317" s="254">
        <f t="shared" si="392"/>
        <v>0</v>
      </c>
      <c r="AS317" s="254">
        <f t="shared" si="392"/>
        <v>0</v>
      </c>
      <c r="AT317" s="254">
        <f t="shared" si="392"/>
        <v>0</v>
      </c>
      <c r="AU317" s="254">
        <f t="shared" si="392"/>
        <v>0</v>
      </c>
      <c r="AV317" s="255"/>
      <c r="AW317" s="375">
        <f>SUMPRODUCT(AX317:BH317,AX$24:BH$24,AX$31:BH$31)/1000</f>
        <v>0</v>
      </c>
      <c r="AX317" s="213"/>
      <c r="AY317" s="254">
        <f t="shared" ref="AY317:BG317" si="393">IF(OR(AY$24=0,AY$31=0,($AW$170+$AW$171)=0),0,
-AY73*$AW$184/($AW$170+$AW$171)/AY31)</f>
        <v>0</v>
      </c>
      <c r="AZ317" s="254">
        <f t="shared" si="393"/>
        <v>0</v>
      </c>
      <c r="BA317" s="254">
        <f t="shared" si="393"/>
        <v>0</v>
      </c>
      <c r="BB317" s="254">
        <f t="shared" si="393"/>
        <v>0</v>
      </c>
      <c r="BC317" s="254">
        <f t="shared" si="393"/>
        <v>0</v>
      </c>
      <c r="BD317" s="254">
        <f t="shared" si="393"/>
        <v>0</v>
      </c>
      <c r="BE317" s="254">
        <f t="shared" si="393"/>
        <v>0</v>
      </c>
      <c r="BF317" s="254">
        <f t="shared" si="393"/>
        <v>0</v>
      </c>
      <c r="BG317" s="254">
        <f t="shared" si="393"/>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394">O316+O317</f>
        <v>0</v>
      </c>
      <c r="P318" s="254">
        <f t="shared" si="394"/>
        <v>0</v>
      </c>
      <c r="Q318" s="254">
        <f t="shared" si="394"/>
        <v>0</v>
      </c>
      <c r="R318" s="254">
        <f t="shared" si="394"/>
        <v>0</v>
      </c>
      <c r="S318" s="254">
        <f t="shared" si="394"/>
        <v>0</v>
      </c>
      <c r="T318" s="254">
        <f>T316+T317</f>
        <v>0</v>
      </c>
      <c r="U318" s="254">
        <f t="shared" si="394"/>
        <v>0</v>
      </c>
      <c r="V318" s="254">
        <f t="shared" si="394"/>
        <v>0</v>
      </c>
      <c r="W318" s="254">
        <f t="shared" si="394"/>
        <v>0</v>
      </c>
      <c r="X318" s="255"/>
      <c r="Y318" s="375">
        <f>Y316+Y317</f>
        <v>0</v>
      </c>
      <c r="Z318" s="376"/>
      <c r="AA318" s="254">
        <f t="shared" ref="AA318:AI318" si="395">AA316+AA317</f>
        <v>0</v>
      </c>
      <c r="AB318" s="254">
        <f t="shared" si="395"/>
        <v>0</v>
      </c>
      <c r="AC318" s="254">
        <f t="shared" si="395"/>
        <v>0</v>
      </c>
      <c r="AD318" s="254">
        <f t="shared" si="395"/>
        <v>0</v>
      </c>
      <c r="AE318" s="254">
        <f t="shared" si="395"/>
        <v>0</v>
      </c>
      <c r="AF318" s="254">
        <f>AF316+AF317</f>
        <v>0</v>
      </c>
      <c r="AG318" s="254">
        <f t="shared" si="395"/>
        <v>0</v>
      </c>
      <c r="AH318" s="254">
        <f t="shared" si="395"/>
        <v>0</v>
      </c>
      <c r="AI318" s="254">
        <f t="shared" si="395"/>
        <v>0</v>
      </c>
      <c r="AJ318" s="255"/>
      <c r="AK318" s="375">
        <f>AK316+AK317</f>
        <v>0</v>
      </c>
      <c r="AL318" s="213"/>
      <c r="AM318" s="254">
        <f t="shared" ref="AM318:AU318" si="396">AM316+AM317</f>
        <v>0</v>
      </c>
      <c r="AN318" s="254">
        <f t="shared" si="396"/>
        <v>0</v>
      </c>
      <c r="AO318" s="254">
        <f t="shared" si="396"/>
        <v>0</v>
      </c>
      <c r="AP318" s="254">
        <f t="shared" si="396"/>
        <v>0</v>
      </c>
      <c r="AQ318" s="254">
        <f t="shared" si="396"/>
        <v>0</v>
      </c>
      <c r="AR318" s="254">
        <f>AR316+AR317</f>
        <v>0</v>
      </c>
      <c r="AS318" s="254">
        <f t="shared" si="396"/>
        <v>0</v>
      </c>
      <c r="AT318" s="254">
        <f t="shared" si="396"/>
        <v>0</v>
      </c>
      <c r="AU318" s="254">
        <f t="shared" si="396"/>
        <v>0</v>
      </c>
      <c r="AV318" s="255"/>
      <c r="AW318" s="375">
        <f>AW316+AW317</f>
        <v>0</v>
      </c>
      <c r="AX318" s="213"/>
      <c r="AY318" s="254">
        <f t="shared" ref="AY318:BG318" si="397">AY316+AY317</f>
        <v>0</v>
      </c>
      <c r="AZ318" s="254">
        <f t="shared" si="397"/>
        <v>0</v>
      </c>
      <c r="BA318" s="254">
        <f t="shared" si="397"/>
        <v>0</v>
      </c>
      <c r="BB318" s="254">
        <f t="shared" si="397"/>
        <v>0</v>
      </c>
      <c r="BC318" s="254">
        <f t="shared" si="397"/>
        <v>0</v>
      </c>
      <c r="BD318" s="254">
        <f>BD316+BD317</f>
        <v>0</v>
      </c>
      <c r="BE318" s="254">
        <f t="shared" si="397"/>
        <v>0</v>
      </c>
      <c r="BF318" s="254">
        <f t="shared" si="397"/>
        <v>0</v>
      </c>
      <c r="BG318" s="254">
        <f t="shared" si="397"/>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398">O314+O318</f>
        <v>0</v>
      </c>
      <c r="P320" s="254">
        <f t="shared" si="398"/>
        <v>0</v>
      </c>
      <c r="Q320" s="254">
        <f t="shared" si="398"/>
        <v>0</v>
      </c>
      <c r="R320" s="254">
        <f t="shared" si="398"/>
        <v>0</v>
      </c>
      <c r="S320" s="254">
        <f t="shared" si="398"/>
        <v>0</v>
      </c>
      <c r="T320" s="254">
        <f>T314+T318</f>
        <v>0</v>
      </c>
      <c r="U320" s="254">
        <f t="shared" si="398"/>
        <v>0</v>
      </c>
      <c r="V320" s="254">
        <f t="shared" si="398"/>
        <v>0</v>
      </c>
      <c r="W320" s="254">
        <f t="shared" si="398"/>
        <v>0</v>
      </c>
      <c r="X320" s="255"/>
      <c r="Y320" s="375">
        <f>Y314+Y318</f>
        <v>0</v>
      </c>
      <c r="Z320" s="376"/>
      <c r="AA320" s="254">
        <f t="shared" ref="AA320:AI320" si="399">AA314+AA318</f>
        <v>0</v>
      </c>
      <c r="AB320" s="254">
        <f t="shared" si="399"/>
        <v>0</v>
      </c>
      <c r="AC320" s="254">
        <f t="shared" si="399"/>
        <v>0</v>
      </c>
      <c r="AD320" s="254">
        <f t="shared" si="399"/>
        <v>0</v>
      </c>
      <c r="AE320" s="254">
        <f t="shared" si="399"/>
        <v>0</v>
      </c>
      <c r="AF320" s="254">
        <f>AF314+AF318</f>
        <v>0</v>
      </c>
      <c r="AG320" s="254">
        <f t="shared" si="399"/>
        <v>0</v>
      </c>
      <c r="AH320" s="254">
        <f t="shared" si="399"/>
        <v>0</v>
      </c>
      <c r="AI320" s="254">
        <f t="shared" si="399"/>
        <v>0</v>
      </c>
      <c r="AJ320" s="255"/>
      <c r="AK320" s="375">
        <f>AK314+AK318</f>
        <v>0</v>
      </c>
      <c r="AL320" s="213"/>
      <c r="AM320" s="254">
        <f t="shared" ref="AM320:AU320" si="400">AM314+AM318</f>
        <v>0</v>
      </c>
      <c r="AN320" s="254">
        <f t="shared" si="400"/>
        <v>0</v>
      </c>
      <c r="AO320" s="254">
        <f t="shared" si="400"/>
        <v>0</v>
      </c>
      <c r="AP320" s="254">
        <f t="shared" si="400"/>
        <v>0</v>
      </c>
      <c r="AQ320" s="254">
        <f t="shared" si="400"/>
        <v>0</v>
      </c>
      <c r="AR320" s="254">
        <f>AR314+AR318</f>
        <v>0</v>
      </c>
      <c r="AS320" s="254">
        <f t="shared" si="400"/>
        <v>0</v>
      </c>
      <c r="AT320" s="254">
        <f t="shared" si="400"/>
        <v>0</v>
      </c>
      <c r="AU320" s="254">
        <f t="shared" si="400"/>
        <v>0</v>
      </c>
      <c r="AV320" s="255"/>
      <c r="AW320" s="375">
        <f>AW314+AW318</f>
        <v>0</v>
      </c>
      <c r="AX320" s="213"/>
      <c r="AY320" s="254">
        <f t="shared" ref="AY320:BG320" si="401">AY314+AY318</f>
        <v>0</v>
      </c>
      <c r="AZ320" s="254">
        <f t="shared" si="401"/>
        <v>0</v>
      </c>
      <c r="BA320" s="254">
        <f t="shared" si="401"/>
        <v>0</v>
      </c>
      <c r="BB320" s="254">
        <f t="shared" si="401"/>
        <v>0</v>
      </c>
      <c r="BC320" s="254">
        <f t="shared" si="401"/>
        <v>0</v>
      </c>
      <c r="BD320" s="254">
        <f>BD314+BD318</f>
        <v>0</v>
      </c>
      <c r="BE320" s="254">
        <f t="shared" si="401"/>
        <v>0</v>
      </c>
      <c r="BF320" s="254">
        <f t="shared" si="401"/>
        <v>0</v>
      </c>
      <c r="BG320" s="254">
        <f t="shared" si="401"/>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2">O320+(O306+O316)*($M$54-1)</f>
        <v>0</v>
      </c>
      <c r="P322" s="207">
        <f t="shared" si="402"/>
        <v>0</v>
      </c>
      <c r="Q322" s="207">
        <f t="shared" si="402"/>
        <v>0</v>
      </c>
      <c r="R322" s="207">
        <f t="shared" si="402"/>
        <v>0</v>
      </c>
      <c r="S322" s="207">
        <f t="shared" si="402"/>
        <v>0</v>
      </c>
      <c r="T322" s="207">
        <f t="shared" si="402"/>
        <v>0</v>
      </c>
      <c r="U322" s="207">
        <f t="shared" si="402"/>
        <v>0</v>
      </c>
      <c r="V322" s="207">
        <f t="shared" si="402"/>
        <v>0</v>
      </c>
      <c r="W322" s="207">
        <f t="shared" si="402"/>
        <v>0</v>
      </c>
      <c r="X322" s="128"/>
      <c r="Y322" s="375">
        <f>SUMPRODUCT(Z322:AJ322,Z$24:AJ$24,Z$31:AJ$31)/1000</f>
        <v>0</v>
      </c>
      <c r="Z322" s="129"/>
      <c r="AA322" s="207">
        <f t="shared" ref="AA322:AI322" si="403">AA320+(AA306+AA316)*($Y$54-1)</f>
        <v>0</v>
      </c>
      <c r="AB322" s="207">
        <f t="shared" si="403"/>
        <v>0</v>
      </c>
      <c r="AC322" s="207">
        <f t="shared" si="403"/>
        <v>0</v>
      </c>
      <c r="AD322" s="207">
        <f t="shared" si="403"/>
        <v>0</v>
      </c>
      <c r="AE322" s="207">
        <f t="shared" si="403"/>
        <v>0</v>
      </c>
      <c r="AF322" s="207">
        <f t="shared" si="403"/>
        <v>0</v>
      </c>
      <c r="AG322" s="207">
        <f t="shared" si="403"/>
        <v>0</v>
      </c>
      <c r="AH322" s="207">
        <f t="shared" si="403"/>
        <v>0</v>
      </c>
      <c r="AI322" s="207">
        <f t="shared" si="403"/>
        <v>0</v>
      </c>
      <c r="AJ322" s="128"/>
      <c r="AK322" s="375">
        <f>SUMPRODUCT(AL322:AV322,AL$24:AV$24,AL$31:AV$31)/1000</f>
        <v>0</v>
      </c>
      <c r="AL322" s="129"/>
      <c r="AM322" s="207">
        <f t="shared" ref="AM322:AU322" si="404">AM320+(AM306+AM316)*($AK$54-1)</f>
        <v>0</v>
      </c>
      <c r="AN322" s="207">
        <f t="shared" si="404"/>
        <v>0</v>
      </c>
      <c r="AO322" s="207">
        <f t="shared" si="404"/>
        <v>0</v>
      </c>
      <c r="AP322" s="207">
        <f t="shared" si="404"/>
        <v>0</v>
      </c>
      <c r="AQ322" s="207">
        <f t="shared" si="404"/>
        <v>0</v>
      </c>
      <c r="AR322" s="207">
        <f t="shared" si="404"/>
        <v>0</v>
      </c>
      <c r="AS322" s="207">
        <f t="shared" si="404"/>
        <v>0</v>
      </c>
      <c r="AT322" s="207">
        <f t="shared" si="404"/>
        <v>0</v>
      </c>
      <c r="AU322" s="207">
        <f t="shared" si="404"/>
        <v>0</v>
      </c>
      <c r="AV322" s="128"/>
      <c r="AW322" s="375">
        <f>SUMPRODUCT(AX322:BH322,AX$24:BH$24,AX$31:BH$31)/1000</f>
        <v>0</v>
      </c>
      <c r="AX322" s="129"/>
      <c r="AY322" s="207">
        <f t="shared" ref="AY322:BG322" si="405">AY320+(AY306+AY316)*($AW$54-1)</f>
        <v>0</v>
      </c>
      <c r="AZ322" s="207">
        <f t="shared" si="405"/>
        <v>0</v>
      </c>
      <c r="BA322" s="207">
        <f t="shared" si="405"/>
        <v>0</v>
      </c>
      <c r="BB322" s="207">
        <f t="shared" si="405"/>
        <v>0</v>
      </c>
      <c r="BC322" s="207">
        <f t="shared" si="405"/>
        <v>0</v>
      </c>
      <c r="BD322" s="207">
        <f t="shared" si="405"/>
        <v>0</v>
      </c>
      <c r="BE322" s="207">
        <f t="shared" si="405"/>
        <v>0</v>
      </c>
      <c r="BF322" s="207">
        <f t="shared" si="405"/>
        <v>0</v>
      </c>
      <c r="BG322" s="207">
        <f t="shared" si="405"/>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8Iliz0nP4TSeY3pFrCLEnDEJbwe2ni8Ep7qcbWSqv3ra+mIXX/pwe5aVklZg21hIo3RTBIVJQM8Q79lLsNUOeg==" saltValue="BOjphoTjlKf3NVKRBOuJlQ=="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phoneticPr fontId="0" type="noConversion"/>
  <conditionalFormatting sqref="B16:B26 B27:C324">
    <cfRule type="expression" dxfId="1125" priority="283">
      <formula>B16=""</formula>
    </cfRule>
  </conditionalFormatting>
  <conditionalFormatting sqref="C10">
    <cfRule type="expression" dxfId="1124" priority="566">
      <formula>C10=""</formula>
    </cfRule>
  </conditionalFormatting>
  <conditionalFormatting sqref="C12:C26">
    <cfRule type="expression" dxfId="1123" priority="284">
      <formula>C12=""</formula>
    </cfRule>
  </conditionalFormatting>
  <conditionalFormatting sqref="E55">
    <cfRule type="expression" dxfId="1122" priority="24">
      <formula>$G$6=FALSE</formula>
    </cfRule>
  </conditionalFormatting>
  <conditionalFormatting sqref="E281:J281">
    <cfRule type="expression" dxfId="1121" priority="1">
      <formula>$G$6=TRUE</formula>
    </cfRule>
  </conditionalFormatting>
  <conditionalFormatting sqref="F4:F5 H3">
    <cfRule type="expression" dxfId="1120" priority="1173">
      <formula>F3=""</formula>
    </cfRule>
  </conditionalFormatting>
  <conditionalFormatting sqref="F5">
    <cfRule type="expression" dxfId="1119" priority="994">
      <formula>OR($F$5="",ISERROR(MATCH(F5,opwekking_elektriciteit,0))=TRUE)</formula>
    </cfRule>
  </conditionalFormatting>
  <conditionalFormatting sqref="F2:H2">
    <cfRule type="expression" dxfId="1118" priority="1870">
      <formula>$F$2&lt;&gt;""</formula>
    </cfRule>
  </conditionalFormatting>
  <conditionalFormatting sqref="G61">
    <cfRule type="expression" dxfId="1117" priority="9">
      <formula>OR(G61="",ISERROR(MATCH(G61,beschikbare_fitformules_NTA8800,0))=TRUE)</formula>
    </cfRule>
  </conditionalFormatting>
  <conditionalFormatting sqref="G63">
    <cfRule type="expression" dxfId="1116" priority="6">
      <formula>OR(G63="",ISERROR(MATCH(G63,beschikbare_fitformules_NTA8800,0))=TRUE)</formula>
    </cfRule>
  </conditionalFormatting>
  <conditionalFormatting sqref="G289">
    <cfRule type="expression" dxfId="1115" priority="3">
      <formula>OR(G289="",ISERROR(MATCH(G289,beschikbare_fitformules_NTA8800,0))=TRUE)</formula>
    </cfRule>
  </conditionalFormatting>
  <conditionalFormatting sqref="J32:J33">
    <cfRule type="cellIs" dxfId="1114" priority="611" operator="greaterThan">
      <formula>0</formula>
    </cfRule>
  </conditionalFormatting>
  <conditionalFormatting sqref="J40:J42">
    <cfRule type="expression" dxfId="1113" priority="273">
      <formula>J40="OK"</formula>
    </cfRule>
  </conditionalFormatting>
  <conditionalFormatting sqref="J46:J47">
    <cfRule type="expression" dxfId="1112" priority="271">
      <formula>J46="OK"</formula>
    </cfRule>
  </conditionalFormatting>
  <conditionalFormatting sqref="J51">
    <cfRule type="cellIs" dxfId="1111" priority="260" operator="notEqual">
      <formula>"OK"</formula>
    </cfRule>
  </conditionalFormatting>
  <conditionalFormatting sqref="J83">
    <cfRule type="cellIs" dxfId="1110" priority="706" operator="notEqual">
      <formula>"OK"</formula>
    </cfRule>
  </conditionalFormatting>
  <conditionalFormatting sqref="J138">
    <cfRule type="cellIs" dxfId="1109" priority="203" operator="equal">
      <formula>0</formula>
    </cfRule>
  </conditionalFormatting>
  <conditionalFormatting sqref="M32:M33">
    <cfRule type="cellIs" dxfId="1108" priority="610" operator="greaterThan">
      <formula>0</formula>
    </cfRule>
  </conditionalFormatting>
  <conditionalFormatting sqref="M134:M149 Y134:Y149 AK134:AK149 AW134:AW149">
    <cfRule type="expression" dxfId="1107" priority="1492">
      <formula>SUM(M$134:M$149)=0</formula>
    </cfRule>
  </conditionalFormatting>
  <conditionalFormatting sqref="M138 Y138 AK138 AW138 J141 M141 Y141 AK141 AW141 J145 M145 Y145 AK145 AW145 J149 M149 Y149 AK149 AW149">
    <cfRule type="cellIs" dxfId="1106" priority="246" operator="equal">
      <formula>0</formula>
    </cfRule>
  </conditionalFormatting>
  <conditionalFormatting sqref="O83 AA83 AM83 AY83">
    <cfRule type="expression" dxfId="1105" priority="255">
      <formula>OR(AND(O83="",O$24&gt;0),ISERROR(MATCH(O83,toestellen_RV_invoer,0)))</formula>
    </cfRule>
  </conditionalFormatting>
  <conditionalFormatting sqref="O90 Q90 AA90 AC90 AM90 AO90 AY90 BA90">
    <cfRule type="expression" dxfId="1104" priority="1171">
      <formula>OR(AND(O$78&gt;0,O90=""),AND(O90&lt;&gt;"ja",O90&lt;&gt;"nee",O90&lt;&gt;""))</formula>
    </cfRule>
  </conditionalFormatting>
  <conditionalFormatting sqref="O129 Q129 AA129 AC129 AM129 AO129 AY129 BA129">
    <cfRule type="expression" dxfId="1103" priority="3664">
      <formula>O$128=0</formula>
    </cfRule>
  </conditionalFormatting>
  <conditionalFormatting sqref="O90:Q91 AA90:AC91 AM90:AO91 AY90:BA91 O86:Q88 AA86:AC88 AM86:AO88 AY86:BA88 O93:Q95 AA93:AC95 AM93:AO95 AY93:BA95 O83:Q84 AA83:AC84 AM83:AO84 AY83:BA84 O97:Q99 AA97:AC99 AM97:AO99 AY97:BA99">
    <cfRule type="expression" dxfId="1102" priority="5525">
      <formula>O$78=0</formula>
    </cfRule>
    <cfRule type="expression" dxfId="1101" priority="5524">
      <formula>O$29=0</formula>
    </cfRule>
  </conditionalFormatting>
  <conditionalFormatting sqref="O104:Q104 AA104:AC104 AM104:AO104 AY104:BA104 AA134:AC134 AM134:AO134 AY134:BA134">
    <cfRule type="expression" dxfId="1100" priority="856">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1099" priority="764">
      <formula>AND(O$78&gt;0,O87="")</formula>
    </cfRule>
  </conditionalFormatting>
  <conditionalFormatting sqref="O134:Q134">
    <cfRule type="expression" dxfId="1098" priority="790">
      <formula>O$78=0</formula>
    </cfRule>
  </conditionalFormatting>
  <conditionalFormatting sqref="O135:Q141 AA135:AC141 AM135:AO141 AY135:BA141 O143:Q145 AA143:AC145 AM143:AO145 AY143:BA145 O147:Q149 AA147:AC149 AM147:AO149 AY147:BA149">
    <cfRule type="expression" dxfId="1097" priority="200">
      <formula>OR(O$78=0,O$134="geen")</formula>
    </cfRule>
  </conditionalFormatting>
  <conditionalFormatting sqref="O140:Q140 AA140:AC140 AM140:AO140 AY140:BA140 O144:Q144 AA144:AC144 AM144:AO144 AY144:BA144 O148:Q148 AA148:AC148 AM148:AO148 AY148:BA148">
    <cfRule type="expression" dxfId="1096" priority="5117">
      <formula>AND(O$78&gt;0,O$134&lt;&gt;"geen",O140="")</formula>
    </cfRule>
  </conditionalFormatting>
  <conditionalFormatting sqref="O154:Q156 AA154:AC156 AM154:AO156 AY154:BA156">
    <cfRule type="expression" dxfId="1095" priority="5615">
      <formula>OR(O$29=0,O$126=0)</formula>
    </cfRule>
  </conditionalFormatting>
  <conditionalFormatting sqref="O155:Q155 AA155:AC155 AM155:AO155 AY155:BA155">
    <cfRule type="expression" dxfId="1094" priority="842">
      <formula>AND(O$126&gt;0,O155="")</formula>
    </cfRule>
  </conditionalFormatting>
  <conditionalFormatting sqref="O170:T172">
    <cfRule type="expression" dxfId="1093" priority="490">
      <formula>O$29=0</formula>
    </cfRule>
  </conditionalFormatting>
  <conditionalFormatting sqref="O200:T205">
    <cfRule type="expression" dxfId="1092" priority="488">
      <formula>O$29=0</formula>
    </cfRule>
  </conditionalFormatting>
  <conditionalFormatting sqref="O212:T219">
    <cfRule type="expression" dxfId="1091" priority="471">
      <formula>O$29=0</formula>
    </cfRule>
  </conditionalFormatting>
  <conditionalFormatting sqref="O17:W17">
    <cfRule type="expression" dxfId="1090" priority="499">
      <formula>AND(O17&lt;&gt;"",ISERROR(MATCH(O17,woningen_gebouwen_namen,0))=TRUE)</formula>
    </cfRule>
  </conditionalFormatting>
  <conditionalFormatting sqref="O19:W19 AA19:AI19 AM19:AU19 AY19:BG19">
    <cfRule type="expression" dxfId="1089" priority="598">
      <formula>O19=""</formula>
    </cfRule>
  </conditionalFormatting>
  <conditionalFormatting sqref="O20:W21 AM20:AU21 AY20:BG21">
    <cfRule type="expression" dxfId="1088" priority="594">
      <formula>O$19=""</formula>
    </cfRule>
  </conditionalFormatting>
  <conditionalFormatting sqref="O22:W22">
    <cfRule type="expression" dxfId="1087" priority="592">
      <formula>OR(O$19="",AND(O$21&lt;&gt;woning,O$21&lt;&gt;woongebouw))</formula>
    </cfRule>
  </conditionalFormatting>
  <conditionalFormatting sqref="O24:W25 AA24:BG25">
    <cfRule type="expression" dxfId="1086" priority="360">
      <formula>O$19=""</formula>
    </cfRule>
  </conditionalFormatting>
  <conditionalFormatting sqref="O25:W25 AM25:AU25 AY25:BG25">
    <cfRule type="expression" dxfId="1085" priority="3173">
      <formula>AND(O$19&lt;&gt;"",O25="")</formula>
    </cfRule>
    <cfRule type="expression" dxfId="1084" priority="3171">
      <formula>AND(O$19="",O25&gt;0)</formula>
    </cfRule>
  </conditionalFormatting>
  <conditionalFormatting sqref="O26:W29 O31:W35">
    <cfRule type="expression" dxfId="1083" priority="25">
      <formula>OR(O$19="",O$24=0)</formula>
    </cfRule>
  </conditionalFormatting>
  <conditionalFormatting sqref="O40:W48 O51:W51 O53:W56 O59:W59 O71:W71 O73:W73">
    <cfRule type="expression" dxfId="1082" priority="219">
      <formula>OR(O$19="",O$24=0)</formula>
    </cfRule>
  </conditionalFormatting>
  <conditionalFormatting sqref="O41:W41 AA41:AI41 AM41:AU41 AY41:BG41">
    <cfRule type="expression" dxfId="1081" priority="27">
      <formula>AND(O$19&lt;&gt;"",O$24&gt;0,O41&lt;&gt;"",ISERROR(MATCH(O41,isolatiepakketten_gebouwschil_namen,0))=TRUE)</formula>
    </cfRule>
  </conditionalFormatting>
  <conditionalFormatting sqref="O42:W42 AA42:AI42 AM42:AU42 AY42:BG42">
    <cfRule type="expression" dxfId="1080" priority="3220">
      <formula>OR(AND(O$19&lt;&gt;"",O$24&gt;0,O42=""),ISERROR(MATCH(O42,ventilatiesystemen_namen,0))=TRUE)</formula>
    </cfRule>
  </conditionalFormatting>
  <conditionalFormatting sqref="O43:W43 AA43:AI43 AM43:AU43 AY43:BG43">
    <cfRule type="expression" dxfId="1079" priority="3248">
      <formula>OR(AND(O$19&lt;&gt;"",O$24&gt;0,O43=""),ISERROR(MATCH(O43,ventilatoren_typen,0))=TRUE)</formula>
    </cfRule>
  </conditionalFormatting>
  <conditionalFormatting sqref="O44:W44 AA44:AI44 AM44:AU44 AY44:BG44">
    <cfRule type="expression" dxfId="1077" priority="4441">
      <formula>OR(O44&lt;0.5,O44&gt;2,AND(O$19&lt;&gt;"",O44=""))</formula>
    </cfRule>
  </conditionalFormatting>
  <conditionalFormatting sqref="O45:W46 AA45:AI46 AM45:AU46 AY45:BG46">
    <cfRule type="expression" dxfId="1076" priority="4948">
      <formula>AND(O$19&lt;&gt;"",O$28&gt;0,O45="")</formula>
    </cfRule>
    <cfRule type="expression" dxfId="1075" priority="263">
      <formula>OR(O$19="",O$28=0)</formula>
    </cfRule>
  </conditionalFormatting>
  <conditionalFormatting sqref="O46:W46 AA46:AI46 AM46:AU46 AY46:BG46">
    <cfRule type="expression" dxfId="1074" priority="5051">
      <formula>AND(O46&lt;&gt;"",ISERROR(MATCH(O46,verlichtingsregeling_namen,0))=TRUE)</formula>
    </cfRule>
  </conditionalFormatting>
  <conditionalFormatting sqref="O47:W47 AA47:AI47 AM47:AU47 AY47:BG47">
    <cfRule type="expression" dxfId="1073" priority="309">
      <formula>OR(O$19="",O$26+O$27=0,AND(O$21&lt;&gt;woning,O$21&lt;&gt;woongebouw))</formula>
    </cfRule>
    <cfRule type="expression" dxfId="1072" priority="5060">
      <formula>OR(AND(O$19&lt;&gt;"",O$24&gt;0,O47=""),AND(O47&lt;&gt;elektriciteit,O47&lt;&gt;aardgas))</formula>
    </cfRule>
  </conditionalFormatting>
  <conditionalFormatting sqref="O48:W48 AA48:AI48 AM48:AU48 AY48:BG48">
    <cfRule type="expression" dxfId="1071" priority="5068">
      <formula>OR(O48&lt;0,O48&gt;1,AND(O$19&lt;&gt;"",O48=""))</formula>
    </cfRule>
  </conditionalFormatting>
  <conditionalFormatting sqref="O49:W49 AA49:AI49 AM49:AU49 AY49:BG49">
    <cfRule type="expression" dxfId="1070" priority="14">
      <formula>AND(O49&lt;&gt;"",ISERROR(MATCH(O49,specifieke_interne_warmtecapaciteit,0))=TRUE)</formula>
    </cfRule>
  </conditionalFormatting>
  <conditionalFormatting sqref="O51:W51 AA51:AI51 AM51:AU51 AY51:BG51">
    <cfRule type="expression" dxfId="1069" priority="308">
      <formula>$O19=""</formula>
    </cfRule>
    <cfRule type="cellIs" dxfId="1068" priority="5088" operator="equal">
      <formula>"nee"</formula>
    </cfRule>
  </conditionalFormatting>
  <conditionalFormatting sqref="O54:W54 AA54:AI54 AM54:AU54 AY54:BG54">
    <cfRule type="cellIs" dxfId="1067" priority="65" operator="equal">
      <formula>0</formula>
    </cfRule>
  </conditionalFormatting>
  <conditionalFormatting sqref="O55:W55 AA55:AI55 AM55:AU55 AY55:BG55">
    <cfRule type="expression" dxfId="1066" priority="5637">
      <formula>O$24=0</formula>
    </cfRule>
    <cfRule type="expression" dxfId="1065" priority="5639">
      <formula>AND(O$24&gt;0,O$55&gt;0,O$55&lt;&gt;O$56,$G$6=TRUE)</formula>
    </cfRule>
    <cfRule type="expression" dxfId="1064" priority="5638">
      <formula>AND(O$24&gt;0,O55="",$G$6=TRUE)</formula>
    </cfRule>
  </conditionalFormatting>
  <conditionalFormatting sqref="O61:W69">
    <cfRule type="expression" dxfId="1063" priority="7">
      <formula>OR(O$19="",O$24=0)</formula>
    </cfRule>
  </conditionalFormatting>
  <conditionalFormatting sqref="O73:W73">
    <cfRule type="expression" dxfId="1062" priority="225">
      <formula>AND(O$19&lt;&gt;"",O73="")</formula>
    </cfRule>
  </conditionalFormatting>
  <conditionalFormatting sqref="O78:W78 AA78:AI78 AM78:AU78 AY78:BG78">
    <cfRule type="expression" dxfId="1061" priority="821">
      <formula>O$29=0</formula>
    </cfRule>
  </conditionalFormatting>
  <conditionalFormatting sqref="O230:W230 AM230:AU230 AY230:BG230 AM237:AU239 AY237:BG239 AM254:AU256 AM258:AU258">
    <cfRule type="expression" dxfId="1060" priority="780">
      <formula>O$24=0</formula>
    </cfRule>
  </conditionalFormatting>
  <conditionalFormatting sqref="O289:W289">
    <cfRule type="expression" dxfId="1059" priority="4">
      <formula>OR(O$19="",O$24=0)</formula>
    </cfRule>
  </conditionalFormatting>
  <conditionalFormatting sqref="O290:W291">
    <cfRule type="expression" dxfId="1058" priority="1774">
      <formula>O290&gt;O285</formula>
    </cfRule>
  </conditionalFormatting>
  <conditionalFormatting sqref="O292:W292 AA292:AI292 AM292:AU292 AY292:BG292">
    <cfRule type="expression" dxfId="1057" priority="17">
      <formula>$O$292&lt;$O$287</formula>
    </cfRule>
  </conditionalFormatting>
  <conditionalFormatting sqref="O295:W295 AA295:AI295 AM295:AU295 AY295:BG295">
    <cfRule type="expression" dxfId="1056" priority="5660">
      <formula>O$24=0</formula>
    </cfRule>
  </conditionalFormatting>
  <conditionalFormatting sqref="O295:W295 AY295:BG295 AA295:AI295 AM295:AU295">
    <cfRule type="expression" dxfId="1055" priority="5659">
      <formula>#REF!&lt;O$291</formula>
    </cfRule>
  </conditionalFormatting>
  <conditionalFormatting sqref="O297:W298 O300:W301 O290:W292 O232:W232 O244:W252 O254:W256 O258:W258 O260:W260 O265:W265 O267:W272 O274:W274 O276:W276 O278:W278 O285:W287 O294:W295 O306:W314 O316:W318 O320:W320 O322:W322">
    <cfRule type="expression" dxfId="1054" priority="313">
      <formula>O$24=0</formula>
    </cfRule>
  </conditionalFormatting>
  <conditionalFormatting sqref="O298:W298">
    <cfRule type="expression" dxfId="1053" priority="103">
      <formula>AND(O298&lt;&gt;"nvt",O298&gt;O297)</formula>
    </cfRule>
    <cfRule type="expression" dxfId="1052" priority="104">
      <formula>AND(O298&lt;&gt;"nvt",O298&lt;=O297)</formula>
    </cfRule>
  </conditionalFormatting>
  <conditionalFormatting sqref="O301:W301">
    <cfRule type="expression" dxfId="1051" priority="102">
      <formula>AND(O301&lt;&gt;"nvt",O301&lt;=O300)</formula>
    </cfRule>
    <cfRule type="expression" dxfId="1050" priority="101">
      <formula>AND(O301&lt;&gt;"nvt",O301&gt;O300)</formula>
    </cfRule>
  </conditionalFormatting>
  <conditionalFormatting sqref="O278:X278 M278 AJ278 AV278 BH278">
    <cfRule type="expression" dxfId="1049" priority="2367">
      <formula>#REF!&gt;M278</formula>
    </cfRule>
  </conditionalFormatting>
  <conditionalFormatting sqref="O40:BG41">
    <cfRule type="expression" dxfId="1048" priority="18">
      <formula>OR(O$19="",O$24=0)</formula>
    </cfRule>
  </conditionalFormatting>
  <conditionalFormatting sqref="P83 AB83 AN83 AZ83">
    <cfRule type="expression" dxfId="1047" priority="714">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1046" priority="150">
      <formula>P$83="geen"</formula>
    </cfRule>
  </conditionalFormatting>
  <conditionalFormatting sqref="Q83 AC83 AO83 BA83">
    <cfRule type="expression" dxfId="1045" priority="732">
      <formula>OR(AND(Q83="",Q$24&gt;0),ISERROR(MATCH(Q83,toestellen_TAP_invoer,0)))</formula>
    </cfRule>
  </conditionalFormatting>
  <conditionalFormatting sqref="Q90 AC90 AO90 BA90">
    <cfRule type="expression" dxfId="1044" priority="5600">
      <formula>OR(AND(Q$24&gt;0,Q$78&gt;0,Q90=""),AND(Q90&lt;&gt;"ja",Q90&lt;&gt;"nee",Q90&lt;&gt;""))</formula>
    </cfRule>
  </conditionalFormatting>
  <conditionalFormatting sqref="T158:T159">
    <cfRule type="expression" dxfId="1043" priority="292">
      <formula>T$29=0</formula>
    </cfRule>
  </conditionalFormatting>
  <conditionalFormatting sqref="T161:T162">
    <cfRule type="expression" dxfId="1042" priority="290">
      <formula>T$29=0</formula>
    </cfRule>
  </conditionalFormatting>
  <conditionalFormatting sqref="T164">
    <cfRule type="expression" dxfId="1041" priority="289">
      <formula>T$29=0</formula>
    </cfRule>
  </conditionalFormatting>
  <conditionalFormatting sqref="T193">
    <cfRule type="expression" dxfId="1040" priority="293">
      <formula>T$29=0</formula>
    </cfRule>
  </conditionalFormatting>
  <conditionalFormatting sqref="T207">
    <cfRule type="expression" dxfId="1039" priority="492">
      <formula>T$29=0</formula>
    </cfRule>
  </conditionalFormatting>
  <conditionalFormatting sqref="T224:T225">
    <cfRule type="expression" dxfId="1038" priority="482">
      <formula>T$29=0</formula>
    </cfRule>
  </conditionalFormatting>
  <conditionalFormatting sqref="T189:W191">
    <cfRule type="expression" dxfId="1037" priority="294">
      <formula>T$29=0</formula>
    </cfRule>
  </conditionalFormatting>
  <conditionalFormatting sqref="U157:W159">
    <cfRule type="expression" dxfId="1036" priority="785">
      <formula>U$29=0</formula>
    </cfRule>
  </conditionalFormatting>
  <conditionalFormatting sqref="AA190">
    <cfRule type="expression" dxfId="1035" priority="549">
      <formula>AA$29=0</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1034" priority="217">
      <formula>OR(O$78=0,O$104="geen")</formula>
    </cfRule>
  </conditionalFormatting>
  <conditionalFormatting sqref="AA212:AC212">
    <cfRule type="expression" dxfId="1033" priority="138">
      <formula>AA$29=0</formula>
    </cfRule>
  </conditionalFormatting>
  <conditionalFormatting sqref="AA189:AE189">
    <cfRule type="expression" dxfId="1032" priority="554">
      <formula>AA$29=0</formula>
    </cfRule>
  </conditionalFormatting>
  <conditionalFormatting sqref="AA219:AE219">
    <cfRule type="expression" dxfId="1031" priority="528">
      <formula>AA$29=0</formula>
    </cfRule>
  </conditionalFormatting>
  <conditionalFormatting sqref="AA20:AI21">
    <cfRule type="expression" dxfId="1030" priority="593">
      <formula>AA$19=""</formula>
    </cfRule>
  </conditionalFormatting>
  <conditionalFormatting sqref="AA22:AI22">
    <cfRule type="expression" dxfId="1029" priority="249">
      <formula>OR(AA$19="",AND(AA$21&lt;&gt;woning,AA$21&lt;&gt;woongebouw))</formula>
    </cfRule>
  </conditionalFormatting>
  <conditionalFormatting sqref="AA25:AI25">
    <cfRule type="expression" dxfId="1028" priority="5076">
      <formula>AND(AA$19="",AA25&gt;0)</formula>
    </cfRule>
    <cfRule type="expression" dxfId="1027" priority="5077">
      <formula>AND(AA$19&lt;&gt;"",AA25="")</formula>
    </cfRule>
  </conditionalFormatting>
  <conditionalFormatting sqref="AA26:AI29 AM26:AU29 AY26:BG29 AA31:AI35 AM31:AU35 AY31:BG35">
    <cfRule type="expression" dxfId="1026" priority="2311">
      <formula>OR(AA$19="",AA$24=0)</formula>
    </cfRule>
  </conditionalFormatting>
  <conditionalFormatting sqref="AA42:AI49 AM42:AU49 AY42:BG49 O49:W49">
    <cfRule type="expression" dxfId="1025" priority="13">
      <formula>OR(O$19="",O$24=0)</formula>
    </cfRule>
  </conditionalFormatting>
  <conditionalFormatting sqref="AA61:AI69 AM61:AU69 AY61:BG69">
    <cfRule type="expression" dxfId="1024" priority="8">
      <formula>OR(AA$19="",AA$24=0)</formula>
    </cfRule>
  </conditionalFormatting>
  <conditionalFormatting sqref="AA71:AI71 AM71:AU71 AY71:BG71 O71:W71">
    <cfRule type="expression" dxfId="1023" priority="992">
      <formula>AND(O$19&lt;&gt;"",O71="")</formula>
    </cfRule>
  </conditionalFormatting>
  <conditionalFormatting sqref="AA71:AI71 AM71:AU71 AY71:BG71">
    <cfRule type="expression" dxfId="1022" priority="991">
      <formula>OR(AA$19="",AA$24=0)</formula>
    </cfRule>
  </conditionalFormatting>
  <conditionalFormatting sqref="AA73:AI73">
    <cfRule type="expression" dxfId="1021" priority="156">
      <formula>AND(AA$19&lt;&gt;"",AA73="")</formula>
    </cfRule>
    <cfRule type="expression" dxfId="1020" priority="155">
      <formula>OR(AA$19="",AA$24=0)</formula>
    </cfRule>
  </conditionalFormatting>
  <conditionalFormatting sqref="AA289:AI289 AM289:AU289 AY289:BG289">
    <cfRule type="expression" dxfId="1019" priority="5">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1018" priority="42">
      <formula>AA$24=0</formula>
    </cfRule>
  </conditionalFormatting>
  <conditionalFormatting sqref="AA296:AI296">
    <cfRule type="expression" dxfId="1017" priority="132">
      <formula>AA296&lt;AA291</formula>
    </cfRule>
  </conditionalFormatting>
  <conditionalFormatting sqref="AA298:AI298">
    <cfRule type="expression" dxfId="1016" priority="97">
      <formula>AND(AA298&lt;&gt;"nvt",AA298&gt;AA297)</formula>
    </cfRule>
    <cfRule type="expression" dxfId="1015" priority="98">
      <formula>AND(AA298&lt;&gt;"nvt",AA298&lt;=AA297)</formula>
    </cfRule>
  </conditionalFormatting>
  <conditionalFormatting sqref="AA301:AI301">
    <cfRule type="expression" dxfId="1014" priority="96">
      <formula>AND(AA301&lt;&gt;"nvt",AA301&lt;=AA300)</formula>
    </cfRule>
    <cfRule type="expression" dxfId="1013" priority="95">
      <formula>AND(AA301&lt;&gt;"nvt",AA301&gt;AA300)</formula>
    </cfRule>
  </conditionalFormatting>
  <conditionalFormatting sqref="AA306:AI314 AA316:AI318 AA320:AI320 AA322:AI322">
    <cfRule type="expression" dxfId="1012" priority="319">
      <formula>AA$24=0</formula>
    </cfRule>
  </conditionalFormatting>
  <conditionalFormatting sqref="AA290:AU291">
    <cfRule type="expression" dxfId="1011" priority="1409">
      <formula>AA290&gt;AA285</formula>
    </cfRule>
  </conditionalFormatting>
  <conditionalFormatting sqref="AA299:AX299">
    <cfRule type="expression" dxfId="1010" priority="87">
      <formula>AA299&lt;AA294</formula>
    </cfRule>
  </conditionalFormatting>
  <conditionalFormatting sqref="AF189:AF191">
    <cfRule type="expression" dxfId="1009" priority="428">
      <formula>AF$29=0</formula>
    </cfRule>
  </conditionalFormatting>
  <conditionalFormatting sqref="AF224:AF225">
    <cfRule type="expression" dxfId="1008" priority="439">
      <formula>AF$29=0</formula>
    </cfRule>
  </conditionalFormatting>
  <conditionalFormatting sqref="AF212:AK219 AM212:AU219 AW212:AW219 AY212:BD219">
    <cfRule type="expression" dxfId="1007" priority="333">
      <formula>AF$29=0</formula>
    </cfRule>
  </conditionalFormatting>
  <conditionalFormatting sqref="AM190">
    <cfRule type="expression" dxfId="1006" priority="548">
      <formula>AM$29=0</formula>
    </cfRule>
  </conditionalFormatting>
  <conditionalFormatting sqref="AM212:AO212">
    <cfRule type="expression" dxfId="1005" priority="137">
      <formula>AM$29=0</formula>
    </cfRule>
  </conditionalFormatting>
  <conditionalFormatting sqref="AM22:AU22">
    <cfRule type="expression" dxfId="1004" priority="248">
      <formula>OR(AM$19="",AND(AM$21&lt;&gt;woning,AM$21&lt;&gt;woongebouw))</formula>
    </cfRule>
  </conditionalFormatting>
  <conditionalFormatting sqref="AM73:AU73">
    <cfRule type="expression" dxfId="1003" priority="153">
      <formula>OR(AM$19="",AM$24=0)</formula>
    </cfRule>
    <cfRule type="expression" dxfId="1002" priority="154">
      <formula>AND(AM$19&lt;&gt;"",AM73="")</formula>
    </cfRule>
  </conditionalFormatting>
  <conditionalFormatting sqref="AM232:AU232">
    <cfRule type="expression" dxfId="1001" priority="375">
      <formula>AM$24=0</formula>
    </cfRule>
  </conditionalFormatting>
  <conditionalFormatting sqref="AM260:AU260">
    <cfRule type="expression" dxfId="1000" priority="382">
      <formula>AM$24=0</formula>
    </cfRule>
  </conditionalFormatting>
  <conditionalFormatting sqref="AM294:AU294">
    <cfRule type="expression" dxfId="999" priority="37">
      <formula>AM$24=0</formula>
    </cfRule>
  </conditionalFormatting>
  <conditionalFormatting sqref="AM296:AU296">
    <cfRule type="expression" dxfId="998" priority="131">
      <formula>AM296&lt;AM291</formula>
    </cfRule>
  </conditionalFormatting>
  <conditionalFormatting sqref="AM298:AU298">
    <cfRule type="expression" dxfId="997" priority="92">
      <formula>AND(AM298&lt;&gt;"nvt",AM298&lt;=AM297)</formula>
    </cfRule>
    <cfRule type="expression" dxfId="996" priority="91">
      <formula>AND(AM298&lt;&gt;"nvt",AM298&gt;AM297)</formula>
    </cfRule>
  </conditionalFormatting>
  <conditionalFormatting sqref="AM301:AU301">
    <cfRule type="expression" dxfId="995" priority="90">
      <formula>AND(AM301&lt;&gt;"nvt",AM301&lt;=AM300)</formula>
    </cfRule>
    <cfRule type="expression" dxfId="994" priority="89">
      <formula>AND(AM301&lt;&gt;"nvt",AM301&gt;AM300)</formula>
    </cfRule>
  </conditionalFormatting>
  <conditionalFormatting sqref="AM306:AU314 AM316:AU318 AM320:AU320 AM322:AU322">
    <cfRule type="expression" dxfId="993" priority="318">
      <formula>AM$24=0</formula>
    </cfRule>
  </conditionalFormatting>
  <conditionalFormatting sqref="AR189:AR191">
    <cfRule type="expression" dxfId="992" priority="383">
      <formula>AR$29=0</formula>
    </cfRule>
  </conditionalFormatting>
  <conditionalFormatting sqref="AR224:AR225">
    <cfRule type="expression" dxfId="991" priority="393">
      <formula>AR$29=0</formula>
    </cfRule>
  </conditionalFormatting>
  <conditionalFormatting sqref="AR293">
    <cfRule type="expression" dxfId="990" priority="405">
      <formula>AR293&lt;AR288</formula>
    </cfRule>
  </conditionalFormatting>
  <conditionalFormatting sqref="AY190">
    <cfRule type="expression" dxfId="989" priority="547">
      <formula>AY$29=0</formula>
    </cfRule>
  </conditionalFormatting>
  <conditionalFormatting sqref="AY109:BA109">
    <cfRule type="expression" dxfId="988" priority="4957">
      <formula>AND(AY$78&gt;0,AY109="")</formula>
    </cfRule>
  </conditionalFormatting>
  <conditionalFormatting sqref="AY212:BA212">
    <cfRule type="expression" dxfId="987" priority="136">
      <formula>AY$29=0</formula>
    </cfRule>
  </conditionalFormatting>
  <conditionalFormatting sqref="AY189:BC189">
    <cfRule type="expression" dxfId="986" priority="552">
      <formula>AY$29=0</formula>
    </cfRule>
  </conditionalFormatting>
  <conditionalFormatting sqref="AY22:BG22">
    <cfRule type="expression" dxfId="985" priority="247">
      <formula>OR(AY$19="",AND(AY$21&lt;&gt;woning,AY$21&lt;&gt;woongebouw))</formula>
    </cfRule>
  </conditionalFormatting>
  <conditionalFormatting sqref="AY73:BG73">
    <cfRule type="expression" dxfId="984" priority="152">
      <formula>AND(AY$19&lt;&gt;"",AY73="")</formula>
    </cfRule>
    <cfRule type="expression" dxfId="983" priority="151">
      <formula>OR(AY$19="",AY$24=0)</formula>
    </cfRule>
  </conditionalFormatting>
  <conditionalFormatting sqref="AY232:BG232">
    <cfRule type="expression" dxfId="982" priority="330">
      <formula>AY$24=0</formula>
    </cfRule>
  </conditionalFormatting>
  <conditionalFormatting sqref="AY290:BG291">
    <cfRule type="expression" dxfId="981" priority="1407">
      <formula>AY290&gt;AY285</formula>
    </cfRule>
  </conditionalFormatting>
  <conditionalFormatting sqref="AY294:BG295">
    <cfRule type="expression" dxfId="980" priority="32">
      <formula>AY$24=0</formula>
    </cfRule>
  </conditionalFormatting>
  <conditionalFormatting sqref="AY297:BG298 AY300:BG301 AY290:BG292 AY254:BG256 AY258:BG258 AY260:BG260 AY265:BG272 AY274:BG274 AY276:BG276 AY278:BG278 AY283:BG283 AY285:BG287 AY306:BG314">
    <cfRule type="expression" dxfId="979" priority="310">
      <formula>AY$24=0</formula>
    </cfRule>
  </conditionalFormatting>
  <conditionalFormatting sqref="AY298:BG298">
    <cfRule type="expression" dxfId="978" priority="86">
      <formula>AND(AY298&lt;&gt;"nvt",AY298&lt;=AY297)</formula>
    </cfRule>
    <cfRule type="expression" dxfId="977" priority="85">
      <formula>AND(AY298&lt;&gt;"nvt",AY298&gt;AY297)</formula>
    </cfRule>
  </conditionalFormatting>
  <conditionalFormatting sqref="AY301:BG301">
    <cfRule type="expression" dxfId="976" priority="83">
      <formula>AND(AY301&lt;&gt;"nvt",AY301&gt;AY300)</formula>
    </cfRule>
    <cfRule type="expression" dxfId="975" priority="84">
      <formula>AND(AY301&lt;&gt;"nvt",AY301&lt;=AY300)</formula>
    </cfRule>
  </conditionalFormatting>
  <conditionalFormatting sqref="AY316:BG318 AY320:BG320">
    <cfRule type="expression" dxfId="974" priority="336">
      <formula>AY$24=0</formula>
    </cfRule>
  </conditionalFormatting>
  <conditionalFormatting sqref="AY322:BG322">
    <cfRule type="expression" dxfId="973" priority="335">
      <formula>AY$24=0</formula>
    </cfRule>
  </conditionalFormatting>
  <conditionalFormatting sqref="BD164:BD165">
    <cfRule type="expression" dxfId="972" priority="295">
      <formula>BD$29=0</formula>
    </cfRule>
  </conditionalFormatting>
  <conditionalFormatting sqref="BD189:BD191">
    <cfRule type="expression" dxfId="971" priority="337">
      <formula>BD$29=0</formula>
    </cfRule>
  </conditionalFormatting>
  <conditionalFormatting sqref="BD224:BD225">
    <cfRule type="expression" dxfId="970" priority="347">
      <formula>BD$29=0</formula>
    </cfRule>
  </conditionalFormatting>
  <conditionalFormatting sqref="BD292">
    <cfRule type="expression" dxfId="969" priority="359">
      <formula>BD292&lt;BD287</formula>
    </cfRule>
  </conditionalFormatting>
  <conditionalFormatting sqref="BH189:BH191 BH193:BH195">
    <cfRule type="expression" dxfId="968" priority="1807">
      <formula>AND(BH189&lt;&gt;"-",BH189&gt;BH190)</formula>
    </cfRule>
  </conditionalFormatting>
  <conditionalFormatting sqref="BH230">
    <cfRule type="expression" dxfId="967" priority="4655">
      <formula>AND(BH230&lt;&gt;"-",BH230&gt;#REF!)</formula>
    </cfRule>
  </conditionalFormatting>
  <dataValidations xWindow="97" yWindow="1212" count="100">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A3A12D46-CB7F-4FE8-AADE-076FD2CF8966}"/>
    <dataValidation type="list" allowBlank="1" showInputMessage="1" showErrorMessage="1" errorTitle="Toestel RV" error="Kies een beschikbaar toestel." sqref="AA83 O83 AM83" xr:uid="{E3DD390B-0C2B-4EBD-9C72-75E0626F9700}">
      <formula1>toestellen_RV_invoer</formula1>
    </dataValidation>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B471E37A-CA4A-442C-AF47-CB7936135971}"/>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959F8E59-C46D-45B1-B369-1C9EC04C6732}"/>
    <dataValidation allowBlank="1" showInputMessage="1" showErrorMessage="1" promptTitle="Mobiliteit" prompt="Het geschatte elektriciteitsgebruik voor mobiliteit, bijvoorbeeld door elektrische auto's, kan worden ingevuld in kWh per woning of per utiliteitsgebouw." sqref="D71" xr:uid="{20C1A7C7-E836-49C6-9E35-887C5AD41C87}"/>
    <dataValidation allowBlank="1" showInputMessage="1" showErrorMessage="1" promptTitle="PV" prompt="Opbrengst PV op gevel en dak in kWh per woning | utiliteitsgebouw." sqref="D73" xr:uid="{6FF0BE9D-A713-4EE6-A95B-57541D34D612}"/>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2745FAD5-4819-49BA-BB6B-0060C0C87A93}"/>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CDFE3B71-5EB4-4C5D-9B97-B988DF444C38}"/>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EE755FCD-EE53-4C23-BDD9-717D86F8E70E}"/>
    <dataValidation allowBlank="1" showInputMessage="1" showErrorMessage="1" promptTitle="Forfaitaire waarden PV" prompt="Forfaitaire waarde voor opbrengst van PV: 875 kWh/kWp._x000a_" sqref="D171" xr:uid="{314439A7-CC14-4B2E-B110-D361892B516B}"/>
    <dataValidation allowBlank="1" showInputMessage="1" showErrorMessage="1" promptTitle="Opwekkingsrendement" prompt="Binnen de Uniforme Maatlat wordt het opwekkingsrendement op bovenwaarde gebruikt." sqref="D111" xr:uid="{CB8A8E20-C1DE-4DAE-A36D-4A822BBBD114}"/>
    <dataValidation allowBlank="1" showInputMessage="1" showErrorMessage="1" promptTitle="Primaire energiefactor" prompt="Het is mogelijk een eigen primaire energiefactor in te voeren. _x000a_Let op: Het verrekenen van aftapwarmte gaat via 'gederfde elektriciteit'." sqref="D143" xr:uid="{4EB943FB-1609-46DA-905A-910881D0C3C4}"/>
    <dataValidation type="decimal" allowBlank="1" showInputMessage="1" showErrorMessage="1" sqref="AM142 AM145:AM146 AA145:AA146 O145:O146 AA142 AY145" xr:uid="{C7504A49-41E3-4DCF-8353-2D7A4C5473C6}">
      <formula1>0</formula1>
      <formula2>1</formula2>
    </dataValidation>
    <dataValidation type="whole" allowBlank="1" showInputMessage="1" showErrorMessage="1" sqref="AN142:AO142 AN145:AO146 AB145:AC146 P145:Q146 AB142:AC142 AZ145:BA145" xr:uid="{F346A92F-EC91-4E80-89ED-E3661BEBE5B9}">
      <formula1>0</formula1>
      <formula2>1</formula2>
    </dataValidation>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2CE5EDA2-9F22-4617-AF52-5224C1F2BED4}"/>
    <dataValidation allowBlank="1" showInputMessage="1" showErrorMessage="1" promptTitle="Primair energiegebruik" prompt="De Uniforme Maatlat rekent op onderwaarde. De EPG rekent echter op bovenwaarde. De berekende primaire energiebruiken in de EPG zijn daarom hoger." sqref="D162" xr:uid="{9CE6192E-F6C0-4C2D-BE2F-6429AFDD6EC2}"/>
    <dataValidation allowBlank="1" showInputMessage="1" showErrorMessage="1" promptTitle="BENG-eisen" prompt="Als er meer dan één gebruiksfunctie is, dan is de eis gelijk aan het naar gebruiksoppervlakte gewogen gemiddelde over de verschillende functies." sqref="A276" xr:uid="{A531D7D1-07C5-4B24-B29F-877C2686B7A6}"/>
    <dataValidation type="list" allowBlank="1" showInputMessage="1" showErrorMessage="1" sqref="F5" xr:uid="{FC58D90B-854A-4D58-BD5B-E8560F869701}">
      <formula1>opwekking_elektriciteit</formula1>
    </dataValidation>
    <dataValidation type="list" allowBlank="1" showInputMessage="1" showErrorMessage="1" sqref="AY83" xr:uid="{3DB82375-3C0D-4FAA-9CFF-74F121497017}">
      <formula1>toestellen_RV_invoer</formula1>
    </dataValidation>
    <dataValidation type="list" allowBlank="1" showInputMessage="1" showErrorMessage="1" sqref="P83 AB83 AZ83 AN83" xr:uid="{BF2F42B6-F3DE-4B01-9EEB-27F88A7F6AE3}">
      <formula1>toestellen_KOEL_invoer</formula1>
    </dataValidation>
    <dataValidation type="list" allowBlank="1" showInputMessage="1" showErrorMessage="1" sqref="Q83 AC83 BA83 AO83" xr:uid="{E730BBB4-8875-4FE2-ABF6-03233CC831F1}">
      <formula1>toestellen_TAP_invoer</formula1>
    </dataValidation>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07667BB5-B5D3-4D1E-92BA-BAF6ED370C0A}"/>
    <dataValidation allowBlank="1" showInputMessage="1" showErrorMessage="1" promptTitle="Gegevensfilter en navigatie" prompt="&lt;-_x000a_Het gegevensfilter biedt de mogelijkheid om (delen van) tabellen in de UMGO te filteren._x000a__x000a_-&gt;_x000a_Navigatieknoppen naar andere tabbladen." sqref="D8" xr:uid="{8EB41D1A-FB67-42E0-A888-2D0AB8812A25}"/>
    <dataValidation allowBlank="1" showInputMessage="1" showErrorMessage="1" promptTitle="Warmtebehoefte warmtapwater" prompt="De energiebehoefte voor warmtapwatergebruik wordt berekend op basis van rekenregels in NTA8800 (paragraaf 13.2)." sqref="D65" xr:uid="{ADBF0287-9781-4CE3-8C8F-8E8A66538DD6}"/>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752AC3BB-451F-482E-8D9A-C2499AA8D86B}"/>
    <dataValidation type="list" allowBlank="1" showInputMessage="1" showErrorMessage="1" errorTitle="Toestel RV" error="Kies een beschikbaar toestel." sqref="Q90 AA90 AC90 AM90 AO90 AY90 BA90 O90" xr:uid="{D73A7A98-F399-48E6-B015-68667823EB82}">
      <formula1>"ja,nee"</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3DC29C14-7A9C-47C9-868D-6952E423DCAA}"/>
    <dataValidation type="list" allowBlank="1" showInputMessage="1" showErrorMessage="1" sqref="O42:W42 AY42:BG42 AA42:AI42 AM42:AU42" xr:uid="{732BF28C-9E82-441F-BE04-64EFBD19AC37}">
      <formula1>ventilatiesystemen_namen</formula1>
    </dataValidation>
    <dataValidation type="list" allowBlank="1" showInputMessage="1" showErrorMessage="1" sqref="O43:W43 AA43:AI43 AY43:BG43 AM43:AU43" xr:uid="{984FD9D4-3B45-487B-9CF9-EB3D2FB6691F}">
      <formula1>ventilatoren_typen</formula1>
    </dataValidation>
    <dataValidation type="list" allowBlank="1" showInputMessage="1" showErrorMessage="1" sqref="O46:W46 AA46:AI46 AY46:BG46 AM46:AU46" xr:uid="{72EC363D-3EA9-4083-912E-018FA9EA24A7}">
      <formula1>verlichtingsregeling_namen</formula1>
    </dataValidation>
    <dataValidation allowBlank="1" showInputMessage="1" showErrorMessage="1" promptTitle="Vermogen verwarming &amp; koeling" prompt="Een indicatie van het verwarmings- en koelvermogen op basis van formules NTA8800. Zie 'bibliotheek' voor meer details." sqref="D99" xr:uid="{3079F8E6-90AD-4395-A017-1D5A4FC675E9}"/>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DB581705-0A3D-4B71-B0C1-5196DDCDF890}"/>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82A7078C-580F-462E-958C-476253D5F877}"/>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B49E92EA-4D24-447F-936A-2016E556E3A0}"/>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9B5FB2E0-7A32-4F2A-8307-8D285BC9533B}"/>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E91BCAF-92BE-4089-9580-3BD281477EE4}"/>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5D51F46-CDD9-40DF-9A2B-A301A2DB8735}"/>
    <dataValidation allowBlank="1" showInputMessage="1" showErrorMessage="1" promptTitle="Totaal hernieuwbare prim energie" prompt="Hernieuwbare 'primaire' energie van de woning of het gebouw." sqref="D276" xr:uid="{88D2F169-EF58-4AB0-BCEC-D1FC6DEFF137}"/>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5010E6AD-1C41-4C95-AEA0-DE55B7EBDF0C}"/>
    <dataValidation allowBlank="1" showInputMessage="1" showErrorMessage="1" promptTitle="Aandeel hernieuwb. prim energie" prompt="Aandeel hernieuwbare energie._x000a__x000a_RERPrenTOT = EPrenTot / (EPTot + EPrenTot) * 100%_x000a__x000a_Cf. NTA8800 par. 5.3.1.3, formule 5.3" sqref="D278" xr:uid="{054D8929-2850-4D7B-9973-0C0499953701}"/>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18B9C8E2-BCF8-4AAA-B6C7-50C04465C9D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9246FC70-D5DE-481A-A012-7B4FE91F14DE}"/>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73A2DA58-0850-4212-B3D1-F68E5C38CF50}"/>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BB1A4861-63AF-497D-82B0-8A069B4BF785}"/>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AC29EABB-BED5-4997-965F-A428157B2D96}"/>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9CF056C4-E2C0-43F6-8FB6-E63F2F5B24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A7A890C4-6C78-45B6-8FB7-751618BAD15F}"/>
    <dataValidation allowBlank="1" showInputMessage="1" showErrorMessage="1" promptTitle="Energiegebruik per energiepost" prompt="Per deellocatie is de energiebehoefte van alle woningen en gebouwen per energiepost gesommeerd." sqref="D78" xr:uid="{D8F27C35-CF4B-4F27-8AEB-30EC1C8FA1E8}"/>
    <dataValidation allowBlank="1" showInputMessage="1" showErrorMessage="1" promptTitle="BENG eisen 2021" prompt="De BENG eisen zijn overgenomen van:_x000a__x000a_https://zoek.officielebekendmakingen.nl/stb-2019-501.html_x000a__x000a_" sqref="D284" xr:uid="{1A89A682-F289-4924-B858-01086967836E}"/>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17655FDE-EF17-4D1B-AEA6-51D26D085AAF}"/>
    <dataValidation allowBlank="1" showInputMessage="1" showErrorMessage="1" promptTitle="energiebehoefte-indicator" prompt="Warmtebehoefte ruimteverwarming + koudebehoefte voor koeling, berekend met ventilatiesysteem C1, in kWh/m2._x000a__x000a_NTA8800, par. 5.3.1.1_x000a__x000a_" sqref="D290" xr:uid="{58BDC3EB-8B38-4008-B427-3698356D844B}"/>
    <dataValidation allowBlank="1" showInputMessage="1" showErrorMessage="1" promptTitle="primaire energie indicator" prompt="Het totale gebouwgebonden primaire (vermeden) energiegebruik (voor woningen ZONDER verlichting) in kWh/m2._x000a__x000a_NTA8800, par. 5.3.1.2_x000a__x000a_" sqref="D291" xr:uid="{2E3E4E57-814B-438C-827F-51A66308AC49}"/>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2AE88821-6422-4523-B1E6-D1A273FDF1C5}"/>
    <dataValidation type="decimal" allowBlank="1" showInputMessage="1" showErrorMessage="1" errorTitle="Bereik 0%-100%" error="De ingevoerde waarde is buiten het bereik." sqref="AY109:BA109 AA109:AC109 O109:Q109 AM109:AO109" xr:uid="{49A7B2C1-14D3-47EA-B8BF-9E61A494CC33}">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8F451621-75BD-496D-AF34-EFAF85EDE51E}">
      <formula1>0.1</formula1>
      <formula2>15</formula2>
    </dataValidation>
    <dataValidation type="decimal" allowBlank="1" showInputMessage="1" showErrorMessage="1" errorTitle="Bereik 0%-100%" error="De ingevoerde waarde valt buiten het bereik." sqref="AA48:AI48 O48:W48 AM48:AU48 AY48:BG48" xr:uid="{24F560BB-445F-4BE4-8699-0C171C1DD4D7}">
      <formula1>0</formula1>
      <formula2>1</formula2>
    </dataValidation>
    <dataValidation type="decimal" operator="greaterThanOrEqual" allowBlank="1" showInputMessage="1" showErrorMessage="1" errorTitle="Bereik ≥0" error="De ingevulde waarde valt buiten het bereik." sqref="O25:W25 AA25:AI25 AY25:BG25 AM25:AU25" xr:uid="{E2151683-FF9C-4D97-9C42-80A4F481E1B1}">
      <formula1>0</formula1>
    </dataValidation>
    <dataValidation type="decimal" allowBlank="1" showInputMessage="1" showErrorMessage="1" errorTitle="Bereik 0-30" error="De ingevoerde waarde valt buiten het bereik." sqref="O45:W45 AA45:AI45 AY45:BG45 AM45:AU45" xr:uid="{AFE0B17D-7CB3-4C43-97BB-EF9A79976831}">
      <formula1>0</formula1>
      <formula2>30</formula2>
    </dataValidation>
    <dataValidation type="decimal" operator="greaterThanOrEqual" allowBlank="1" showInputMessage="1" showErrorMessage="1" errorTitle="Bereik ≥0" error="De ingevoerde waarde valt buiten het bereik." sqref="BA94 O71:W71 AA71:AI71 O94 Q94 AA94 AC94 AM94 AO94 AY94 AY71:BG71 AM71:AU71" xr:uid="{9D434F8C-8F65-4557-81B7-907612229BE3}">
      <formula1>0</formula1>
    </dataValidation>
    <dataValidation type="decimal" operator="greaterThanOrEqual" allowBlank="1" showInputMessage="1" showErrorMessage="1" errorTitle="Bereik ≥0" error="De ingevoerde waarde valt buiten het bereik." promptTitle="Energiepakket / energiebehoefte" sqref="O73:W73 AA73:AI73 AY73:BG73 AM73:AU73" xr:uid="{91B84CE6-6D01-4DC6-8A29-0383B34E225C}">
      <formula1>0</formula1>
    </dataValidation>
    <dataValidation type="decimal" allowBlank="1" showInputMessage="1" showErrorMessage="1" errorTitle="Bereik 0,10-1,00" error="De ingevoerde waarde valt buiten het bereik." sqref="O87 Q87 AA87 AC87 AY87 BA87 AM87 AO87" xr:uid="{93ABE72B-F511-46C1-9982-133D373EAC54}">
      <formula1>0.1</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C2ADB055-2E93-4B3A-A310-CA23A4AE9746}">
      <formula1>0</formula1>
      <formula2>2</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236B6213-928F-4B98-820E-394B7152A39E}">
      <formula1>0</formula1>
      <formula2>1</formula2>
    </dataValidation>
    <dataValidation type="decimal" allowBlank="1" showInputMessage="1" showErrorMessage="1" errorTitle="Bereik 0,0-0,5" error="De ingevoerde waarde valt buiten het bereik." sqref="O129:Q129 AA129:AC129 AY129:BA129 AM129:AO129" xr:uid="{31A260F9-82EE-4023-AE5B-EDF2795CF5D6}">
      <formula1>0</formula1>
      <formula2>0.5</formula2>
    </dataValidation>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DA7565E4-D392-4F5A-A9E2-ED54681255F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02AED43B-1458-4899-A484-9F4430289817}"/>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97C17504-8930-4D72-94B8-C0D4038DC4E6}"/>
    <dataValidation allowBlank="1" showInputMessage="1" showErrorMessage="1" promptTitle="Keuze preferent toestel" prompt="De keuze van het preferente toestel bepaalt welke forfaitaire waarden voor warmtedistributie, energiedragers en rendementen uit de bibliotheek worden opgehaald." sqref="D82" xr:uid="{AA9432F3-812C-4161-81A3-7E3CBA492533}"/>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8D003FA6-39A8-4D6F-B935-B39A4F59B5C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B7576171-861C-43EE-91D6-0BAD233FF22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D134B48B-66FC-4AED-9C69-0D3813D9F71B}"/>
    <dataValidation allowBlank="1" showInputMessage="1" showErrorMessage="1" promptTitle="Resultaten" prompt="De tabel geeft een samenvatting van het primair energiegebruik, de CO2 emissie en het gasverbruik van de locatie(s) als gevolg van energetische keuzes in deze variant." sqref="D10" xr:uid="{347DAFFD-F188-4C8A-932F-B7A3F78EE032}"/>
    <dataValidation allowBlank="1" showInputMessage="1" showErrorMessage="1" promptTitle="Woningen|utiliteitsgebouwen" prompt="De tabel geeft een terugkoppeling van de ingevoerde woningen en utileitsgebouwen in" sqref="D17" xr:uid="{F36194A3-7F01-4859-8911-67202147A79A}"/>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6C6204F7-9E07-4530-A2FD-53F9DF9761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B6000326-9099-4F74-AD70-258E69865B48}"/>
    <dataValidation allowBlank="1" showInputMessage="1" showErrorMessage="1" promptTitle="Energieprestatie indicatoren" prompt="De energieprestatie indicatoren gaan alleen over GEBOUWGEBONDEN energiegebruik en zijn bepaald cf. paragraaf 5.3.1 van NTA 8800._x000a__x000a_" sqref="D281" xr:uid="{8DE63E0A-EFDC-40E6-ACEE-7C4D51A2A069}"/>
    <dataValidation allowBlank="1" showInputMessage="1" showErrorMessage="1" promptTitle="Hernieuwbare 'primaire' energie" prompt="De totale hernieuwbare 'primaire' energie voor GEBOUWGEBONDEN energiegebruik is berekend cf. NTA8800._x000a__x000a_NTA8800 par. 5.6." sqref="D263" xr:uid="{1358E344-C667-492E-9DDA-0E1CB35ADDA0}"/>
    <dataValidation allowBlank="1" showInputMessage="1" showErrorMessage="1" promptTitle="Kookgas" prompt="Gasverbruik voor kookgas." sqref="D68" xr:uid="{0FB05954-C11B-4010-BD75-1721C735A39B}"/>
    <dataValidation type="list" allowBlank="1" showInputMessage="1" showErrorMessage="1" sqref="O47:W47 AA47:AI47 AY47:BG47 AM47:AU47" xr:uid="{43CD5BFA-1E12-4290-8267-63CDA19AB4FF}">
      <formula1>"elektriciteit,aardgas"</formula1>
    </dataValidation>
    <dataValidation allowBlank="1" showInputMessage="1" showErrorMessage="1" promptTitle="Aandeel hernieuwbare energie" prompt="Aandeel hernieuwbare energie._x000a__x000a_RERPrenTOT = EPrenTot / (EPTot + EPrenTot) * 100%_x000a__x000a_Cf. NTA8800 par. 5.3.1.3, formule 5.3" sqref="D292" xr:uid="{CE3E123E-8148-40BA-967F-BFBE0F6BC912}"/>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B2CB6022-D26C-41FB-9D08-3ED43CF28569}"/>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F482F784-8CB3-41AA-BB67-ED330C8EC611}"/>
    <dataValidation allowBlank="1" showInputMessage="1" showErrorMessage="1" promptTitle="Elektriciteit 'overig'" prompt="Elektriciteit 'overig' is het elektriciteitsgebruik voor hulpenergie installaties, verlichting, ventilatoren, apparatuur, mobiliteit, elektrisch koken, etcetera." sqref="D157" xr:uid="{A0C5F7EC-ABF8-43CE-A99C-974A3C5EE414}"/>
    <dataValidation type="decimal" allowBlank="1" showInputMessage="1" showErrorMessage="1" errorTitle="Bereik 0%-100%" error="De ingevoerde waarde valt buiten het bereik." sqref="O44:W44 AA44:AI44 AY44:BG44 AM44:AU44" xr:uid="{74C54E3E-F48C-4AB3-AAD2-D40CC77843A7}">
      <formula1>0.5</formula1>
      <formula2>2</formula2>
    </dataValidation>
    <dataValidation type="textLength" errorStyle="warning" allowBlank="1" showInputMessage="1" showErrorMessage="1" errorTitle="Maximaal 30 karakters" error="Maximaal 30 karakters" sqref="E3 F4" xr:uid="{E85D288B-7874-4F31-8C23-0ADD72961271}">
      <formula1>0</formula1>
      <formula2>30</formula2>
    </dataValidation>
    <dataValidation type="textLength" errorStyle="warning" allowBlank="1" showInputMessage="1" showErrorMessage="1" errorTitle="Maximaal 30 karakters" error="Maximaal 30 karakters" sqref="H3" xr:uid="{A3C002CD-DD4E-477B-8D14-CD3D6187C906}">
      <formula1>0</formula1>
      <formula2>40</formula2>
    </dataValidation>
    <dataValidation type="textLength" allowBlank="1" showInputMessage="1" showErrorMessage="1" errorTitle="Maximaal 65 karakters" error="Maximaal 65 karakters." sqref="F4" xr:uid="{C83996CD-F397-4F2F-A9B6-88C88407661E}">
      <formula1>0</formula1>
      <formula2>65</formula2>
    </dataValidation>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A1009EB4-4586-4CA5-96DD-7A9774C24E1D}"/>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6A0978A1-5DE9-41B8-B572-0224C2B8B722}"/>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B259BF10-7771-4241-B06F-33902CC97DAE}"/>
    <dataValidation allowBlank="1" showInputMessage="1" showErrorMessage="1" promptTitle="Standaardwaarde" prompt="Deze standaard geeft aan wanneer een woning goed genoeg is geïsoleerd om aardgasvrij te worden. Hij is ontstaan uit het Klimaatakkoord._x000a_" sqref="D296" xr:uid="{ED67F2F5-93A2-48DF-B07A-D4799B0E513D}"/>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E27F4D66-0CB7-4689-813A-F6D590E28775}"/>
    <dataValidation type="decimal" allowBlank="1" showInputMessage="1" showErrorMessage="1" errorTitle="Invoer valt buiten bereik" error="De ingevoerde waarde valt buiten het bereik." sqref="O55:W56 AA55:AI56 AM55:AU56 AY55:BG56" xr:uid="{2AED0598-9DF0-4E84-A117-71584D1683F5}">
      <formula1>0.2</formula1>
      <formula2>2</formula2>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D3F96453-CA1B-48C8-88B4-D4690F18BCDB}"/>
    <dataValidation type="list" allowBlank="1" showInputMessage="1" showErrorMessage="1" promptTitle="Energiepakket / energiebehoefte" sqref="AY41:BG41 AA41:AI41 AM41:AU41 O41:W41" xr:uid="{F22FA4F3-0FBB-45B7-B302-72714BCA4508}">
      <formula1>isolatiepakketten_gebouwschil_namen</formula1>
    </dataValidation>
    <dataValidation allowBlank="1" showInputMessage="1" showErrorMessage="1" promptTitle="Energiepakket / energiebehoefte" sqref="O40:BG40" xr:uid="{607B1DF2-6AE6-4DD3-9829-C34CCBC8D0CD}"/>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3BC16C0B-01CC-4FB5-94D7-550392ACA558}"/>
    <dataValidation type="list" allowBlank="1" showInputMessage="1" showErrorMessage="1" sqref="AY49:BG49 AA49:AI49 AM49:AU49 O49:W49" xr:uid="{AD6974AF-E480-423F-A4B5-4F4C9BF3D369}">
      <formula1>specifieke_interne_warmtecapaciteit</formula1>
    </dataValidation>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9839DC9C-BC8C-437A-B5DD-EA3D94442928}"/>
    <dataValidation type="list" showInputMessage="1" showErrorMessage="1" sqref="G61 G63 G289" xr:uid="{22C5250D-877E-4DE7-BAFF-BAF82028730B}">
      <formula1>beschikbare_fitformules_NTA8800</formula1>
    </dataValidation>
  </dataValidations>
  <hyperlinks>
    <hyperlink ref="D284" r:id="rId1" tooltip="verwijzing naar Staatsblad 2019, 501 met BENG-eisen" xr:uid="{69AA9192-6C3E-4CD5-ABD6-813CF7683FD6}"/>
  </hyperlinks>
  <pageMargins left="0.23622047244094491" right="0.23622047244094491" top="0.74803149606299213" bottom="0.74803149606299213" header="0.31496062992125984" footer="0.31496062992125984"/>
  <pageSetup paperSize="9" scale="25" fitToHeight="0" orientation="landscape" r:id="rId2"/>
  <headerFooter alignWithMargins="0">
    <oddFooter>&amp;L_x000D_&amp;1#&amp;"Calibri"&amp;10&amp;K000000 Intern gebruik</oddFooter>
  </headerFooter>
  <ignoredErrors>
    <ignoredError sqref="AJ238:AL238 AV238:AX238 T204 AF204 AR204 BD204 T161 AF161:AF163 AR161:AR163 BD161:BD163 P118 P143"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12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63" id="{CA6B6D33-4D2C-403F-88BC-AE1EF1A4BC7D}">
            <xm:f>OR(O$19="",O$24=0,IFERROR(INDEX(bibliotheek!#REF!,MATCH(IF(O$19="",bibliotheek!#REF!,O$42),ventilatiesystemen_namen,0))="A",0))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BBCD-FF53-490F-81FF-C17AB62C760A}">
  <sheetPr codeName="Blad9" filterMode="1">
    <tabColor theme="6" tint="0.39997558519241921"/>
    <outlinePr showOutlineSymbols="0"/>
    <pageSetUpPr fitToPage="1"/>
  </sheetPr>
  <dimension ref="A1:BI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2</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2" t="str">
        <f>"project: "&amp;IF('woningen|utiliteit'!$F$3="","",'woningen|utiliteit'!$F$3)</f>
        <v xml:space="preserve">project: </v>
      </c>
      <c r="F3" s="1113"/>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4"/>
      <c r="G4" s="1114"/>
      <c r="H4" s="1115"/>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6" t="s">
        <v>94</v>
      </c>
      <c r="C5" s="1116"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6"/>
      <c r="C6" s="1116"/>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6"/>
      <c r="C7" s="1116"/>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25.5">
      <c r="A42" s="652"/>
      <c r="B42" s="492" t="s">
        <v>139</v>
      </c>
      <c r="C42" s="653" t="s">
        <v>125</v>
      </c>
      <c r="D42" s="747"/>
      <c r="E42" s="182" t="s">
        <v>143</v>
      </c>
      <c r="F42" s="182"/>
      <c r="G42" s="182"/>
      <c r="H42" s="183" t="s">
        <v>68</v>
      </c>
      <c r="I42" s="114"/>
      <c r="J42" s="707"/>
      <c r="K42" s="97"/>
      <c r="L42" s="97"/>
      <c r="M42" s="224"/>
      <c r="N42" s="99"/>
      <c r="O42" s="876" t="s">
        <v>1868</v>
      </c>
      <c r="P42" s="876" t="s">
        <v>1868</v>
      </c>
      <c r="Q42" s="876" t="s">
        <v>1868</v>
      </c>
      <c r="R42" s="876" t="s">
        <v>1868</v>
      </c>
      <c r="S42" s="876" t="s">
        <v>1868</v>
      </c>
      <c r="T42" s="876" t="s">
        <v>1868</v>
      </c>
      <c r="U42" s="876" t="s">
        <v>1868</v>
      </c>
      <c r="V42" s="876" t="s">
        <v>1868</v>
      </c>
      <c r="W42" s="876" t="s">
        <v>1868</v>
      </c>
      <c r="X42" s="764"/>
      <c r="Y42" s="224"/>
      <c r="Z42" s="765"/>
      <c r="AA42" s="876" t="s">
        <v>1868</v>
      </c>
      <c r="AB42" s="876" t="s">
        <v>1868</v>
      </c>
      <c r="AC42" s="876" t="s">
        <v>1868</v>
      </c>
      <c r="AD42" s="876" t="s">
        <v>1868</v>
      </c>
      <c r="AE42" s="876" t="s">
        <v>1868</v>
      </c>
      <c r="AF42" s="876" t="s">
        <v>1868</v>
      </c>
      <c r="AG42" s="876" t="s">
        <v>1868</v>
      </c>
      <c r="AH42" s="876" t="s">
        <v>1868</v>
      </c>
      <c r="AI42" s="876" t="s">
        <v>1868</v>
      </c>
      <c r="AJ42" s="764"/>
      <c r="AK42" s="224"/>
      <c r="AL42" s="766"/>
      <c r="AM42" s="876" t="s">
        <v>1868</v>
      </c>
      <c r="AN42" s="876" t="s">
        <v>1868</v>
      </c>
      <c r="AO42" s="876" t="s">
        <v>1868</v>
      </c>
      <c r="AP42" s="876" t="s">
        <v>1868</v>
      </c>
      <c r="AQ42" s="876" t="s">
        <v>1868</v>
      </c>
      <c r="AR42" s="876" t="s">
        <v>1868</v>
      </c>
      <c r="AS42" s="876" t="s">
        <v>1868</v>
      </c>
      <c r="AT42" s="876" t="s">
        <v>1868</v>
      </c>
      <c r="AU42" s="876" t="s">
        <v>1868</v>
      </c>
      <c r="AV42" s="764"/>
      <c r="AW42" s="224"/>
      <c r="AX42" s="766"/>
      <c r="AY42" s="876" t="s">
        <v>1868</v>
      </c>
      <c r="AZ42" s="876" t="s">
        <v>1868</v>
      </c>
      <c r="BA42" s="876" t="s">
        <v>1868</v>
      </c>
      <c r="BB42" s="876" t="s">
        <v>1868</v>
      </c>
      <c r="BC42" s="876" t="s">
        <v>1868</v>
      </c>
      <c r="BD42" s="876" t="s">
        <v>1868</v>
      </c>
      <c r="BE42" s="876" t="s">
        <v>1868</v>
      </c>
      <c r="BF42" s="876" t="s">
        <v>1868</v>
      </c>
      <c r="BG42" s="876" t="s">
        <v>1868</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c r="P45" s="878"/>
      <c r="Q45" s="878"/>
      <c r="R45" s="878"/>
      <c r="S45" s="878"/>
      <c r="T45" s="878"/>
      <c r="U45" s="878"/>
      <c r="V45" s="878"/>
      <c r="W45" s="878"/>
      <c r="X45" s="768"/>
      <c r="Y45" s="282"/>
      <c r="Z45" s="279"/>
      <c r="AA45" s="878"/>
      <c r="AB45" s="878"/>
      <c r="AC45" s="878"/>
      <c r="AD45" s="878"/>
      <c r="AE45" s="878"/>
      <c r="AF45" s="878"/>
      <c r="AG45" s="878"/>
      <c r="AH45" s="878"/>
      <c r="AI45" s="878"/>
      <c r="AJ45" s="768"/>
      <c r="AK45" s="282"/>
      <c r="AL45" s="769"/>
      <c r="AM45" s="878"/>
      <c r="AN45" s="878"/>
      <c r="AO45" s="878"/>
      <c r="AP45" s="878"/>
      <c r="AQ45" s="878"/>
      <c r="AR45" s="878"/>
      <c r="AS45" s="878"/>
      <c r="AT45" s="878"/>
      <c r="AU45" s="878"/>
      <c r="AV45" s="768"/>
      <c r="AW45" s="282"/>
      <c r="AX45" s="769"/>
      <c r="AY45" s="878"/>
      <c r="AZ45" s="878"/>
      <c r="BA45" s="878"/>
      <c r="BB45" s="878"/>
      <c r="BC45" s="878"/>
      <c r="BD45" s="878"/>
      <c r="BE45" s="878"/>
      <c r="BF45" s="878"/>
      <c r="BG45" s="878"/>
      <c r="BH45" s="261"/>
    </row>
    <row r="46" spans="1:60">
      <c r="A46" s="652"/>
      <c r="B46" s="492" t="s">
        <v>139</v>
      </c>
      <c r="C46" s="735" t="s">
        <v>125</v>
      </c>
      <c r="D46" s="747"/>
      <c r="E46" s="182" t="s">
        <v>150</v>
      </c>
      <c r="F46" s="182"/>
      <c r="G46" s="182"/>
      <c r="H46" s="183" t="s">
        <v>68</v>
      </c>
      <c r="I46" s="114"/>
      <c r="J46" s="707"/>
      <c r="K46" s="97"/>
      <c r="L46" s="97"/>
      <c r="M46" s="224"/>
      <c r="N46" s="99"/>
      <c r="O46" s="876"/>
      <c r="P46" s="876"/>
      <c r="Q46" s="876"/>
      <c r="R46" s="876"/>
      <c r="S46" s="876"/>
      <c r="T46" s="876"/>
      <c r="U46" s="876"/>
      <c r="V46" s="876"/>
      <c r="W46" s="876"/>
      <c r="X46" s="764"/>
      <c r="Y46" s="224"/>
      <c r="Z46" s="236"/>
      <c r="AA46" s="876"/>
      <c r="AB46" s="876"/>
      <c r="AC46" s="876"/>
      <c r="AD46" s="876"/>
      <c r="AE46" s="876"/>
      <c r="AF46" s="876"/>
      <c r="AG46" s="876"/>
      <c r="AH46" s="876"/>
      <c r="AI46" s="876"/>
      <c r="AJ46" s="764"/>
      <c r="AK46" s="224"/>
      <c r="AL46" s="766"/>
      <c r="AM46" s="876"/>
      <c r="AN46" s="876"/>
      <c r="AO46" s="876"/>
      <c r="AP46" s="876"/>
      <c r="AQ46" s="876"/>
      <c r="AR46" s="876"/>
      <c r="AS46" s="876"/>
      <c r="AT46" s="876"/>
      <c r="AU46" s="876"/>
      <c r="AV46" s="764"/>
      <c r="AW46" s="224"/>
      <c r="AX46" s="766"/>
      <c r="AY46" s="876"/>
      <c r="AZ46" s="876"/>
      <c r="BA46" s="876"/>
      <c r="BB46" s="876"/>
      <c r="BC46" s="876"/>
      <c r="BD46" s="876"/>
      <c r="BE46" s="876"/>
      <c r="BF46" s="876"/>
      <c r="BG46" s="876"/>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1873</v>
      </c>
      <c r="F49" s="1048"/>
      <c r="G49" s="1048"/>
      <c r="H49" s="1053" t="s">
        <v>1874</v>
      </c>
      <c r="I49" s="210"/>
      <c r="J49" s="238"/>
      <c r="K49" s="90"/>
      <c r="L49" s="90"/>
      <c r="M49" s="238"/>
      <c r="N49" s="105"/>
      <c r="O49" s="1054"/>
      <c r="P49" s="1054"/>
      <c r="Q49" s="1054"/>
      <c r="R49" s="1054"/>
      <c r="S49" s="1054"/>
      <c r="T49" s="1054"/>
      <c r="U49" s="1054"/>
      <c r="V49" s="1054"/>
      <c r="W49" s="1054"/>
      <c r="X49" s="763"/>
      <c r="Y49" s="238"/>
      <c r="Z49" s="236"/>
      <c r="AA49" s="1054"/>
      <c r="AB49" s="1054"/>
      <c r="AC49" s="1054"/>
      <c r="AD49" s="1054"/>
      <c r="AE49" s="1054"/>
      <c r="AF49" s="1054"/>
      <c r="AG49" s="1054"/>
      <c r="AH49" s="1054"/>
      <c r="AI49" s="1054"/>
      <c r="AJ49" s="763"/>
      <c r="AK49" s="238"/>
      <c r="AL49" s="763"/>
      <c r="AM49" s="1054"/>
      <c r="AN49" s="1054"/>
      <c r="AO49" s="1054"/>
      <c r="AP49" s="1054"/>
      <c r="AQ49" s="1054"/>
      <c r="AR49" s="1054"/>
      <c r="AS49" s="1054"/>
      <c r="AT49" s="1054"/>
      <c r="AU49" s="1054"/>
      <c r="AV49" s="763"/>
      <c r="AW49" s="238"/>
      <c r="AX49" s="763"/>
      <c r="AY49" s="1054"/>
      <c r="AZ49" s="1054"/>
      <c r="BA49" s="1054"/>
      <c r="BB49" s="1054"/>
      <c r="BC49" s="1054"/>
      <c r="BD49" s="1054"/>
      <c r="BE49" s="1054"/>
      <c r="BF49" s="1054"/>
      <c r="BG49" s="1054"/>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1876</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1876</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232"/>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1"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1">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1"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1">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1">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1">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1"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1"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1">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1"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236"/>
      <c r="BI266" s="236"/>
    </row>
    <row r="267" spans="1:61">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236"/>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1">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236"/>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1">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236"/>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1">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236"/>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1">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236"/>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1">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236"/>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3"/>
      <c r="AA279" s="93"/>
      <c r="AB279" s="93"/>
      <c r="AC279" s="93"/>
      <c r="AD279" s="93"/>
      <c r="AE279" s="93"/>
      <c r="AF279" s="93"/>
      <c r="AG279" s="93"/>
      <c r="AH279" s="93"/>
      <c r="AI279" s="93"/>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1876</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6KJce5IKufi2XpG1Yzi4ECG9XJ02nBpuQYwSzjY8qrRn2KShHY7uOuYS+fLZ1PEogyZQwklzegBjAiSFYUFLsg==" saltValue="zqIG5gwQ8WNQq2UGNi0xwA=="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966" priority="71">
      <formula>B16=""</formula>
    </cfRule>
  </conditionalFormatting>
  <conditionalFormatting sqref="B27:C324">
    <cfRule type="expression" dxfId="965" priority="2">
      <formula>B27=""</formula>
    </cfRule>
  </conditionalFormatting>
  <conditionalFormatting sqref="C10">
    <cfRule type="expression" dxfId="964" priority="113">
      <formula>C10=""</formula>
    </cfRule>
  </conditionalFormatting>
  <conditionalFormatting sqref="C12:C26">
    <cfRule type="expression" dxfId="963" priority="72">
      <formula>C12=""</formula>
    </cfRule>
  </conditionalFormatting>
  <conditionalFormatting sqref="E55">
    <cfRule type="expression" dxfId="962" priority="21">
      <formula>$G$6=FALSE</formula>
    </cfRule>
  </conditionalFormatting>
  <conditionalFormatting sqref="E281:J281">
    <cfRule type="expression" dxfId="961" priority="163">
      <formula>$G$6=TRUE</formula>
    </cfRule>
  </conditionalFormatting>
  <conditionalFormatting sqref="F4:F5">
    <cfRule type="expression" dxfId="960" priority="138">
      <formula>F4=""</formula>
    </cfRule>
  </conditionalFormatting>
  <conditionalFormatting sqref="F5">
    <cfRule type="expression" dxfId="959" priority="136">
      <formula>OR($F$5="",ISERROR(MATCH(F5,opwekking_elektriciteit,0))=TRUE)</formula>
    </cfRule>
  </conditionalFormatting>
  <conditionalFormatting sqref="F2:H2">
    <cfRule type="expression" dxfId="958" priority="144">
      <formula>$F$2&lt;&gt;""</formula>
    </cfRule>
  </conditionalFormatting>
  <conditionalFormatting sqref="G61">
    <cfRule type="expression" dxfId="957" priority="11">
      <formula>OR(G61="",ISERROR(MATCH(G61,beschikbare_fitformules_NTA8800,0))=TRUE)</formula>
    </cfRule>
  </conditionalFormatting>
  <conditionalFormatting sqref="G63">
    <cfRule type="expression" dxfId="956" priority="7">
      <formula>OR(G63="",ISERROR(MATCH(G63,beschikbare_fitformules_NTA8800,0))=TRUE)</formula>
    </cfRule>
  </conditionalFormatting>
  <conditionalFormatting sqref="G289">
    <cfRule type="expression" dxfId="955" priority="3">
      <formula>OR(G289="",ISERROR(MATCH(G289,beschikbare_fitformules_NTA8800,0))=TRUE)</formula>
    </cfRule>
  </conditionalFormatting>
  <conditionalFormatting sqref="H3">
    <cfRule type="expression" dxfId="954" priority="1">
      <formula>H3=""</formula>
    </cfRule>
  </conditionalFormatting>
  <conditionalFormatting sqref="J32:J33">
    <cfRule type="cellIs" dxfId="953" priority="119" operator="greaterThan">
      <formula>0</formula>
    </cfRule>
  </conditionalFormatting>
  <conditionalFormatting sqref="J40:J42">
    <cfRule type="expression" dxfId="952" priority="70">
      <formula>J40="OK"</formula>
    </cfRule>
  </conditionalFormatting>
  <conditionalFormatting sqref="J46:J47">
    <cfRule type="expression" dxfId="951" priority="69">
      <formula>J46="OK"</formula>
    </cfRule>
  </conditionalFormatting>
  <conditionalFormatting sqref="J51">
    <cfRule type="cellIs" dxfId="950" priority="67" operator="notEqual">
      <formula>"OK"</formula>
    </cfRule>
  </conditionalFormatting>
  <conditionalFormatting sqref="J83">
    <cfRule type="cellIs" dxfId="949" priority="120" operator="notEqual">
      <formula>"OK"</formula>
    </cfRule>
  </conditionalFormatting>
  <conditionalFormatting sqref="J138">
    <cfRule type="cellIs" dxfId="948" priority="58" operator="equal">
      <formula>0</formula>
    </cfRule>
  </conditionalFormatting>
  <conditionalFormatting sqref="M32:M33">
    <cfRule type="cellIs" dxfId="947" priority="118" operator="greaterThan">
      <formula>0</formula>
    </cfRule>
  </conditionalFormatting>
  <conditionalFormatting sqref="M134:M149 Y134:Y149 AK134:AK149 AW134:AW149">
    <cfRule type="expression" dxfId="946" priority="141">
      <formula>SUM(M$134:M$149)=0</formula>
    </cfRule>
  </conditionalFormatting>
  <conditionalFormatting sqref="M138 Y138 AK138 AW138 J141 M141 Y141 AK141 AW141 J145 M145 Y145 AK145 AW145 J149 M149 Y149 AK149 AW149">
    <cfRule type="cellIs" dxfId="945" priority="62" operator="equal">
      <formula>0</formula>
    </cfRule>
  </conditionalFormatting>
  <conditionalFormatting sqref="O83 AA83 AM83 AY83">
    <cfRule type="expression" dxfId="944" priority="66">
      <formula>OR(AND(O83="",O$24&gt;0),ISERROR(MATCH(O83,toestellen_RV_invoer,0)))</formula>
    </cfRule>
  </conditionalFormatting>
  <conditionalFormatting sqref="O90 Q90 AA90 AC90 AM90 AO90 AY90 BA90">
    <cfRule type="expression" dxfId="943" priority="137">
      <formula>OR(AND(O$78&gt;0,O90=""),AND(O90&lt;&gt;"ja",O90&lt;&gt;"nee",O90&lt;&gt;""))</formula>
    </cfRule>
  </conditionalFormatting>
  <conditionalFormatting sqref="O129 Q129 AA129 AC129 AM129 AO129 AY129 BA129">
    <cfRule type="expression" dxfId="942" priority="151">
      <formula>O$128=0</formula>
    </cfRule>
  </conditionalFormatting>
  <conditionalFormatting sqref="O90:Q91 AA90:AC91 AM90:AO91 AY90:BA91 O86:Q88 AA86:AC88 AM86:AO88 AY86:BA88 O93:Q95 AA93:AC95 AM93:AO95 AY93:BA95 O83:Q84 AA83:AC84 AM83:AO84 AY83:BA84 O97:Q99 AA97:AC99 AM97:AO99 AY97:BA99">
    <cfRule type="expression" dxfId="941" priority="164">
      <formula>O$29=0</formula>
    </cfRule>
    <cfRule type="expression" dxfId="940" priority="165">
      <formula>O$78=0</formula>
    </cfRule>
  </conditionalFormatting>
  <conditionalFormatting sqref="O104:Q104 AA104:AC104 AM104:AO104 AY104:BA104 AA134:AC134 AM134:AO134 AY134:BA134">
    <cfRule type="expression" dxfId="939" priority="133">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938" priority="123">
      <formula>AND(O$78&gt;0,O87="")</formula>
    </cfRule>
  </conditionalFormatting>
  <conditionalFormatting sqref="O134:Q134">
    <cfRule type="expression" dxfId="937" priority="130">
      <formula>O$78=0</formula>
    </cfRule>
  </conditionalFormatting>
  <conditionalFormatting sqref="O135:Q141 AA135:AC141 AM135:AO141 AY135:BA141 O143:Q145 AA143:AC145 AM143:AO145 AY143:BA145 O147:Q149 AA147:AC149 AM147:AO149 AY147:BA149">
    <cfRule type="expression" dxfId="936" priority="57">
      <formula>OR(O$78=0,O$134="geen")</formula>
    </cfRule>
  </conditionalFormatting>
  <conditionalFormatting sqref="O140:Q140 AA140:AC140 AM140:AO140 AY140:BA140 O144:Q144 AA144:AC144 AM144:AO144 AY144:BA144 O148:Q148 AA148:AC148 AM148:AO148 AY148:BA148">
    <cfRule type="expression" dxfId="935" priority="162">
      <formula>AND(O$78&gt;0,O$134&lt;&gt;"geen",O140="")</formula>
    </cfRule>
  </conditionalFormatting>
  <conditionalFormatting sqref="O154:Q156 AA154:AC156 AM154:AO156 AY154:BA156">
    <cfRule type="expression" dxfId="934" priority="167">
      <formula>OR(O$29=0,O$126=0)</formula>
    </cfRule>
  </conditionalFormatting>
  <conditionalFormatting sqref="O155:Q155 AA155:AC155 AM155:AO155 AY155:BA155">
    <cfRule type="expression" dxfId="933" priority="132">
      <formula>AND(O$126&gt;0,O155="")</formula>
    </cfRule>
  </conditionalFormatting>
  <conditionalFormatting sqref="O170:T172">
    <cfRule type="expression" dxfId="932" priority="103">
      <formula>O$29=0</formula>
    </cfRule>
  </conditionalFormatting>
  <conditionalFormatting sqref="O200:T205">
    <cfRule type="expression" dxfId="931" priority="102">
      <formula>O$29=0</formula>
    </cfRule>
  </conditionalFormatting>
  <conditionalFormatting sqref="O212:T219">
    <cfRule type="expression" dxfId="930" priority="100">
      <formula>O$29=0</formula>
    </cfRule>
  </conditionalFormatting>
  <conditionalFormatting sqref="O17:W17">
    <cfRule type="expression" dxfId="929" priority="105">
      <formula>AND(O17&lt;&gt;"",ISERROR(MATCH(O17,woningen_gebouwen_namen,0))=TRUE)</formula>
    </cfRule>
  </conditionalFormatting>
  <conditionalFormatting sqref="O19:W19 AA19:AI19 AM19:AU19 AY19:BG19">
    <cfRule type="expression" dxfId="928" priority="117">
      <formula>O19=""</formula>
    </cfRule>
  </conditionalFormatting>
  <conditionalFormatting sqref="O20:W21 AM20:AU21 AY20:BG21">
    <cfRule type="expression" dxfId="927" priority="116">
      <formula>O$19=""</formula>
    </cfRule>
  </conditionalFormatting>
  <conditionalFormatting sqref="O22:W22">
    <cfRule type="expression" dxfId="926" priority="114">
      <formula>OR(O$19="",AND(O$21&lt;&gt;woning,O$21&lt;&gt;woongebouw))</formula>
    </cfRule>
  </conditionalFormatting>
  <conditionalFormatting sqref="O24:W25 AA24:BG25">
    <cfRule type="expression" dxfId="925" priority="92">
      <formula>O$19=""</formula>
    </cfRule>
  </conditionalFormatting>
  <conditionalFormatting sqref="O25:W25 AM25:AU25 AY25:BG25">
    <cfRule type="expression" dxfId="924" priority="148">
      <formula>AND(O$19&lt;&gt;"",O25="")</formula>
    </cfRule>
    <cfRule type="expression" dxfId="923" priority="147">
      <formula>AND(O$19="",O25&gt;0)</formula>
    </cfRule>
  </conditionalFormatting>
  <conditionalFormatting sqref="O26:W29 O31:W35">
    <cfRule type="expression" dxfId="922" priority="22">
      <formula>OR(O$19="",O$24=0)</formula>
    </cfRule>
  </conditionalFormatting>
  <conditionalFormatting sqref="O40:W48 O51:W51 O53:W56 O59:W59 O71:W71 O73:W73">
    <cfRule type="expression" dxfId="921" priority="60">
      <formula>OR(O$19="",O$24=0)</formula>
    </cfRule>
  </conditionalFormatting>
  <conditionalFormatting sqref="O41:W41 AA41:AI41 AM41:AU41 AY41:BG41">
    <cfRule type="expression" dxfId="920" priority="23">
      <formula>AND(O$19&lt;&gt;"",O$24&gt;0,O41&lt;&gt;"",ISERROR(MATCH(O41,isolatiepakketten_gebouwschil_namen,0))=TRUE)</formula>
    </cfRule>
  </conditionalFormatting>
  <conditionalFormatting sqref="O42:W42 AA42:AI42 AM42:AU42 AY42:BG42">
    <cfRule type="expression" dxfId="919" priority="149">
      <formula>OR(AND(O$19&lt;&gt;"",O$24&gt;0,O42=""),ISERROR(MATCH(O42,ventilatiesystemen_namen,0))=TRUE)</formula>
    </cfRule>
  </conditionalFormatting>
  <conditionalFormatting sqref="O43:W43 AA43:AI43 AM43:AU43 AY43:BG43">
    <cfRule type="expression" dxfId="918" priority="150">
      <formula>OR(AND(O$19&lt;&gt;"",O$24&gt;0,O43=""),ISERROR(MATCH(O43,ventilatoren_typen,0))=TRUE)</formula>
    </cfRule>
  </conditionalFormatting>
  <conditionalFormatting sqref="O44:W44 AA44:AI44 AM44:AU44 AY44:BG44">
    <cfRule type="expression" dxfId="916" priority="152">
      <formula>OR(O44&lt;0.5,O44&gt;2,AND(O$19&lt;&gt;"",O44=""))</formula>
    </cfRule>
  </conditionalFormatting>
  <conditionalFormatting sqref="O45:W46 AA45:AI46 AM45:AU46 AY45:BG46">
    <cfRule type="expression" dxfId="915" priority="154">
      <formula>AND(O$19&lt;&gt;"",O$28&gt;0,O45="")</formula>
    </cfRule>
    <cfRule type="expression" dxfId="914" priority="68">
      <formula>OR(O$19="",O$28=0)</formula>
    </cfRule>
  </conditionalFormatting>
  <conditionalFormatting sqref="O46:W46 AA46:AI46 AM46:AU46 AY46:BG46">
    <cfRule type="expression" dxfId="913" priority="156">
      <formula>AND(O46&lt;&gt;"",ISERROR(MATCH(O46,verlichtingsregeling_namen,0))=TRUE)</formula>
    </cfRule>
  </conditionalFormatting>
  <conditionalFormatting sqref="O47:W47 AA47:AI47 AM47:AU47 AY47:BG47">
    <cfRule type="expression" dxfId="912" priority="80">
      <formula>OR(O$19="",O$26+O$27=0,AND(O$21&lt;&gt;woning,O$21&lt;&gt;woongebouw))</formula>
    </cfRule>
    <cfRule type="expression" dxfId="911" priority="157">
      <formula>OR(AND(O$19&lt;&gt;"",O$24&gt;0,O47=""),AND(O47&lt;&gt;elektriciteit,O47&lt;&gt;aardgas))</formula>
    </cfRule>
  </conditionalFormatting>
  <conditionalFormatting sqref="O48:W48 AA48:AI48 AM48:AU48 AY48:BG48">
    <cfRule type="expression" dxfId="910" priority="158">
      <formula>OR(O48&lt;0,O48&gt;1,AND(O$19&lt;&gt;"",O48=""))</formula>
    </cfRule>
  </conditionalFormatting>
  <conditionalFormatting sqref="O49:W49 AA49:AI49 AM49:AU49 AY49:BG49">
    <cfRule type="expression" dxfId="909" priority="16">
      <formula>AND(O49&lt;&gt;"",ISERROR(MATCH(O49,specifieke_interne_warmtecapaciteit,0))=TRUE)</formula>
    </cfRule>
  </conditionalFormatting>
  <conditionalFormatting sqref="O51:W51 AA51:AI51 AM51:AU51 AY51:BG51">
    <cfRule type="expression" dxfId="908" priority="79">
      <formula>$O19=""</formula>
    </cfRule>
    <cfRule type="cellIs" dxfId="907" priority="161" operator="equal">
      <formula>"nee"</formula>
    </cfRule>
  </conditionalFormatting>
  <conditionalFormatting sqref="O54:W54 AA54:AI54 AM54:AU54 AY54:BG54">
    <cfRule type="cellIs" dxfId="906" priority="27" operator="equal">
      <formula>0</formula>
    </cfRule>
  </conditionalFormatting>
  <conditionalFormatting sqref="O55:W55 AA55:AI55 AM55:AU55 AY55:BG55">
    <cfRule type="expression" dxfId="905" priority="170">
      <formula>AND(O$24&gt;0,O$55&gt;0,O$55&lt;&gt;O$56,$G$6=TRUE)</formula>
    </cfRule>
    <cfRule type="expression" dxfId="904" priority="169">
      <formula>AND(O$24&gt;0,O55="",$G$6=TRUE)</formula>
    </cfRule>
    <cfRule type="expression" dxfId="903" priority="168">
      <formula>O$24=0</formula>
    </cfRule>
  </conditionalFormatting>
  <conditionalFormatting sqref="O61:W69">
    <cfRule type="expression" dxfId="902" priority="8">
      <formula>OR(O$19="",O$24=0)</formula>
    </cfRule>
  </conditionalFormatting>
  <conditionalFormatting sqref="O73:W73">
    <cfRule type="expression" dxfId="901" priority="61">
      <formula>AND(O$19&lt;&gt;"",O73="")</formula>
    </cfRule>
  </conditionalFormatting>
  <conditionalFormatting sqref="O78:W78 AA78:AI78 AM78:AU78 AY78:BG78">
    <cfRule type="expression" dxfId="900" priority="131">
      <formula>O$29=0</formula>
    </cfRule>
  </conditionalFormatting>
  <conditionalFormatting sqref="O230:W230 AM230:AU230 AY230:BG230 AM237:AU239 AY237:BG239 AM254:AU256 AM258:AU258">
    <cfRule type="expression" dxfId="899" priority="125">
      <formula>O$24=0</formula>
    </cfRule>
  </conditionalFormatting>
  <conditionalFormatting sqref="O289:W289">
    <cfRule type="expression" dxfId="898" priority="4">
      <formula>OR(O$19="",O$24=0)</formula>
    </cfRule>
  </conditionalFormatting>
  <conditionalFormatting sqref="O290:W291">
    <cfRule type="expression" dxfId="897" priority="142">
      <formula>O290&gt;O285</formula>
    </cfRule>
  </conditionalFormatting>
  <conditionalFormatting sqref="O292:W292 AA292:AI292 AM292:AU292 AY292:BG292">
    <cfRule type="expression" dxfId="896" priority="19">
      <formula>$O$292&lt;$O$287</formula>
    </cfRule>
  </conditionalFormatting>
  <conditionalFormatting sqref="O295:W295 AA295:AI295 AM295:AU295 AY295:BG295">
    <cfRule type="expression" dxfId="895" priority="173">
      <formula>O$24=0</formula>
    </cfRule>
  </conditionalFormatting>
  <conditionalFormatting sqref="O295:W295 AY295:BG295 AA295:AI295 AM295:AU295">
    <cfRule type="expression" dxfId="894" priority="172">
      <formula>#REF!&lt;O$291</formula>
    </cfRule>
  </conditionalFormatting>
  <conditionalFormatting sqref="O297:W298 O300:W301 O290:W292 O232:W232 O244:W252 O254:W256 O258:W258 O260:W260 O265:W265 O267:W272 O274:W274 O276:W276 O278:W278 O285:W287 O294:W295 O306:W314 O316:W318 O320:W320 O322:W322">
    <cfRule type="expression" dxfId="893" priority="82">
      <formula>O$24=0</formula>
    </cfRule>
  </conditionalFormatting>
  <conditionalFormatting sqref="O298:W298">
    <cfRule type="expression" dxfId="892" priority="43">
      <formula>AND(O298&lt;&gt;"nvt",O298&gt;O297)</formula>
    </cfRule>
    <cfRule type="expression" dxfId="891" priority="44">
      <formula>AND(O298&lt;&gt;"nvt",O298&lt;=O297)</formula>
    </cfRule>
  </conditionalFormatting>
  <conditionalFormatting sqref="O301:W301">
    <cfRule type="expression" dxfId="890" priority="41">
      <formula>AND(O301&lt;&gt;"nvt",O301&gt;O300)</formula>
    </cfRule>
    <cfRule type="expression" dxfId="889" priority="42">
      <formula>AND(O301&lt;&gt;"nvt",O301&lt;=O300)</formula>
    </cfRule>
  </conditionalFormatting>
  <conditionalFormatting sqref="O278:X278 M278 AJ278 AV278 BH278">
    <cfRule type="expression" dxfId="888" priority="146">
      <formula>#REF!&gt;M278</formula>
    </cfRule>
  </conditionalFormatting>
  <conditionalFormatting sqref="O40:BG41">
    <cfRule type="expression" dxfId="887" priority="20">
      <formula>OR(O$19="",O$24=0)</formula>
    </cfRule>
  </conditionalFormatting>
  <conditionalFormatting sqref="P83 AB83 AN83 AZ83">
    <cfRule type="expression" dxfId="886" priority="121">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885" priority="50">
      <formula>P$83="geen"</formula>
    </cfRule>
  </conditionalFormatting>
  <conditionalFormatting sqref="Q83 AC83 AO83 BA83">
    <cfRule type="expression" dxfId="884" priority="122">
      <formula>OR(AND(Q83="",Q$24&gt;0),ISERROR(MATCH(Q83,toestellen_TAP_invoer,0)))</formula>
    </cfRule>
  </conditionalFormatting>
  <conditionalFormatting sqref="Q90 AC90 AO90 BA90">
    <cfRule type="expression" dxfId="883" priority="166">
      <formula>OR(AND(Q$24&gt;0,Q$78&gt;0,Q90=""),AND(Q90&lt;&gt;"ja",Q90&lt;&gt;"nee",Q90&lt;&gt;""))</formula>
    </cfRule>
  </conditionalFormatting>
  <conditionalFormatting sqref="T158:T159">
    <cfRule type="expression" dxfId="882" priority="75">
      <formula>T$29=0</formula>
    </cfRule>
  </conditionalFormatting>
  <conditionalFormatting sqref="T161:T162">
    <cfRule type="expression" dxfId="881" priority="74">
      <formula>T$29=0</formula>
    </cfRule>
  </conditionalFormatting>
  <conditionalFormatting sqref="T164">
    <cfRule type="expression" dxfId="880" priority="73">
      <formula>T$29=0</formula>
    </cfRule>
  </conditionalFormatting>
  <conditionalFormatting sqref="T193">
    <cfRule type="expression" dxfId="879" priority="76">
      <formula>T$29=0</formula>
    </cfRule>
  </conditionalFormatting>
  <conditionalFormatting sqref="T207">
    <cfRule type="expression" dxfId="878" priority="104">
      <formula>T$29=0</formula>
    </cfRule>
  </conditionalFormatting>
  <conditionalFormatting sqref="T224:T225">
    <cfRule type="expression" dxfId="877" priority="101">
      <formula>T$29=0</formula>
    </cfRule>
  </conditionalFormatting>
  <conditionalFormatting sqref="T189:W191">
    <cfRule type="expression" dxfId="876" priority="77">
      <formula>T$29=0</formula>
    </cfRule>
  </conditionalFormatting>
  <conditionalFormatting sqref="U157:W159">
    <cfRule type="expression" dxfId="875" priority="129">
      <formula>U$29=0</formula>
    </cfRule>
  </conditionalFormatting>
  <conditionalFormatting sqref="AA190">
    <cfRule type="expression" dxfId="874" priority="110">
      <formula>AA$29=0</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873" priority="59">
      <formula>OR(O$78=0,O$104="geen")</formula>
    </cfRule>
  </conditionalFormatting>
  <conditionalFormatting sqref="AA212:AC212">
    <cfRule type="expression" dxfId="872" priority="49">
      <formula>AA$29=0</formula>
    </cfRule>
  </conditionalFormatting>
  <conditionalFormatting sqref="AA189:AE189">
    <cfRule type="expression" dxfId="871" priority="112">
      <formula>AA$29=0</formula>
    </cfRule>
  </conditionalFormatting>
  <conditionalFormatting sqref="AA219:AE219">
    <cfRule type="expression" dxfId="870" priority="107">
      <formula>AA$29=0</formula>
    </cfRule>
  </conditionalFormatting>
  <conditionalFormatting sqref="AA20:AI21">
    <cfRule type="expression" dxfId="869" priority="115">
      <formula>AA$19=""</formula>
    </cfRule>
  </conditionalFormatting>
  <conditionalFormatting sqref="AA22:AI22">
    <cfRule type="expression" dxfId="868" priority="65">
      <formula>OR(AA$19="",AND(AA$21&lt;&gt;woning,AA$21&lt;&gt;woongebouw))</formula>
    </cfRule>
  </conditionalFormatting>
  <conditionalFormatting sqref="AA25:AI25">
    <cfRule type="expression" dxfId="867" priority="160">
      <formula>AND(AA$19&lt;&gt;"",AA25="")</formula>
    </cfRule>
    <cfRule type="expression" dxfId="866" priority="159">
      <formula>AND(AA$19="",AA25&gt;0)</formula>
    </cfRule>
  </conditionalFormatting>
  <conditionalFormatting sqref="AA26:AI29 AM26:AU29 AY26:BG29 AA31:AI35 AM31:AU35 AY31:BG35">
    <cfRule type="expression" dxfId="865" priority="145">
      <formula>OR(AA$19="",AA$24=0)</formula>
    </cfRule>
  </conditionalFormatting>
  <conditionalFormatting sqref="AA42:AI49 AM42:AU49 AY42:BG49 O49:W49">
    <cfRule type="expression" dxfId="864" priority="15">
      <formula>OR(O$19="",O$24=0)</formula>
    </cfRule>
  </conditionalFormatting>
  <conditionalFormatting sqref="AA61:AI69 AM61:AU69 AY61:BG69">
    <cfRule type="expression" dxfId="863" priority="9">
      <formula>OR(AA$19="",AA$24=0)</formula>
    </cfRule>
  </conditionalFormatting>
  <conditionalFormatting sqref="AA71:AI71 AM71:AU71 AY71:BG71 O71:W71">
    <cfRule type="expression" dxfId="862" priority="135">
      <formula>AND(O$19&lt;&gt;"",O71="")</formula>
    </cfRule>
  </conditionalFormatting>
  <conditionalFormatting sqref="AA71:AI71 AM71:AU71 AY71:BG71">
    <cfRule type="expression" dxfId="861" priority="134">
      <formula>OR(AA$19="",AA$24=0)</formula>
    </cfRule>
  </conditionalFormatting>
  <conditionalFormatting sqref="AA73:AI73">
    <cfRule type="expression" dxfId="860" priority="56">
      <formula>AND(AA$19&lt;&gt;"",AA73="")</formula>
    </cfRule>
    <cfRule type="expression" dxfId="859" priority="55">
      <formula>OR(AA$19="",AA$24=0)</formula>
    </cfRule>
  </conditionalFormatting>
  <conditionalFormatting sqref="AA289:AI289 AM289:AU289 AY289:BG289">
    <cfRule type="expression" dxfId="858" priority="5">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857" priority="26">
      <formula>AA$24=0</formula>
    </cfRule>
  </conditionalFormatting>
  <conditionalFormatting sqref="AA296:AI296">
    <cfRule type="expression" dxfId="856" priority="46">
      <formula>AA296&lt;AA291</formula>
    </cfRule>
  </conditionalFormatting>
  <conditionalFormatting sqref="AA298:AI298">
    <cfRule type="expression" dxfId="855" priority="39">
      <formula>AND(AA298&lt;&gt;"nvt",AA298&gt;AA297)</formula>
    </cfRule>
    <cfRule type="expression" dxfId="854" priority="40">
      <formula>AND(AA298&lt;&gt;"nvt",AA298&lt;=AA297)</formula>
    </cfRule>
  </conditionalFormatting>
  <conditionalFormatting sqref="AA301:AI301">
    <cfRule type="expression" dxfId="853" priority="38">
      <formula>AND(AA301&lt;&gt;"nvt",AA301&lt;=AA300)</formula>
    </cfRule>
    <cfRule type="expression" dxfId="852" priority="37">
      <formula>AND(AA301&lt;&gt;"nvt",AA301&gt;AA300)</formula>
    </cfRule>
  </conditionalFormatting>
  <conditionalFormatting sqref="AA306:AI314 AA316:AI318 AA320:AI320 AA322:AI322">
    <cfRule type="expression" dxfId="851" priority="84">
      <formula>AA$24=0</formula>
    </cfRule>
  </conditionalFormatting>
  <conditionalFormatting sqref="AA290:AU291">
    <cfRule type="expression" dxfId="850" priority="140">
      <formula>AA290&gt;AA285</formula>
    </cfRule>
  </conditionalFormatting>
  <conditionalFormatting sqref="AA299:AX299">
    <cfRule type="expression" dxfId="849" priority="32">
      <formula>AA299&lt;AA294</formula>
    </cfRule>
  </conditionalFormatting>
  <conditionalFormatting sqref="AF189:AF191">
    <cfRule type="expression" dxfId="848" priority="98">
      <formula>AF$29=0</formula>
    </cfRule>
  </conditionalFormatting>
  <conditionalFormatting sqref="AF224:AF225">
    <cfRule type="expression" dxfId="847" priority="99">
      <formula>AF$29=0</formula>
    </cfRule>
  </conditionalFormatting>
  <conditionalFormatting sqref="AF212:AI219 AK212:AK219 AM212:AU219 AW212:AW219 AY212:BD219">
    <cfRule type="expression" dxfId="846" priority="86">
      <formula>AF$29=0</formula>
    </cfRule>
  </conditionalFormatting>
  <conditionalFormatting sqref="AM190">
    <cfRule type="expression" dxfId="845" priority="109">
      <formula>AM$29=0</formula>
    </cfRule>
  </conditionalFormatting>
  <conditionalFormatting sqref="AM212:AO212">
    <cfRule type="expression" dxfId="844" priority="48">
      <formula>AM$29=0</formula>
    </cfRule>
  </conditionalFormatting>
  <conditionalFormatting sqref="AM22:AU22">
    <cfRule type="expression" dxfId="843" priority="64">
      <formula>OR(AM$19="",AND(AM$21&lt;&gt;woning,AM$21&lt;&gt;woongebouw))</formula>
    </cfRule>
  </conditionalFormatting>
  <conditionalFormatting sqref="AM73:AU73">
    <cfRule type="expression" dxfId="842" priority="54">
      <formula>AND(AM$19&lt;&gt;"",AM73="")</formula>
    </cfRule>
    <cfRule type="expression" dxfId="841" priority="53">
      <formula>OR(AM$19="",AM$24=0)</formula>
    </cfRule>
  </conditionalFormatting>
  <conditionalFormatting sqref="AM232:AU232">
    <cfRule type="expression" dxfId="840" priority="93">
      <formula>AM$24=0</formula>
    </cfRule>
  </conditionalFormatting>
  <conditionalFormatting sqref="AM260:AU260">
    <cfRule type="expression" dxfId="839" priority="94">
      <formula>AM$24=0</formula>
    </cfRule>
  </conditionalFormatting>
  <conditionalFormatting sqref="AM294:AU294">
    <cfRule type="expression" dxfId="838" priority="25">
      <formula>AM$24=0</formula>
    </cfRule>
  </conditionalFormatting>
  <conditionalFormatting sqref="AM296:AU296">
    <cfRule type="expression" dxfId="837" priority="45">
      <formula>AM296&lt;AM291</formula>
    </cfRule>
  </conditionalFormatting>
  <conditionalFormatting sqref="AM298:AU298">
    <cfRule type="expression" dxfId="836" priority="35">
      <formula>AND(AM298&lt;&gt;"nvt",AM298&gt;AM297)</formula>
    </cfRule>
    <cfRule type="expression" dxfId="835" priority="36">
      <formula>AND(AM298&lt;&gt;"nvt",AM298&lt;=AM297)</formula>
    </cfRule>
  </conditionalFormatting>
  <conditionalFormatting sqref="AM301:AU301">
    <cfRule type="expression" dxfId="834" priority="33">
      <formula>AND(AM301&lt;&gt;"nvt",AM301&gt;AM300)</formula>
    </cfRule>
    <cfRule type="expression" dxfId="833" priority="34">
      <formula>AND(AM301&lt;&gt;"nvt",AM301&lt;=AM300)</formula>
    </cfRule>
  </conditionalFormatting>
  <conditionalFormatting sqref="AM306:AU314 AM316:AU318 AM320:AU320 AM322:AU322">
    <cfRule type="expression" dxfId="832" priority="83">
      <formula>AM$24=0</formula>
    </cfRule>
  </conditionalFormatting>
  <conditionalFormatting sqref="AR189:AR191">
    <cfRule type="expression" dxfId="831" priority="95">
      <formula>AR$29=0</formula>
    </cfRule>
  </conditionalFormatting>
  <conditionalFormatting sqref="AR224:AR225">
    <cfRule type="expression" dxfId="830" priority="96">
      <formula>AR$29=0</formula>
    </cfRule>
  </conditionalFormatting>
  <conditionalFormatting sqref="AR293">
    <cfRule type="expression" dxfId="829" priority="97">
      <formula>AR293&lt;AR288</formula>
    </cfRule>
  </conditionalFormatting>
  <conditionalFormatting sqref="AY190">
    <cfRule type="expression" dxfId="828" priority="108">
      <formula>AY$29=0</formula>
    </cfRule>
  </conditionalFormatting>
  <conditionalFormatting sqref="AY109:BA109">
    <cfRule type="expression" dxfId="827" priority="155">
      <formula>AND(AY$78&gt;0,AY109="")</formula>
    </cfRule>
  </conditionalFormatting>
  <conditionalFormatting sqref="AY212:BA212">
    <cfRule type="expression" dxfId="826" priority="47">
      <formula>AY$29=0</formula>
    </cfRule>
  </conditionalFormatting>
  <conditionalFormatting sqref="AY189:BC189">
    <cfRule type="expression" dxfId="825" priority="111">
      <formula>AY$29=0</formula>
    </cfRule>
  </conditionalFormatting>
  <conditionalFormatting sqref="AY22:BG22">
    <cfRule type="expression" dxfId="824" priority="63">
      <formula>OR(AY$19="",AND(AY$21&lt;&gt;woning,AY$21&lt;&gt;woongebouw))</formula>
    </cfRule>
  </conditionalFormatting>
  <conditionalFormatting sqref="AY73:BG73">
    <cfRule type="expression" dxfId="823" priority="51">
      <formula>OR(AY$19="",AY$24=0)</formula>
    </cfRule>
    <cfRule type="expression" dxfId="822" priority="52">
      <formula>AND(AY$19&lt;&gt;"",AY73="")</formula>
    </cfRule>
  </conditionalFormatting>
  <conditionalFormatting sqref="AY232:BG232">
    <cfRule type="expression" dxfId="821" priority="85">
      <formula>AY$24=0</formula>
    </cfRule>
  </conditionalFormatting>
  <conditionalFormatting sqref="AY290:BG291">
    <cfRule type="expression" dxfId="820" priority="139">
      <formula>AY290&gt;AY285</formula>
    </cfRule>
  </conditionalFormatting>
  <conditionalFormatting sqref="AY294:BG295">
    <cfRule type="expression" dxfId="819" priority="24">
      <formula>AY$24=0</formula>
    </cfRule>
  </conditionalFormatting>
  <conditionalFormatting sqref="AY297:BG298 AY300:BG301 AY290:BG292 AY254:BG256 AY258:BG258 AY260:BG260 AY265:BG265 AY267:BG272 AY274:BG274 AY276:BG276 AY278:BG278 AY283:BG283 AY285:BG287 AY306:BG314">
    <cfRule type="expression" dxfId="818" priority="81">
      <formula>AY$24=0</formula>
    </cfRule>
  </conditionalFormatting>
  <conditionalFormatting sqref="AY298:BG298">
    <cfRule type="expression" dxfId="817" priority="31">
      <formula>AND(AY298&lt;&gt;"nvt",AY298&lt;=AY297)</formula>
    </cfRule>
    <cfRule type="expression" dxfId="816" priority="30">
      <formula>AND(AY298&lt;&gt;"nvt",AY298&gt;AY297)</formula>
    </cfRule>
  </conditionalFormatting>
  <conditionalFormatting sqref="AY301:BG301">
    <cfRule type="expression" dxfId="815" priority="28">
      <formula>AND(AY301&lt;&gt;"nvt",AY301&gt;AY300)</formula>
    </cfRule>
    <cfRule type="expression" dxfId="814" priority="29">
      <formula>AND(AY301&lt;&gt;"nvt",AY301&lt;=AY300)</formula>
    </cfRule>
  </conditionalFormatting>
  <conditionalFormatting sqref="AY316:BG318 AY320:BG320">
    <cfRule type="expression" dxfId="813" priority="88">
      <formula>AY$24=0</formula>
    </cfRule>
  </conditionalFormatting>
  <conditionalFormatting sqref="AY322:BG322">
    <cfRule type="expression" dxfId="812" priority="87">
      <formula>AY$24=0</formula>
    </cfRule>
  </conditionalFormatting>
  <conditionalFormatting sqref="BD164:BD165">
    <cfRule type="expression" dxfId="811" priority="78">
      <formula>BD$29=0</formula>
    </cfRule>
  </conditionalFormatting>
  <conditionalFormatting sqref="BD189:BD191">
    <cfRule type="expression" dxfId="810" priority="89">
      <formula>BD$29=0</formula>
    </cfRule>
  </conditionalFormatting>
  <conditionalFormatting sqref="BD224:BD225">
    <cfRule type="expression" dxfId="809" priority="90">
      <formula>BD$29=0</formula>
    </cfRule>
  </conditionalFormatting>
  <conditionalFormatting sqref="BD292">
    <cfRule type="expression" dxfId="808" priority="91">
      <formula>BD292&lt;BD287</formula>
    </cfRule>
  </conditionalFormatting>
  <conditionalFormatting sqref="BH189:BH191 BH193:BH195">
    <cfRule type="expression" dxfId="807" priority="143">
      <formula>AND(BH189&lt;&gt;"-",BH189&gt;BH190)</formula>
    </cfRule>
  </conditionalFormatting>
  <conditionalFormatting sqref="BH230">
    <cfRule type="expression" dxfId="806" priority="153">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F0878F7E-0E7B-4454-9DF3-DD9300D8F72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7E054BB6-D664-441A-99EA-212F4125A295}"/>
    <dataValidation allowBlank="1" showInputMessage="1" showErrorMessage="1" promptTitle="Energiepakket / energiebehoefte" sqref="O40:BG40" xr:uid="{DE744F22-BB05-43DB-85F9-0704648C8634}"/>
    <dataValidation type="list" allowBlank="1" showInputMessage="1" showErrorMessage="1" promptTitle="Energiepakket / energiebehoefte" sqref="AY41:BG41 AA41:AI41 AM41:AU41 O41:W41" xr:uid="{FFEFD5FB-382E-49D9-A500-484F14C90250}">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BEDC54E7-5829-4BB7-9758-E707B5F106D3}"/>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1FDFF879-A546-45FC-8BF0-336E44E2F820}"/>
    <dataValidation allowBlank="1" showInputMessage="1" showErrorMessage="1" promptTitle="Standaardwaarde" prompt="Deze standaard geeft aan wanneer een woning goed genoeg is geïsoleerd om aardgasvrij te worden. Hij is ontstaan uit het Klimaatakkoord._x000a_" sqref="D296" xr:uid="{332A1EA8-7A3F-468D-AF99-62F134AE2536}"/>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466BC344-26E3-4A2E-8E5D-0000B4C25427}"/>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2A2B7547-8D99-444F-BDDD-77E6EFA3C3F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BBC5CE6D-5BDE-47E7-AEC4-351D08314F89}"/>
    <dataValidation type="textLength" allowBlank="1" showInputMessage="1" showErrorMessage="1" errorTitle="Maximaal 65 karakters" error="Maximaal 65 karakters." sqref="F4" xr:uid="{10A1A6E0-3E3F-4D3A-8E63-3A0B754E7858}">
      <formula1>0</formula1>
      <formula2>65</formula2>
    </dataValidation>
    <dataValidation type="textLength" errorStyle="warning" allowBlank="1" showInputMessage="1" showErrorMessage="1" errorTitle="Maximaal 30 karakters" error="Maximaal 30 karakters" sqref="H3" xr:uid="{821A9264-0F47-4499-9D35-4389AFD31FC3}">
      <formula1>0</formula1>
      <formula2>40</formula2>
    </dataValidation>
    <dataValidation type="textLength" errorStyle="warning" allowBlank="1" showInputMessage="1" showErrorMessage="1" errorTitle="Maximaal 30 karakters" error="Maximaal 30 karakters" sqref="E3 F4" xr:uid="{882C32B0-A738-49DA-BAA5-E6458AF4A7EE}">
      <formula1>0</formula1>
      <formula2>30</formula2>
    </dataValidation>
    <dataValidation type="decimal" allowBlank="1" showInputMessage="1" showErrorMessage="1" errorTitle="Bereik 0%-100%" error="De ingevoerde waarde valt buiten het bereik." sqref="O44:W44 AA44:AI44 AY44:BG44 AM44:AU44" xr:uid="{8D9B08DA-1D99-45A7-A294-EF155A6323EB}">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7DEDC39-5B88-4B59-8880-DEE08DF12AC8}"/>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9A12BED0-F0C8-4324-9F3B-09A4308BCFA0}"/>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F1A41702-F868-44F5-9909-0E8FE3DD70D9}"/>
    <dataValidation allowBlank="1" showInputMessage="1" showErrorMessage="1" promptTitle="Aandeel hernieuwbare energie" prompt="Aandeel hernieuwbare energie._x000a__x000a_RERPrenTOT = EPrenTot / (EPTot + EPrenTot) * 100%_x000a__x000a_Cf. NTA8800 par. 5.3.1.3, formule 5.3" sqref="D292" xr:uid="{DEA3B13D-6BC4-45C1-8641-980B37027981}"/>
    <dataValidation type="list" allowBlank="1" showInputMessage="1" showErrorMessage="1" sqref="O47:W47 AA47:AI47 AY47:BG47 AM47:AU47" xr:uid="{5D3F4634-A170-4E49-983D-05DF53292CDF}">
      <formula1>"elektriciteit,aardgas"</formula1>
    </dataValidation>
    <dataValidation allowBlank="1" showInputMessage="1" showErrorMessage="1" promptTitle="Kookgas" prompt="Gasverbruik voor kookgas." sqref="D68" xr:uid="{2FAE8DCC-5FEC-441B-AA46-7FD3D282541D}"/>
    <dataValidation allowBlank="1" showInputMessage="1" showErrorMessage="1" promptTitle="Hernieuwbare 'primaire' energie" prompt="De totale hernieuwbare 'primaire' energie voor GEBOUWGEBONDEN energiegebruik is berekend cf. NTA8800._x000a__x000a_NTA8800 par. 5.6." sqref="D263" xr:uid="{3DA6E0EC-4F5D-48C4-926B-C0C0CE2B6CCD}"/>
    <dataValidation allowBlank="1" showInputMessage="1" showErrorMessage="1" promptTitle="Energieprestatie indicatoren" prompt="De energieprestatie indicatoren gaan alleen over GEBOUWGEBONDEN energiegebruik en zijn bepaald cf. paragraaf 5.3.1 van NTA 8800._x000a__x000a_" sqref="D281" xr:uid="{19FCAF04-62CB-4945-BDC7-DD8D54720353}"/>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24A6A016-ABA5-481C-9697-D3DC7D37ED48}"/>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2B402C51-2974-40D1-8E5B-0F3759A34446}"/>
    <dataValidation allowBlank="1" showInputMessage="1" showErrorMessage="1" promptTitle="Woningen|utiliteitsgebouwen" prompt="De tabel geeft een terugkoppeling van de ingevoerde woningen en utileitsgebouwen in" sqref="D17" xr:uid="{DA87D69D-2C09-483B-BCD9-56280F7D1B16}"/>
    <dataValidation allowBlank="1" showInputMessage="1" showErrorMessage="1" promptTitle="Resultaten" prompt="De tabel geeft een samenvatting van het primair energiegebruik, de CO2 emissie en het gasverbruik van de locatie(s) als gevolg van energetische keuzes in deze variant." sqref="D10" xr:uid="{36C98F25-F368-47B7-9566-26FE83B87D4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48665A1A-E2FE-4C7B-BEC6-858DE6FB0B3E}"/>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4CB5F88E-639D-4484-857A-9E87F6AC02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944313F2-106E-415A-B7B7-E52689E7F5F3}"/>
    <dataValidation allowBlank="1" showInputMessage="1" showErrorMessage="1" promptTitle="Keuze preferent toestel" prompt="De keuze van het preferente toestel bepaalt welke forfaitaire waarden voor warmtedistributie, energiedragers en rendementen uit de bibliotheek worden opgehaald." sqref="D82" xr:uid="{55A9E2E1-E4DB-4D9B-B87A-AC3FCF603BA6}"/>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011A6C89-B794-49C0-AE01-D9CA503886AB}"/>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96E5A7A4-8D8B-422C-8478-9D6C7A43E093}"/>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170E80F-E9B9-40D8-918E-7BEAEA8F3D5B}"/>
    <dataValidation type="decimal" allowBlank="1" showInputMessage="1" showErrorMessage="1" errorTitle="Bereik 0,0-0,5" error="De ingevoerde waarde valt buiten het bereik." sqref="O129:Q129 AA129:AC129 AY129:BA129 AM129:AO129" xr:uid="{4E466CCA-5442-46E6-8919-3B2A676D1F25}">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E6F1CF17-635F-4DFF-BEEC-D8C9546D6C38}">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752F07B1-5C2B-42EC-BAFE-05483E3210D8}">
      <formula1>0</formula1>
      <formula2>2</formula2>
    </dataValidation>
    <dataValidation type="decimal" allowBlank="1" showInputMessage="1" showErrorMessage="1" errorTitle="Bereik 0,10-1,00" error="De ingevoerde waarde valt buiten het bereik." sqref="O87 Q87 AA87 AC87 AY87 BA87 AM87 AO87" xr:uid="{7378D201-5E46-4D9A-A2E6-33566B6F0582}">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C3A8351C-CAEE-455F-98AC-BA46F31FFAF2}">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EC394590-E940-4BDE-A80F-1DECF2E51129}">
      <formula1>0</formula1>
    </dataValidation>
    <dataValidation type="decimal" allowBlank="1" showInputMessage="1" showErrorMessage="1" errorTitle="Bereik 0-30" error="De ingevoerde waarde valt buiten het bereik." sqref="O45:W45 AA45:AI45 AY45:BG45 AM45:AU45" xr:uid="{E1CA7842-6A33-46D6-8018-BCDDF0B763B4}">
      <formula1>0</formula1>
      <formula2>30</formula2>
    </dataValidation>
    <dataValidation type="decimal" operator="greaterThanOrEqual" allowBlank="1" showInputMessage="1" showErrorMessage="1" errorTitle="Bereik ≥0" error="De ingevulde waarde valt buiten het bereik." sqref="O25:W25 AA25:AI25 AY25:BG25 AM25:AU25" xr:uid="{8D95E78F-0A23-467F-9828-128C773FB1E5}">
      <formula1>0</formula1>
    </dataValidation>
    <dataValidation type="decimal" allowBlank="1" showInputMessage="1" showErrorMessage="1" errorTitle="Bereik 0%-100%" error="De ingevoerde waarde valt buiten het bereik." sqref="AA48:AI48 AY48:BG48 AM48:AU48 O48:W48" xr:uid="{5B05819E-3A76-469F-BD2D-651AA7F2D5E5}">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52314730-BB4C-4E6B-B586-0EE0195D1D0A}">
      <formula1>0.1</formula1>
      <formula2>15</formula2>
    </dataValidation>
    <dataValidation type="decimal" allowBlank="1" showInputMessage="1" showErrorMessage="1" errorTitle="Bereik 0%-100%" error="De ingevoerde waarde is buiten het bereik." sqref="AY109:BA109 AA109:AC109 O109:Q109 AM109:AO109" xr:uid="{B27EC385-8CF2-4813-A5BA-0180E14C6AAE}">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EBD702F1-9B5C-4494-975E-BA456893EF64}"/>
    <dataValidation allowBlank="1" showInputMessage="1" showErrorMessage="1" promptTitle="primaire energie indicator" prompt="Het totale gebouwgebonden primaire (vermeden) energiegebruik (voor woningen ZONDER verlichting) in kWh/m2._x000a__x000a_NTA8800, par. 5.3.1.2_x000a__x000a_" sqref="D291" xr:uid="{C6CD744A-517A-4743-845C-EE7F370D993F}"/>
    <dataValidation allowBlank="1" showInputMessage="1" showErrorMessage="1" promptTitle="energiebehoefte-indicator" prompt="Warmtebehoefte ruimteverwarming + koudebehoefte voor koeling, berekend met ventilatiesysteem C1, in kWh/m2._x000a__x000a_NTA8800, par. 5.3.1.1_x000a__x000a_" sqref="D290" xr:uid="{60728108-163C-4468-8DBB-3181BEEF24C4}"/>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8BFA2C8E-67DD-4616-B3F2-4726FF8953A4}"/>
    <dataValidation allowBlank="1" showInputMessage="1" showErrorMessage="1" promptTitle="BENG eisen 2021" prompt="De BENG eisen zijn overgenomen van:_x000a__x000a_https://zoek.officielebekendmakingen.nl/stb-2019-501.html_x000a__x000a_" sqref="D284" xr:uid="{D290397D-B0F9-4C84-B89C-D532A7F5C26A}"/>
    <dataValidation allowBlank="1" showInputMessage="1" showErrorMessage="1" promptTitle="Energiegebruik per energiepost" prompt="Per deellocatie is de energiebehoefte van alle woningen en gebouwen per energiepost gesommeerd." sqref="D78" xr:uid="{28296329-C933-4427-B889-A3BD9406822F}"/>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E538605D-6C00-4A10-889A-8D2C789D6B85}"/>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9F1EC0C8-3CE1-4280-A928-8EC8BC07BD93}"/>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D2FE34C9-CA29-4848-9E7B-BAE182A51E8D}"/>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4B9DDE3C-99DF-414B-B7D1-E2892E5E0DC3}"/>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CC6F19CC-6EA0-4B20-AFCD-8DEC0F09B5A4}"/>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C0432C21-99E6-47C2-9A8D-A5E28CAE29FD}"/>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E89AD518-FC01-4E5D-AB7C-59D2FB45E9EC}"/>
    <dataValidation allowBlank="1" showInputMessage="1" showErrorMessage="1" promptTitle="Aandeel hernieuwb. prim energie" prompt="Aandeel hernieuwbare energie._x000a__x000a_RERPrenTOT = EPrenTot / (EPTot + EPrenTot) * 100%_x000a__x000a_Cf. NTA8800 par. 5.3.1.3, formule 5.3" sqref="D278" xr:uid="{7A1A7C0E-818E-4A5E-92DC-90FDEFF9EA42}"/>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9EC94F21-618B-4421-94AC-DF4779DC6942}"/>
    <dataValidation allowBlank="1" showInputMessage="1" showErrorMessage="1" promptTitle="Totaal hernieuwbare prim energie" prompt="Hernieuwbare 'primaire' energie van de woning of het gebouw." sqref="D276" xr:uid="{9B6E431C-57B1-4B0A-A8F6-C6263C8A935A}"/>
    <dataValidation allowBlank="1" showInputMessage="1" showErrorMessage="1" promptTitle="Hernieuwbaar opgewekte elek." prompt="Op het eigen perceel opgewekte primaire hernieuwbare elektriciteit._x000a__x000a_EPren;el = Eel;PV/PVT/wind * fPren;renelect_x000a__x000a_Cf. NTA8800 par. 5.6.2.4." sqref="D274 D218" xr:uid="{05B0DBFA-429E-4966-9340-D5ACFDBABEA4}"/>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5FD70C1-5D17-498B-830E-64AAB756F69B}"/>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AD43EAEA-EE5F-47A0-9356-1117D7B64BCD}"/>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937487E0-B479-408F-AF2A-7ABA3DC9B696}"/>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B6C553C1-CC76-48F7-89F2-7B7A18F0473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7788ADB2-8BB6-4CF9-8A85-7D2FCE009E79}"/>
    <dataValidation allowBlank="1" showInputMessage="1" showErrorMessage="1" promptTitle="Vermogen verwarming &amp; koeling" prompt="Een indicatie van het verwarmings- en koelvermogen op basis van formules NTA8800. Zie 'bibliotheek' voor meer details." sqref="D99" xr:uid="{34B15D3A-5FC2-4732-8541-D7E37E360003}"/>
    <dataValidation type="list" allowBlank="1" showInputMessage="1" showErrorMessage="1" sqref="O46:W46 AA46:AI46 AY46:BG46 AM46:AU46" xr:uid="{1C5F5596-71D8-4467-98A0-F258D0E9AA82}">
      <formula1>verlichtingsregeling_namen</formula1>
    </dataValidation>
    <dataValidation type="list" allowBlank="1" showInputMessage="1" showErrorMessage="1" sqref="O43:W43 AA43:AI43 AY43:BG43 AM43:AU43" xr:uid="{49D946F5-0F3F-45C2-8EF1-C65FE1BBA9E3}">
      <formula1>ventilatoren_typen</formula1>
    </dataValidation>
    <dataValidation type="list" allowBlank="1" showInputMessage="1" showErrorMessage="1" sqref="O42:W42 AY42:BG42 AA42:AI42 AM42:AU42" xr:uid="{3529122B-49CC-4B97-845C-2B2FEDBD99E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A86FDD1A-AB50-4EA3-B33E-93363D0110F4}"/>
    <dataValidation type="list" allowBlank="1" showInputMessage="1" showErrorMessage="1" errorTitle="Toestel RV" error="Kies een beschikbaar toestel." sqref="Q90 AA90 AC90 AM90 AO90 AY90 BA90 O90" xr:uid="{34FADC4C-6AF4-4ABE-8C78-D2949D6C59FF}">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A457558-FAC5-49C5-A2AC-845F2FFC110F}"/>
    <dataValidation allowBlank="1" showInputMessage="1" showErrorMessage="1" promptTitle="Warmtebehoefte warmtapwater" prompt="De energiebehoefte voor warmtapwatergebruik wordt berekend op basis van rekenregels in NTA8800 (paragraaf 13.2)." sqref="D65" xr:uid="{A91A8D67-CC32-438E-A291-484C92CBCE87}"/>
    <dataValidation allowBlank="1" showInputMessage="1" showErrorMessage="1" promptTitle="Gegevensfilter en navigatie" prompt="&lt;-_x000a_Het gegevensfilter biedt de mogelijkheid om (delen van) tabellen in de UMGO te filteren._x000a__x000a_-&gt;_x000a_Navigatieknoppen naar andere tabbladen." sqref="D8" xr:uid="{50DDE31E-A4D7-45B3-B75F-49A9A94F7A6E}"/>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54CDDF1F-0ED3-4EE2-8628-8836F1CB2245}"/>
    <dataValidation type="list" allowBlank="1" showInputMessage="1" showErrorMessage="1" sqref="Q83 AC83 BA83 AO83" xr:uid="{B05649B0-4EAB-4745-9A3A-D79F848694A7}">
      <formula1>toestellen_TAP_invoer</formula1>
    </dataValidation>
    <dataValidation type="list" allowBlank="1" showInputMessage="1" showErrorMessage="1" sqref="P83 AB83 AZ83 AN83" xr:uid="{0F4A5A00-DE8B-4897-85F5-5F100DBF598F}">
      <formula1>toestellen_KOEL_invoer</formula1>
    </dataValidation>
    <dataValidation type="list" allowBlank="1" showInputMessage="1" showErrorMessage="1" sqref="AY83" xr:uid="{776F04FD-A43C-4E59-84FC-BDC0332DD4EA}">
      <formula1>toestellen_RV_invoer</formula1>
    </dataValidation>
    <dataValidation type="list" allowBlank="1" showInputMessage="1" showErrorMessage="1" sqref="F5" xr:uid="{E9252756-FFA0-4FDF-B745-05DEC79CF8C4}">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D38468A-F487-4357-89AC-776886276718}"/>
    <dataValidation allowBlank="1" showInputMessage="1" showErrorMessage="1" promptTitle="Primair energiegebruik" prompt="De Uniforme Maatlat rekent op onderwaarde. De EPG rekent echter op bovenwaarde. De berekende primaire energiebruiken in de EPG zijn daarom hoger." sqref="D162" xr:uid="{FA4354BC-58D1-4E82-B180-91FB788232DA}"/>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2CDEC370-9C5B-4CBC-9B91-8514557902B9}"/>
    <dataValidation type="whole" allowBlank="1" showInputMessage="1" showErrorMessage="1" sqref="AN142:AO142 AN145:AO146 AB145:AC146 P145:Q146 AB142:AC142 AZ145:BA145" xr:uid="{D6E4043A-2E32-42DF-A07A-461BC261C68B}">
      <formula1>0</formula1>
      <formula2>1</formula2>
    </dataValidation>
    <dataValidation type="decimal" allowBlank="1" showInputMessage="1" showErrorMessage="1" sqref="AM142 AM145:AM146 AA145:AA146 O145:O146 AA142 AY145" xr:uid="{78CBFD7E-BB0D-4B41-A603-F4D9140C34A3}">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A22B8508-DE52-4EFE-8EC1-5E6B26FB315C}"/>
    <dataValidation allowBlank="1" showInputMessage="1" showErrorMessage="1" promptTitle="Opwekkingsrendement" prompt="Binnen de Uniforme Maatlat wordt het opwekkingsrendement op bovenwaarde gebruikt." sqref="D111" xr:uid="{A4ECE36E-3480-4A8F-B2C2-636E54329207}"/>
    <dataValidation allowBlank="1" showInputMessage="1" showErrorMessage="1" promptTitle="Forfaitaire waarden PV" prompt="Forfaitaire waarde voor opbrengst van PV: 875 kWh/kWp._x000a_" sqref="D171" xr:uid="{07A9AB62-03AE-44BC-90F5-EBFACBAB8FC0}"/>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AFF123FB-C0EA-43CD-B505-B9A473E013B4}"/>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9BFCA908-2F1A-4548-83F4-F28EC9DA5806}"/>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427D527E-3C59-4093-AC74-94620AC1CCAD}"/>
    <dataValidation allowBlank="1" showInputMessage="1" showErrorMessage="1" promptTitle="PV" prompt="Opbrengst PV op gevel en dak in kWh per woning | utiliteitsgebouw." sqref="D73" xr:uid="{C3B089BD-C4FF-4582-94F3-35E7152251DC}"/>
    <dataValidation allowBlank="1" showInputMessage="1" showErrorMessage="1" promptTitle="Mobiliteit" prompt="Het geschatte elektriciteitsgebruik voor mobiliteit, bijvoorbeeld door elektrische auto's, kan worden ingevuld in kWh per woning of per utiliteitsgebouw." sqref="D71" xr:uid="{61ACB981-3B9B-475B-96FA-C425CC7D9F87}"/>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A716537F-2599-4A49-A52E-C56AA9B32056}"/>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ACC35859-3979-4530-B857-6BA8AA11B08D}"/>
    <dataValidation type="list" allowBlank="1" showInputMessage="1" showErrorMessage="1" errorTitle="Toestel RV" error="Kies een beschikbaar toestel." sqref="AA83 O83 AM83" xr:uid="{342200CE-DE34-4BEC-99A5-DF3AECC54849}">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768AE8BF-C28F-4FBD-88AB-7A4126956A7E}"/>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D0EB34E8-BBA8-48BA-9FDF-B59DC36FE096}"/>
    <dataValidation type="list" allowBlank="1" showInputMessage="1" showErrorMessage="1" sqref="AY49:BG49 AA49:AI49 AM49:AU49 O49:W49" xr:uid="{67F68DA7-E36F-440B-95B2-C4FF71578E61}">
      <formula1>specifieke_interne_warmtecapaciteit</formula1>
    </dataValidation>
    <dataValidation type="list" showInputMessage="1" showErrorMessage="1" sqref="G61 G63 G289" xr:uid="{1782EE43-254D-43CA-9593-D5A9B345AA72}">
      <formula1>beschikbare_fitformules_NTA8800</formula1>
    </dataValidation>
  </dataValidations>
  <hyperlinks>
    <hyperlink ref="D284" r:id="rId1" tooltip="verwijzing naar Staatsblad 2019, 501 met BENG-eisen" xr:uid="{B9C080C4-897B-46EC-97AF-08AFA34540EB}"/>
  </hyperlinks>
  <pageMargins left="0.23622047244094491" right="0.23622047244094491" top="0.74803149606299213" bottom="0.74803149606299213" header="0.31496062992125984" footer="0.31496062992125984"/>
  <pageSetup paperSize="9" scale="25" fitToHeight="0" orientation="landscape" r:id="rId2"/>
  <headerFooter alignWithMargins="0">
    <oddFooter>&amp;L_x000D_&amp;1#&amp;"Calibri"&amp;10&amp;K000000 Intern gebruik</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0129"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69" id="{01E5CE2B-287F-4425-BF57-CEEF90F093AD}">
            <xm:f>OR(O$19="",O$24=0,IFERROR(INDEX(bibliotheek!#REF!,MATCH(IF(O$19="",bibliotheek!#REF!,O$42),ventilatiesystemen_namen,0))="A",0))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C62F-A05A-469F-98B4-87D319407C8B}">
  <sheetPr codeName="Blad11"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3</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2" t="str">
        <f>"project: "&amp;IF('woningen|utiliteit'!$F$3="","",'woningen|utiliteit'!$F$3)</f>
        <v xml:space="preserve">project: </v>
      </c>
      <c r="F3" s="1113"/>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4"/>
      <c r="G4" s="1114"/>
      <c r="H4" s="1115"/>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6" t="s">
        <v>94</v>
      </c>
      <c r="C5" s="1116"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6"/>
      <c r="C6" s="1116"/>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6"/>
      <c r="C7" s="1116"/>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25.5">
      <c r="A42" s="652"/>
      <c r="B42" s="492" t="s">
        <v>139</v>
      </c>
      <c r="C42" s="653" t="s">
        <v>125</v>
      </c>
      <c r="D42" s="747"/>
      <c r="E42" s="182" t="s">
        <v>143</v>
      </c>
      <c r="F42" s="182"/>
      <c r="G42" s="182"/>
      <c r="H42" s="183" t="s">
        <v>68</v>
      </c>
      <c r="I42" s="114"/>
      <c r="J42" s="707"/>
      <c r="K42" s="97"/>
      <c r="L42" s="97"/>
      <c r="M42" s="224"/>
      <c r="N42" s="99"/>
      <c r="O42" s="876" t="s">
        <v>1868</v>
      </c>
      <c r="P42" s="876" t="s">
        <v>1868</v>
      </c>
      <c r="Q42" s="876" t="s">
        <v>1868</v>
      </c>
      <c r="R42" s="876" t="s">
        <v>1868</v>
      </c>
      <c r="S42" s="876" t="s">
        <v>1868</v>
      </c>
      <c r="T42" s="876" t="s">
        <v>1868</v>
      </c>
      <c r="U42" s="876" t="s">
        <v>1868</v>
      </c>
      <c r="V42" s="876" t="s">
        <v>1868</v>
      </c>
      <c r="W42" s="876" t="s">
        <v>1868</v>
      </c>
      <c r="X42" s="764"/>
      <c r="Y42" s="224"/>
      <c r="Z42" s="765"/>
      <c r="AA42" s="876" t="s">
        <v>1868</v>
      </c>
      <c r="AB42" s="876" t="s">
        <v>1868</v>
      </c>
      <c r="AC42" s="876" t="s">
        <v>1868</v>
      </c>
      <c r="AD42" s="876" t="s">
        <v>1868</v>
      </c>
      <c r="AE42" s="876" t="s">
        <v>1868</v>
      </c>
      <c r="AF42" s="876" t="s">
        <v>1868</v>
      </c>
      <c r="AG42" s="876" t="s">
        <v>1868</v>
      </c>
      <c r="AH42" s="876" t="s">
        <v>1868</v>
      </c>
      <c r="AI42" s="876" t="s">
        <v>1868</v>
      </c>
      <c r="AJ42" s="764"/>
      <c r="AK42" s="224"/>
      <c r="AL42" s="766"/>
      <c r="AM42" s="876" t="s">
        <v>1868</v>
      </c>
      <c r="AN42" s="876" t="s">
        <v>1868</v>
      </c>
      <c r="AO42" s="876" t="s">
        <v>1868</v>
      </c>
      <c r="AP42" s="876" t="s">
        <v>1868</v>
      </c>
      <c r="AQ42" s="876" t="s">
        <v>1868</v>
      </c>
      <c r="AR42" s="876" t="s">
        <v>1868</v>
      </c>
      <c r="AS42" s="876" t="s">
        <v>1868</v>
      </c>
      <c r="AT42" s="876" t="s">
        <v>1868</v>
      </c>
      <c r="AU42" s="876" t="s">
        <v>1868</v>
      </c>
      <c r="AV42" s="764"/>
      <c r="AW42" s="224"/>
      <c r="AX42" s="766"/>
      <c r="AY42" s="876" t="s">
        <v>1868</v>
      </c>
      <c r="AZ42" s="876" t="s">
        <v>1868</v>
      </c>
      <c r="BA42" s="876" t="s">
        <v>1868</v>
      </c>
      <c r="BB42" s="876" t="s">
        <v>1868</v>
      </c>
      <c r="BC42" s="876" t="s">
        <v>1868</v>
      </c>
      <c r="BD42" s="876" t="s">
        <v>1868</v>
      </c>
      <c r="BE42" s="876" t="s">
        <v>1868</v>
      </c>
      <c r="BF42" s="876" t="s">
        <v>1868</v>
      </c>
      <c r="BG42" s="876" t="s">
        <v>1868</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c r="P45" s="878"/>
      <c r="Q45" s="878"/>
      <c r="R45" s="878"/>
      <c r="S45" s="878"/>
      <c r="T45" s="878"/>
      <c r="U45" s="878"/>
      <c r="V45" s="878"/>
      <c r="W45" s="878"/>
      <c r="X45" s="768"/>
      <c r="Y45" s="282"/>
      <c r="Z45" s="279"/>
      <c r="AA45" s="878"/>
      <c r="AB45" s="878"/>
      <c r="AC45" s="878"/>
      <c r="AD45" s="878"/>
      <c r="AE45" s="878"/>
      <c r="AF45" s="878"/>
      <c r="AG45" s="878"/>
      <c r="AH45" s="878"/>
      <c r="AI45" s="878"/>
      <c r="AJ45" s="768"/>
      <c r="AK45" s="282"/>
      <c r="AL45" s="769"/>
      <c r="AM45" s="878"/>
      <c r="AN45" s="878"/>
      <c r="AO45" s="878"/>
      <c r="AP45" s="878"/>
      <c r="AQ45" s="878"/>
      <c r="AR45" s="878"/>
      <c r="AS45" s="878"/>
      <c r="AT45" s="878"/>
      <c r="AU45" s="878"/>
      <c r="AV45" s="768"/>
      <c r="AW45" s="282"/>
      <c r="AX45" s="769"/>
      <c r="AY45" s="878"/>
      <c r="AZ45" s="878"/>
      <c r="BA45" s="878"/>
      <c r="BB45" s="878"/>
      <c r="BC45" s="878"/>
      <c r="BD45" s="878"/>
      <c r="BE45" s="878"/>
      <c r="BF45" s="878"/>
      <c r="BG45" s="878"/>
      <c r="BH45" s="261"/>
    </row>
    <row r="46" spans="1:60">
      <c r="A46" s="652"/>
      <c r="B46" s="492" t="s">
        <v>139</v>
      </c>
      <c r="C46" s="735" t="s">
        <v>125</v>
      </c>
      <c r="D46" s="747"/>
      <c r="E46" s="182" t="s">
        <v>150</v>
      </c>
      <c r="F46" s="182"/>
      <c r="G46" s="182"/>
      <c r="H46" s="183" t="s">
        <v>68</v>
      </c>
      <c r="I46" s="114"/>
      <c r="J46" s="707"/>
      <c r="K46" s="97"/>
      <c r="L46" s="97"/>
      <c r="M46" s="224"/>
      <c r="N46" s="99"/>
      <c r="O46" s="876"/>
      <c r="P46" s="876"/>
      <c r="Q46" s="876"/>
      <c r="R46" s="876"/>
      <c r="S46" s="876"/>
      <c r="T46" s="876"/>
      <c r="U46" s="876"/>
      <c r="V46" s="876"/>
      <c r="W46" s="876"/>
      <c r="X46" s="764"/>
      <c r="Y46" s="224"/>
      <c r="Z46" s="236"/>
      <c r="AA46" s="876"/>
      <c r="AB46" s="876"/>
      <c r="AC46" s="876"/>
      <c r="AD46" s="876"/>
      <c r="AE46" s="876"/>
      <c r="AF46" s="876"/>
      <c r="AG46" s="876"/>
      <c r="AH46" s="876"/>
      <c r="AI46" s="876"/>
      <c r="AJ46" s="764"/>
      <c r="AK46" s="224"/>
      <c r="AL46" s="766"/>
      <c r="AM46" s="876"/>
      <c r="AN46" s="876"/>
      <c r="AO46" s="876"/>
      <c r="AP46" s="876"/>
      <c r="AQ46" s="876"/>
      <c r="AR46" s="876"/>
      <c r="AS46" s="876"/>
      <c r="AT46" s="876"/>
      <c r="AU46" s="876"/>
      <c r="AV46" s="764"/>
      <c r="AW46" s="224"/>
      <c r="AX46" s="766"/>
      <c r="AY46" s="876"/>
      <c r="AZ46" s="876"/>
      <c r="BA46" s="876"/>
      <c r="BB46" s="876"/>
      <c r="BC46" s="876"/>
      <c r="BD46" s="876"/>
      <c r="BE46" s="876"/>
      <c r="BF46" s="876"/>
      <c r="BG46" s="876"/>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1873</v>
      </c>
      <c r="F49" s="1048"/>
      <c r="G49" s="1048"/>
      <c r="H49" s="1053" t="s">
        <v>1874</v>
      </c>
      <c r="I49" s="210"/>
      <c r="J49" s="238"/>
      <c r="K49" s="90"/>
      <c r="L49" s="90"/>
      <c r="M49" s="238"/>
      <c r="N49" s="105"/>
      <c r="O49" s="1054"/>
      <c r="P49" s="1054"/>
      <c r="Q49" s="1054"/>
      <c r="R49" s="1054"/>
      <c r="S49" s="1054"/>
      <c r="T49" s="1054"/>
      <c r="U49" s="1054"/>
      <c r="V49" s="1054"/>
      <c r="W49" s="1054"/>
      <c r="X49" s="763"/>
      <c r="Y49" s="238"/>
      <c r="Z49" s="236"/>
      <c r="AA49" s="1054"/>
      <c r="AB49" s="1054"/>
      <c r="AC49" s="1054"/>
      <c r="AD49" s="1054"/>
      <c r="AE49" s="1054"/>
      <c r="AF49" s="1054"/>
      <c r="AG49" s="1054"/>
      <c r="AH49" s="1054"/>
      <c r="AI49" s="1054"/>
      <c r="AJ49" s="763"/>
      <c r="AK49" s="238"/>
      <c r="AL49" s="763"/>
      <c r="AM49" s="1054"/>
      <c r="AN49" s="1054"/>
      <c r="AO49" s="1054"/>
      <c r="AP49" s="1054"/>
      <c r="AQ49" s="1054"/>
      <c r="AR49" s="1054"/>
      <c r="AS49" s="1054"/>
      <c r="AT49" s="1054"/>
      <c r="AU49" s="1054"/>
      <c r="AV49" s="763"/>
      <c r="AW49" s="238"/>
      <c r="AX49" s="763"/>
      <c r="AY49" s="1054"/>
      <c r="AZ49" s="1054"/>
      <c r="BA49" s="1054"/>
      <c r="BB49" s="1054"/>
      <c r="BC49" s="1054"/>
      <c r="BD49" s="1054"/>
      <c r="BE49" s="1054"/>
      <c r="BF49" s="1054"/>
      <c r="BG49" s="1054"/>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1876</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1876</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0"/>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0"/>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0"/>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90"/>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0"/>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1876</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bKRaFPInTZER9wMLB/ZqS0A8433zNxUosHEeS0j6vlkR20m0qnbK+xjPCkzESFmnKhGC4hcAideSUgmQD1LGJw==" saltValue="eDZ2BrhstYk/hx8EEC85WA=="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805" priority="72">
      <formula>B16=""</formula>
    </cfRule>
  </conditionalFormatting>
  <conditionalFormatting sqref="B27:C324">
    <cfRule type="expression" dxfId="804" priority="3">
      <formula>B27=""</formula>
    </cfRule>
  </conditionalFormatting>
  <conditionalFormatting sqref="C10">
    <cfRule type="expression" dxfId="803" priority="114">
      <formula>C10=""</formula>
    </cfRule>
  </conditionalFormatting>
  <conditionalFormatting sqref="C12:C26">
    <cfRule type="expression" dxfId="802" priority="73">
      <formula>C12=""</formula>
    </cfRule>
  </conditionalFormatting>
  <conditionalFormatting sqref="E55">
    <cfRule type="expression" dxfId="801" priority="22">
      <formula>$G$6=FALSE</formula>
    </cfRule>
  </conditionalFormatting>
  <conditionalFormatting sqref="E281:J281">
    <cfRule type="expression" dxfId="800" priority="1">
      <formula>$G$6=TRUE</formula>
    </cfRule>
  </conditionalFormatting>
  <conditionalFormatting sqref="F4:F5">
    <cfRule type="expression" dxfId="799" priority="139">
      <formula>F4=""</formula>
    </cfRule>
  </conditionalFormatting>
  <conditionalFormatting sqref="F5">
    <cfRule type="expression" dxfId="798" priority="137">
      <formula>OR($F$5="",ISERROR(MATCH(F5,opwekking_elektriciteit,0))=TRUE)</formula>
    </cfRule>
  </conditionalFormatting>
  <conditionalFormatting sqref="F2:H2">
    <cfRule type="expression" dxfId="797" priority="145">
      <formula>$F$2&lt;&gt;""</formula>
    </cfRule>
  </conditionalFormatting>
  <conditionalFormatting sqref="G61">
    <cfRule type="expression" dxfId="796" priority="12">
      <formula>OR(G61="",ISERROR(MATCH(G61,beschikbare_fitformules_NTA8800,0))=TRUE)</formula>
    </cfRule>
  </conditionalFormatting>
  <conditionalFormatting sqref="G63">
    <cfRule type="expression" dxfId="795" priority="8">
      <formula>OR(G63="",ISERROR(MATCH(G63,beschikbare_fitformules_NTA8800,0))=TRUE)</formula>
    </cfRule>
  </conditionalFormatting>
  <conditionalFormatting sqref="G289">
    <cfRule type="expression" dxfId="794" priority="4">
      <formula>OR(G289="",ISERROR(MATCH(G289,beschikbare_fitformules_NTA8800,0))=TRUE)</formula>
    </cfRule>
  </conditionalFormatting>
  <conditionalFormatting sqref="H3">
    <cfRule type="expression" dxfId="793" priority="2">
      <formula>H3=""</formula>
    </cfRule>
  </conditionalFormatting>
  <conditionalFormatting sqref="J32:J33">
    <cfRule type="cellIs" dxfId="792" priority="120" operator="greaterThan">
      <formula>0</formula>
    </cfRule>
  </conditionalFormatting>
  <conditionalFormatting sqref="J40:J42">
    <cfRule type="expression" dxfId="791" priority="71">
      <formula>J40="OK"</formula>
    </cfRule>
  </conditionalFormatting>
  <conditionalFormatting sqref="J46:J47">
    <cfRule type="expression" dxfId="790" priority="70">
      <formula>J46="OK"</formula>
    </cfRule>
  </conditionalFormatting>
  <conditionalFormatting sqref="J51">
    <cfRule type="cellIs" dxfId="789" priority="68" operator="notEqual">
      <formula>"OK"</formula>
    </cfRule>
  </conditionalFormatting>
  <conditionalFormatting sqref="J83">
    <cfRule type="cellIs" dxfId="788" priority="121" operator="notEqual">
      <formula>"OK"</formula>
    </cfRule>
  </conditionalFormatting>
  <conditionalFormatting sqref="J138">
    <cfRule type="cellIs" dxfId="787" priority="59" operator="equal">
      <formula>0</formula>
    </cfRule>
  </conditionalFormatting>
  <conditionalFormatting sqref="M32:M33">
    <cfRule type="cellIs" dxfId="786" priority="119" operator="greaterThan">
      <formula>0</formula>
    </cfRule>
  </conditionalFormatting>
  <conditionalFormatting sqref="M134:M149 Y134:Y149 AK134:AK149 AW134:AW149">
    <cfRule type="expression" dxfId="785" priority="142">
      <formula>SUM(M$134:M$149)=0</formula>
    </cfRule>
  </conditionalFormatting>
  <conditionalFormatting sqref="M138 Y138 AK138 AW138 J141 M141 Y141 AK141 AW141 J145 M145 Y145 AK145 AW145 J149 M149 Y149 AK149 AW149">
    <cfRule type="cellIs" dxfId="784" priority="63" operator="equal">
      <formula>0</formula>
    </cfRule>
  </conditionalFormatting>
  <conditionalFormatting sqref="O83 AA83 AM83 AY83">
    <cfRule type="expression" dxfId="783" priority="67">
      <formula>OR(AND(O83="",O$24&gt;0),ISERROR(MATCH(O83,toestellen_RV_invoer,0)))</formula>
    </cfRule>
  </conditionalFormatting>
  <conditionalFormatting sqref="O90 Q90 AA90 AC90 AM90 AO90 AY90 BA90">
    <cfRule type="expression" dxfId="782" priority="138">
      <formula>OR(AND(O$78&gt;0,O90=""),AND(O90&lt;&gt;"ja",O90&lt;&gt;"nee",O90&lt;&gt;""))</formula>
    </cfRule>
  </conditionalFormatting>
  <conditionalFormatting sqref="O129 Q129 AA129 AC129 AM129 AO129 AY129 BA129">
    <cfRule type="expression" dxfId="781" priority="152">
      <formula>O$128=0</formula>
    </cfRule>
  </conditionalFormatting>
  <conditionalFormatting sqref="O90:Q91 AA90:AC91 AM90:AO91 AY90:BA91 O86:Q88 AA86:AC88 AM86:AO88 AY86:BA88 O93:Q95 AA93:AC95 AM93:AO95 AY93:BA95 O83:Q84 AA83:AC84 AM83:AO84 AY83:BA84 O97:Q99 AA97:AC99 AM97:AO99 AY97:BA99">
    <cfRule type="expression" dxfId="780" priority="166">
      <formula>O$78=0</formula>
    </cfRule>
    <cfRule type="expression" dxfId="779" priority="165">
      <formula>O$29=0</formula>
    </cfRule>
  </conditionalFormatting>
  <conditionalFormatting sqref="O104:Q104 AA104:AC104 AM104:AO104 AY104:BA104 AA134:AC134 AM134:AO134 AY134:BA134">
    <cfRule type="expression" dxfId="778" priority="134">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777" priority="124">
      <formula>AND(O$78&gt;0,O87="")</formula>
    </cfRule>
  </conditionalFormatting>
  <conditionalFormatting sqref="O134:Q134">
    <cfRule type="expression" dxfId="776" priority="131">
      <formula>O$78=0</formula>
    </cfRule>
  </conditionalFormatting>
  <conditionalFormatting sqref="O135:Q141 AA135:AC141 AM135:AO141 AY135:BA141 O143:Q145 AA143:AC145 AM143:AO145 AY143:BA145 O147:Q149 AA147:AC149 AM147:AO149 AY147:BA149">
    <cfRule type="expression" dxfId="775" priority="58">
      <formula>OR(O$78=0,O$134="geen")</formula>
    </cfRule>
  </conditionalFormatting>
  <conditionalFormatting sqref="O140:Q140 AA140:AC140 AM140:AO140 AY140:BA140 O144:Q144 AA144:AC144 AM144:AO144 AY144:BA144 O148:Q148 AA148:AC148 AM148:AO148 AY148:BA148">
    <cfRule type="expression" dxfId="774" priority="163">
      <formula>AND(O$78&gt;0,O$134&lt;&gt;"geen",O140="")</formula>
    </cfRule>
  </conditionalFormatting>
  <conditionalFormatting sqref="O154:Q156 AA154:AC156 AM154:AO156 AY154:BA156">
    <cfRule type="expression" dxfId="773" priority="168">
      <formula>OR(O$29=0,O$126=0)</formula>
    </cfRule>
  </conditionalFormatting>
  <conditionalFormatting sqref="O155:Q155 AA155:AC155 AM155:AO155 AY155:BA155">
    <cfRule type="expression" dxfId="772" priority="133">
      <formula>AND(O$126&gt;0,O155="")</formula>
    </cfRule>
  </conditionalFormatting>
  <conditionalFormatting sqref="O170:T172">
    <cfRule type="expression" dxfId="771" priority="104">
      <formula>O$29=0</formula>
    </cfRule>
  </conditionalFormatting>
  <conditionalFormatting sqref="O200:T205">
    <cfRule type="expression" dxfId="770" priority="103">
      <formula>O$29=0</formula>
    </cfRule>
  </conditionalFormatting>
  <conditionalFormatting sqref="O212:T219">
    <cfRule type="expression" dxfId="769" priority="101">
      <formula>O$29=0</formula>
    </cfRule>
  </conditionalFormatting>
  <conditionalFormatting sqref="O17:W17">
    <cfRule type="expression" dxfId="768" priority="106">
      <formula>AND(O17&lt;&gt;"",ISERROR(MATCH(O17,woningen_gebouwen_namen,0))=TRUE)</formula>
    </cfRule>
  </conditionalFormatting>
  <conditionalFormatting sqref="O19:W19 AA19:AI19 AM19:AU19 AY19:BG19">
    <cfRule type="expression" dxfId="767" priority="118">
      <formula>O19=""</formula>
    </cfRule>
  </conditionalFormatting>
  <conditionalFormatting sqref="O20:W21 AM20:AU21 AY20:BG21">
    <cfRule type="expression" dxfId="766" priority="117">
      <formula>O$19=""</formula>
    </cfRule>
  </conditionalFormatting>
  <conditionalFormatting sqref="O22:W22">
    <cfRule type="expression" dxfId="765" priority="115">
      <formula>OR(O$19="",AND(O$21&lt;&gt;woning,O$21&lt;&gt;woongebouw))</formula>
    </cfRule>
  </conditionalFormatting>
  <conditionalFormatting sqref="O24:W25 AA24:BG25">
    <cfRule type="expression" dxfId="764" priority="93">
      <formula>O$19=""</formula>
    </cfRule>
  </conditionalFormatting>
  <conditionalFormatting sqref="O25:W25 AM25:AU25 AY25:BG25">
    <cfRule type="expression" dxfId="763" priority="149">
      <formula>AND(O$19&lt;&gt;"",O25="")</formula>
    </cfRule>
    <cfRule type="expression" dxfId="762" priority="148">
      <formula>AND(O$19="",O25&gt;0)</formula>
    </cfRule>
  </conditionalFormatting>
  <conditionalFormatting sqref="O26:W29 O31:W35">
    <cfRule type="expression" dxfId="761" priority="23">
      <formula>OR(O$19="",O$24=0)</formula>
    </cfRule>
  </conditionalFormatting>
  <conditionalFormatting sqref="O40:W48 O51:W51 O53:W56 O59:W59 O71:W71 O73:W73">
    <cfRule type="expression" dxfId="760" priority="61">
      <formula>OR(O$19="",O$24=0)</formula>
    </cfRule>
  </conditionalFormatting>
  <conditionalFormatting sqref="O41:W41 AA41:AI41 AM41:AU41 AY41:BG41">
    <cfRule type="expression" dxfId="759" priority="24">
      <formula>AND(O$19&lt;&gt;"",O$24&gt;0,O41&lt;&gt;"",ISERROR(MATCH(O41,isolatiepakketten_gebouwschil_namen,0))=TRUE)</formula>
    </cfRule>
  </conditionalFormatting>
  <conditionalFormatting sqref="O42:W42 AA42:AI42 AM42:AU42 AY42:BG42">
    <cfRule type="expression" dxfId="758" priority="150">
      <formula>OR(AND(O$19&lt;&gt;"",O$24&gt;0,O42=""),ISERROR(MATCH(O42,ventilatiesystemen_namen,0))=TRUE)</formula>
    </cfRule>
  </conditionalFormatting>
  <conditionalFormatting sqref="O43:W43 AA43:AI43 AM43:AU43 AY43:BG43">
    <cfRule type="expression" dxfId="757" priority="151">
      <formula>OR(AND(O$19&lt;&gt;"",O$24&gt;0,O43=""),ISERROR(MATCH(O43,ventilatoren_typen,0))=TRUE)</formula>
    </cfRule>
  </conditionalFormatting>
  <conditionalFormatting sqref="O44:W44 AA44:AI44 AM44:AU44 AY44:BG44">
    <cfRule type="expression" dxfId="755" priority="153">
      <formula>OR(O44&lt;0.5,O44&gt;2,AND(O$19&lt;&gt;"",O44=""))</formula>
    </cfRule>
  </conditionalFormatting>
  <conditionalFormatting sqref="O45:W46 AA45:AI46 AM45:AU46 AY45:BG46">
    <cfRule type="expression" dxfId="754" priority="155">
      <formula>AND(O$19&lt;&gt;"",O$28&gt;0,O45="")</formula>
    </cfRule>
    <cfRule type="expression" dxfId="753" priority="69">
      <formula>OR(O$19="",O$28=0)</formula>
    </cfRule>
  </conditionalFormatting>
  <conditionalFormatting sqref="O46:W46 AA46:AI46 AM46:AU46 AY46:BG46">
    <cfRule type="expression" dxfId="752" priority="157">
      <formula>AND(O46&lt;&gt;"",ISERROR(MATCH(O46,verlichtingsregeling_namen,0))=TRUE)</formula>
    </cfRule>
  </conditionalFormatting>
  <conditionalFormatting sqref="O47:W47 AA47:AI47 AM47:AU47 AY47:BG47">
    <cfRule type="expression" dxfId="751" priority="158">
      <formula>OR(AND(O$19&lt;&gt;"",O$24&gt;0,O47=""),AND(O47&lt;&gt;elektriciteit,O47&lt;&gt;aardgas))</formula>
    </cfRule>
    <cfRule type="expression" dxfId="750" priority="81">
      <formula>OR(O$19="",O$26+O$27=0,AND(O$21&lt;&gt;woning,O$21&lt;&gt;woongebouw))</formula>
    </cfRule>
  </conditionalFormatting>
  <conditionalFormatting sqref="O48:W48 AA48:AI48 AM48:AU48 AY48:BG48">
    <cfRule type="expression" dxfId="749" priority="159">
      <formula>OR(O48&lt;0,O48&gt;1,AND(O$19&lt;&gt;"",O48=""))</formula>
    </cfRule>
  </conditionalFormatting>
  <conditionalFormatting sqref="O49:W49 AA49:AI49 AM49:AU49 AY49:BG49">
    <cfRule type="expression" dxfId="748" priority="17">
      <formula>AND(O49&lt;&gt;"",ISERROR(MATCH(O49,specifieke_interne_warmtecapaciteit,0))=TRUE)</formula>
    </cfRule>
  </conditionalFormatting>
  <conditionalFormatting sqref="O51:W51 AA51:AI51 AM51:AU51 AY51:BG51">
    <cfRule type="expression" dxfId="747" priority="80">
      <formula>$O19=""</formula>
    </cfRule>
    <cfRule type="cellIs" dxfId="746" priority="162" operator="equal">
      <formula>"nee"</formula>
    </cfRule>
  </conditionalFormatting>
  <conditionalFormatting sqref="O54:W54 AA54:AI54 AM54:AU54 AY54:BG54">
    <cfRule type="cellIs" dxfId="745" priority="28" operator="equal">
      <formula>0</formula>
    </cfRule>
  </conditionalFormatting>
  <conditionalFormatting sqref="O55:W55 AA55:AI55 AM55:AU55 AY55:BG55">
    <cfRule type="expression" dxfId="744" priority="171">
      <formula>AND(O$24&gt;0,O$55&gt;0,O$55&lt;&gt;O$56,$G$6=TRUE)</formula>
    </cfRule>
    <cfRule type="expression" dxfId="743" priority="170">
      <formula>AND(O$24&gt;0,O55="",$G$6=TRUE)</formula>
    </cfRule>
    <cfRule type="expression" dxfId="742" priority="169">
      <formula>O$24=0</formula>
    </cfRule>
  </conditionalFormatting>
  <conditionalFormatting sqref="O61:W69">
    <cfRule type="expression" dxfId="741" priority="9">
      <formula>OR(O$19="",O$24=0)</formula>
    </cfRule>
  </conditionalFormatting>
  <conditionalFormatting sqref="O73:W73">
    <cfRule type="expression" dxfId="740" priority="62">
      <formula>AND(O$19&lt;&gt;"",O73="")</formula>
    </cfRule>
  </conditionalFormatting>
  <conditionalFormatting sqref="O78:W78 AA78:AI78 AM78:AU78 AY78:BG78">
    <cfRule type="expression" dxfId="739" priority="132">
      <formula>O$29=0</formula>
    </cfRule>
  </conditionalFormatting>
  <conditionalFormatting sqref="O230:W230 AM230:AU230 AY230:BG230 AM237:AU239 AY237:BG239 AM254:AU256 AM258:AU258">
    <cfRule type="expression" dxfId="738" priority="126">
      <formula>O$24=0</formula>
    </cfRule>
  </conditionalFormatting>
  <conditionalFormatting sqref="O289:W289">
    <cfRule type="expression" dxfId="737" priority="5">
      <formula>OR(O$19="",O$24=0)</formula>
    </cfRule>
  </conditionalFormatting>
  <conditionalFormatting sqref="O290:W291">
    <cfRule type="expression" dxfId="736" priority="143">
      <formula>O290&gt;O285</formula>
    </cfRule>
  </conditionalFormatting>
  <conditionalFormatting sqref="O292:W292 AA292:AI292 AM292:AU292 AY292:BG292">
    <cfRule type="expression" dxfId="735" priority="20">
      <formula>$O$292&lt;$O$287</formula>
    </cfRule>
  </conditionalFormatting>
  <conditionalFormatting sqref="O295:W295 AA295:AI295 AM295:AU295 AY295:BG295">
    <cfRule type="expression" dxfId="734" priority="174">
      <formula>O$24=0</formula>
    </cfRule>
  </conditionalFormatting>
  <conditionalFormatting sqref="O295:W295 AY295:BG295 AA295:AI295 AM295:AU295">
    <cfRule type="expression" dxfId="733" priority="173">
      <formula>#REF!&lt;O$291</formula>
    </cfRule>
  </conditionalFormatting>
  <conditionalFormatting sqref="O297:W298 O300:W301 O290:W292 O232:W232 O244:W252 O254:W256 O258:W258 O260:W260 O265:W265 O267:W272 O274:W274 O276:W276 O278:W278 O285:W287 O294:W295 O306:W314 O316:W318 O320:W320 O322:W322">
    <cfRule type="expression" dxfId="732" priority="83">
      <formula>O$24=0</formula>
    </cfRule>
  </conditionalFormatting>
  <conditionalFormatting sqref="O298:W298">
    <cfRule type="expression" dxfId="731" priority="44">
      <formula>AND(O298&lt;&gt;"nvt",O298&gt;O297)</formula>
    </cfRule>
    <cfRule type="expression" dxfId="730" priority="45">
      <formula>AND(O298&lt;&gt;"nvt",O298&lt;=O297)</formula>
    </cfRule>
  </conditionalFormatting>
  <conditionalFormatting sqref="O301:W301">
    <cfRule type="expression" dxfId="729" priority="42">
      <formula>AND(O301&lt;&gt;"nvt",O301&gt;O300)</formula>
    </cfRule>
    <cfRule type="expression" dxfId="728" priority="43">
      <formula>AND(O301&lt;&gt;"nvt",O301&lt;=O300)</formula>
    </cfRule>
  </conditionalFormatting>
  <conditionalFormatting sqref="O278:X278 M278 AJ278 AV278 BH278">
    <cfRule type="expression" dxfId="727" priority="147">
      <formula>#REF!&gt;M278</formula>
    </cfRule>
  </conditionalFormatting>
  <conditionalFormatting sqref="O40:BG41">
    <cfRule type="expression" dxfId="726" priority="21">
      <formula>OR(O$19="",O$24=0)</formula>
    </cfRule>
  </conditionalFormatting>
  <conditionalFormatting sqref="P83 AB83 AN83 AZ83">
    <cfRule type="expression" dxfId="725" priority="122">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724" priority="51">
      <formula>P$83="geen"</formula>
    </cfRule>
  </conditionalFormatting>
  <conditionalFormatting sqref="Q83 AC83 AO83 BA83">
    <cfRule type="expression" dxfId="723" priority="123">
      <formula>OR(AND(Q83="",Q$24&gt;0),ISERROR(MATCH(Q83,toestellen_TAP_invoer,0)))</formula>
    </cfRule>
  </conditionalFormatting>
  <conditionalFormatting sqref="Q90 AC90 AO90 BA90">
    <cfRule type="expression" dxfId="722" priority="167">
      <formula>OR(AND(Q$24&gt;0,Q$78&gt;0,Q90=""),AND(Q90&lt;&gt;"ja",Q90&lt;&gt;"nee",Q90&lt;&gt;""))</formula>
    </cfRule>
  </conditionalFormatting>
  <conditionalFormatting sqref="T158:T159">
    <cfRule type="expression" dxfId="721" priority="76">
      <formula>T$29=0</formula>
    </cfRule>
  </conditionalFormatting>
  <conditionalFormatting sqref="T161:T162">
    <cfRule type="expression" dxfId="720" priority="75">
      <formula>T$29=0</formula>
    </cfRule>
  </conditionalFormatting>
  <conditionalFormatting sqref="T164">
    <cfRule type="expression" dxfId="719" priority="74">
      <formula>T$29=0</formula>
    </cfRule>
  </conditionalFormatting>
  <conditionalFormatting sqref="T193">
    <cfRule type="expression" dxfId="718" priority="77">
      <formula>T$29=0</formula>
    </cfRule>
  </conditionalFormatting>
  <conditionalFormatting sqref="T207">
    <cfRule type="expression" dxfId="717" priority="105">
      <formula>T$29=0</formula>
    </cfRule>
  </conditionalFormatting>
  <conditionalFormatting sqref="T224:T225">
    <cfRule type="expression" dxfId="716" priority="102">
      <formula>T$29=0</formula>
    </cfRule>
  </conditionalFormatting>
  <conditionalFormatting sqref="T189:W191">
    <cfRule type="expression" dxfId="715" priority="78">
      <formula>T$29=0</formula>
    </cfRule>
  </conditionalFormatting>
  <conditionalFormatting sqref="U157:W159">
    <cfRule type="expression" dxfId="714" priority="130">
      <formula>U$29=0</formula>
    </cfRule>
  </conditionalFormatting>
  <conditionalFormatting sqref="AA190">
    <cfRule type="expression" dxfId="713" priority="111">
      <formula>AA$29=0</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712" priority="60">
      <formula>OR(O$78=0,O$104="geen")</formula>
    </cfRule>
  </conditionalFormatting>
  <conditionalFormatting sqref="AA212:AC212">
    <cfRule type="expression" dxfId="711" priority="50">
      <formula>AA$29=0</formula>
    </cfRule>
  </conditionalFormatting>
  <conditionalFormatting sqref="AA189:AE189">
    <cfRule type="expression" dxfId="710" priority="113">
      <formula>AA$29=0</formula>
    </cfRule>
  </conditionalFormatting>
  <conditionalFormatting sqref="AA219:AE219">
    <cfRule type="expression" dxfId="709" priority="108">
      <formula>AA$29=0</formula>
    </cfRule>
  </conditionalFormatting>
  <conditionalFormatting sqref="AA20:AI21">
    <cfRule type="expression" dxfId="708" priority="116">
      <formula>AA$19=""</formula>
    </cfRule>
  </conditionalFormatting>
  <conditionalFormatting sqref="AA22:AI22">
    <cfRule type="expression" dxfId="707" priority="66">
      <formula>OR(AA$19="",AND(AA$21&lt;&gt;woning,AA$21&lt;&gt;woongebouw))</formula>
    </cfRule>
  </conditionalFormatting>
  <conditionalFormatting sqref="AA25:AI25">
    <cfRule type="expression" dxfId="706" priority="160">
      <formula>AND(AA$19="",AA25&gt;0)</formula>
    </cfRule>
    <cfRule type="expression" dxfId="705" priority="161">
      <formula>AND(AA$19&lt;&gt;"",AA25="")</formula>
    </cfRule>
  </conditionalFormatting>
  <conditionalFormatting sqref="AA26:AI29 AM26:AU29 AY26:BG29 AA31:AI35 AM31:AU35 AY31:BG35">
    <cfRule type="expression" dxfId="704" priority="146">
      <formula>OR(AA$19="",AA$24=0)</formula>
    </cfRule>
  </conditionalFormatting>
  <conditionalFormatting sqref="AA42:AI49 AM42:AU49 AY42:BG49 O49:W49">
    <cfRule type="expression" dxfId="703" priority="16">
      <formula>OR(O$19="",O$24=0)</formula>
    </cfRule>
  </conditionalFormatting>
  <conditionalFormatting sqref="AA61:AI69 AM61:AU69 AY61:BG69">
    <cfRule type="expression" dxfId="702" priority="10">
      <formula>OR(AA$19="",AA$24=0)</formula>
    </cfRule>
  </conditionalFormatting>
  <conditionalFormatting sqref="AA71:AI71 AM71:AU71 AY71:BG71 O71:W71">
    <cfRule type="expression" dxfId="701" priority="136">
      <formula>AND(O$19&lt;&gt;"",O71="")</formula>
    </cfRule>
  </conditionalFormatting>
  <conditionalFormatting sqref="AA71:AI71 AM71:AU71 AY71:BG71">
    <cfRule type="expression" dxfId="700" priority="135">
      <formula>OR(AA$19="",AA$24=0)</formula>
    </cfRule>
  </conditionalFormatting>
  <conditionalFormatting sqref="AA73:AI73">
    <cfRule type="expression" dxfId="699" priority="57">
      <formula>AND(AA$19&lt;&gt;"",AA73="")</formula>
    </cfRule>
    <cfRule type="expression" dxfId="698" priority="56">
      <formula>OR(AA$19="",AA$24=0)</formula>
    </cfRule>
  </conditionalFormatting>
  <conditionalFormatting sqref="AA289:AI289 AM289:AU289 AY289:BG289">
    <cfRule type="expression" dxfId="697" priority="6">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696" priority="27">
      <formula>AA$24=0</formula>
    </cfRule>
  </conditionalFormatting>
  <conditionalFormatting sqref="AA296:AI296">
    <cfRule type="expression" dxfId="695" priority="47">
      <formula>AA296&lt;AA291</formula>
    </cfRule>
  </conditionalFormatting>
  <conditionalFormatting sqref="AA298:AI298">
    <cfRule type="expression" dxfId="694" priority="41">
      <formula>AND(AA298&lt;&gt;"nvt",AA298&lt;=AA297)</formula>
    </cfRule>
    <cfRule type="expression" dxfId="693" priority="40">
      <formula>AND(AA298&lt;&gt;"nvt",AA298&gt;AA297)</formula>
    </cfRule>
  </conditionalFormatting>
  <conditionalFormatting sqref="AA301:AI301">
    <cfRule type="expression" dxfId="692" priority="39">
      <formula>AND(AA301&lt;&gt;"nvt",AA301&lt;=AA300)</formula>
    </cfRule>
    <cfRule type="expression" dxfId="691" priority="38">
      <formula>AND(AA301&lt;&gt;"nvt",AA301&gt;AA300)</formula>
    </cfRule>
  </conditionalFormatting>
  <conditionalFormatting sqref="AA306:AI314 AA316:AI318 AA320:AI320 AA322:AI322">
    <cfRule type="expression" dxfId="690" priority="85">
      <formula>AA$24=0</formula>
    </cfRule>
  </conditionalFormatting>
  <conditionalFormatting sqref="AA290:AU291">
    <cfRule type="expression" dxfId="689" priority="141">
      <formula>AA290&gt;AA285</formula>
    </cfRule>
  </conditionalFormatting>
  <conditionalFormatting sqref="AA299:AX299">
    <cfRule type="expression" dxfId="688" priority="33">
      <formula>AA299&lt;AA294</formula>
    </cfRule>
  </conditionalFormatting>
  <conditionalFormatting sqref="AF189:AF191">
    <cfRule type="expression" dxfId="687" priority="99">
      <formula>AF$29=0</formula>
    </cfRule>
  </conditionalFormatting>
  <conditionalFormatting sqref="AF224:AF225">
    <cfRule type="expression" dxfId="686" priority="100">
      <formula>AF$29=0</formula>
    </cfRule>
  </conditionalFormatting>
  <conditionalFormatting sqref="AF212:AI219 AK212:AK219 AM212:AU219 AW212:AW219 AY212:BD219">
    <cfRule type="expression" dxfId="685" priority="87">
      <formula>AF$29=0</formula>
    </cfRule>
  </conditionalFormatting>
  <conditionalFormatting sqref="AM190">
    <cfRule type="expression" dxfId="684" priority="110">
      <formula>AM$29=0</formula>
    </cfRule>
  </conditionalFormatting>
  <conditionalFormatting sqref="AM212:AO212">
    <cfRule type="expression" dxfId="683" priority="49">
      <formula>AM$29=0</formula>
    </cfRule>
  </conditionalFormatting>
  <conditionalFormatting sqref="AM22:AU22">
    <cfRule type="expression" dxfId="682" priority="65">
      <formula>OR(AM$19="",AND(AM$21&lt;&gt;woning,AM$21&lt;&gt;woongebouw))</formula>
    </cfRule>
  </conditionalFormatting>
  <conditionalFormatting sqref="AM73:AU73">
    <cfRule type="expression" dxfId="681" priority="55">
      <formula>AND(AM$19&lt;&gt;"",AM73="")</formula>
    </cfRule>
    <cfRule type="expression" dxfId="680" priority="54">
      <formula>OR(AM$19="",AM$24=0)</formula>
    </cfRule>
  </conditionalFormatting>
  <conditionalFormatting sqref="AM232:AU232">
    <cfRule type="expression" dxfId="679" priority="94">
      <formula>AM$24=0</formula>
    </cfRule>
  </conditionalFormatting>
  <conditionalFormatting sqref="AM260:AU260">
    <cfRule type="expression" dxfId="678" priority="95">
      <formula>AM$24=0</formula>
    </cfRule>
  </conditionalFormatting>
  <conditionalFormatting sqref="AM294:AU294">
    <cfRule type="expression" dxfId="677" priority="26">
      <formula>AM$24=0</formula>
    </cfRule>
  </conditionalFormatting>
  <conditionalFormatting sqref="AM296:AU296">
    <cfRule type="expression" dxfId="676" priority="46">
      <formula>AM296&lt;AM291</formula>
    </cfRule>
  </conditionalFormatting>
  <conditionalFormatting sqref="AM298:AU298">
    <cfRule type="expression" dxfId="675" priority="36">
      <formula>AND(AM298&lt;&gt;"nvt",AM298&gt;AM297)</formula>
    </cfRule>
    <cfRule type="expression" dxfId="674" priority="37">
      <formula>AND(AM298&lt;&gt;"nvt",AM298&lt;=AM297)</formula>
    </cfRule>
  </conditionalFormatting>
  <conditionalFormatting sqref="AM301:AU301">
    <cfRule type="expression" dxfId="673" priority="34">
      <formula>AND(AM301&lt;&gt;"nvt",AM301&gt;AM300)</formula>
    </cfRule>
    <cfRule type="expression" dxfId="672" priority="35">
      <formula>AND(AM301&lt;&gt;"nvt",AM301&lt;=AM300)</formula>
    </cfRule>
  </conditionalFormatting>
  <conditionalFormatting sqref="AM306:AU314 AM316:AU318 AM320:AU320 AM322:AU322">
    <cfRule type="expression" dxfId="671" priority="84">
      <formula>AM$24=0</formula>
    </cfRule>
  </conditionalFormatting>
  <conditionalFormatting sqref="AR189:AR191">
    <cfRule type="expression" dxfId="670" priority="96">
      <formula>AR$29=0</formula>
    </cfRule>
  </conditionalFormatting>
  <conditionalFormatting sqref="AR224:AR225">
    <cfRule type="expression" dxfId="669" priority="97">
      <formula>AR$29=0</formula>
    </cfRule>
  </conditionalFormatting>
  <conditionalFormatting sqref="AR293">
    <cfRule type="expression" dxfId="668" priority="98">
      <formula>AR293&lt;AR288</formula>
    </cfRule>
  </conditionalFormatting>
  <conditionalFormatting sqref="AY190">
    <cfRule type="expression" dxfId="667" priority="109">
      <formula>AY$29=0</formula>
    </cfRule>
  </conditionalFormatting>
  <conditionalFormatting sqref="AY109:BA109">
    <cfRule type="expression" dxfId="666" priority="156">
      <formula>AND(AY$78&gt;0,AY109="")</formula>
    </cfRule>
  </conditionalFormatting>
  <conditionalFormatting sqref="AY212:BA212">
    <cfRule type="expression" dxfId="665" priority="48">
      <formula>AY$29=0</formula>
    </cfRule>
  </conditionalFormatting>
  <conditionalFormatting sqref="AY189:BC189">
    <cfRule type="expression" dxfId="664" priority="112">
      <formula>AY$29=0</formula>
    </cfRule>
  </conditionalFormatting>
  <conditionalFormatting sqref="AY22:BG22">
    <cfRule type="expression" dxfId="663" priority="64">
      <formula>OR(AY$19="",AND(AY$21&lt;&gt;woning,AY$21&lt;&gt;woongebouw))</formula>
    </cfRule>
  </conditionalFormatting>
  <conditionalFormatting sqref="AY73:BG73">
    <cfRule type="expression" dxfId="662" priority="53">
      <formula>AND(AY$19&lt;&gt;"",AY73="")</formula>
    </cfRule>
    <cfRule type="expression" dxfId="661" priority="52">
      <formula>OR(AY$19="",AY$24=0)</formula>
    </cfRule>
  </conditionalFormatting>
  <conditionalFormatting sqref="AY232:BG232">
    <cfRule type="expression" dxfId="660" priority="86">
      <formula>AY$24=0</formula>
    </cfRule>
  </conditionalFormatting>
  <conditionalFormatting sqref="AY290:BG291">
    <cfRule type="expression" dxfId="659" priority="140">
      <formula>AY290&gt;AY285</formula>
    </cfRule>
  </conditionalFormatting>
  <conditionalFormatting sqref="AY294:BG295">
    <cfRule type="expression" dxfId="658" priority="25">
      <formula>AY$24=0</formula>
    </cfRule>
  </conditionalFormatting>
  <conditionalFormatting sqref="AY297:BG298 AY300:BG301 AY290:BG292 AY254:BG256 AY258:BG258 AY260:BG260 AY265:BG272 AY274:BG274 AY276:BG276 AY278:BG278 AY283:BG283 AY285:BG287 AY306:BG314">
    <cfRule type="expression" dxfId="657" priority="82">
      <formula>AY$24=0</formula>
    </cfRule>
  </conditionalFormatting>
  <conditionalFormatting sqref="AY298:BG298">
    <cfRule type="expression" dxfId="656" priority="31">
      <formula>AND(AY298&lt;&gt;"nvt",AY298&gt;AY297)</formula>
    </cfRule>
    <cfRule type="expression" dxfId="655" priority="32">
      <formula>AND(AY298&lt;&gt;"nvt",AY298&lt;=AY297)</formula>
    </cfRule>
  </conditionalFormatting>
  <conditionalFormatting sqref="AY301:BG301">
    <cfRule type="expression" dxfId="654" priority="30">
      <formula>AND(AY301&lt;&gt;"nvt",AY301&lt;=AY300)</formula>
    </cfRule>
    <cfRule type="expression" dxfId="653" priority="29">
      <formula>AND(AY301&lt;&gt;"nvt",AY301&gt;AY300)</formula>
    </cfRule>
  </conditionalFormatting>
  <conditionalFormatting sqref="AY316:BG318 AY320:BG320">
    <cfRule type="expression" dxfId="652" priority="89">
      <formula>AY$24=0</formula>
    </cfRule>
  </conditionalFormatting>
  <conditionalFormatting sqref="AY322:BG322">
    <cfRule type="expression" dxfId="651" priority="88">
      <formula>AY$24=0</formula>
    </cfRule>
  </conditionalFormatting>
  <conditionalFormatting sqref="BD164:BD165">
    <cfRule type="expression" dxfId="650" priority="79">
      <formula>BD$29=0</formula>
    </cfRule>
  </conditionalFormatting>
  <conditionalFormatting sqref="BD189:BD191">
    <cfRule type="expression" dxfId="649" priority="90">
      <formula>BD$29=0</formula>
    </cfRule>
  </conditionalFormatting>
  <conditionalFormatting sqref="BD224:BD225">
    <cfRule type="expression" dxfId="648" priority="91">
      <formula>BD$29=0</formula>
    </cfRule>
  </conditionalFormatting>
  <conditionalFormatting sqref="BD292">
    <cfRule type="expression" dxfId="647" priority="92">
      <formula>BD292&lt;BD287</formula>
    </cfRule>
  </conditionalFormatting>
  <conditionalFormatting sqref="BH189:BH191 BH193:BH195">
    <cfRule type="expression" dxfId="646" priority="144">
      <formula>AND(BH189&lt;&gt;"-",BH189&gt;BH190)</formula>
    </cfRule>
  </conditionalFormatting>
  <conditionalFormatting sqref="BH230">
    <cfRule type="expression" dxfId="645" priority="154">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9BBFF9E2-0FB7-479C-AEE8-2E46EFE9220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7766C64-FC0A-4361-8D5A-AFFF49801453}"/>
    <dataValidation allowBlank="1" showInputMessage="1" showErrorMessage="1" promptTitle="Energiepakket / energiebehoefte" sqref="O40:BG40" xr:uid="{91339148-004D-445D-B124-79AE3D01F41A}"/>
    <dataValidation type="list" allowBlank="1" showInputMessage="1" showErrorMessage="1" promptTitle="Energiepakket / energiebehoefte" sqref="AY41:BG41 AA41:AI41 AM41:AU41 O41:W41" xr:uid="{EE5B44DF-F955-4AAE-8BD0-5E3F854C5CA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94B991BE-AA49-44BC-960A-3A0E7FF38C5A}"/>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341D60F6-46EB-42DA-A053-85BCD04627DD}"/>
    <dataValidation allowBlank="1" showInputMessage="1" showErrorMessage="1" promptTitle="Standaardwaarde" prompt="Deze standaard geeft aan wanneer een woning goed genoeg is geïsoleerd om aardgasvrij te worden. Hij is ontstaan uit het Klimaatakkoord._x000a_" sqref="D296" xr:uid="{71DBAA7C-72C4-4E8B-9EDF-E6CD81BC3D5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DC01A297-89BD-48FB-A3E5-7A9D8B4A747F}"/>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11763C26-1FA3-4543-AD97-71CCE9156B7F}"/>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56541328-EA35-4F25-87B2-D11ABB310528}"/>
    <dataValidation type="textLength" allowBlank="1" showInputMessage="1" showErrorMessage="1" errorTitle="Maximaal 65 karakters" error="Maximaal 65 karakters." sqref="F4" xr:uid="{0F761681-10A7-4768-86BC-FF659FE38BB9}">
      <formula1>0</formula1>
      <formula2>65</formula2>
    </dataValidation>
    <dataValidation type="textLength" errorStyle="warning" allowBlank="1" showInputMessage="1" showErrorMessage="1" errorTitle="Maximaal 30 karakters" error="Maximaal 30 karakters" sqref="H3" xr:uid="{EB8C4CE8-37A8-435A-8E03-EAC414955E69}">
      <formula1>0</formula1>
      <formula2>40</formula2>
    </dataValidation>
    <dataValidation type="textLength" errorStyle="warning" allowBlank="1" showInputMessage="1" showErrorMessage="1" errorTitle="Maximaal 30 karakters" error="Maximaal 30 karakters" sqref="E3 F4" xr:uid="{76392593-8C33-422E-A07E-4B179A270124}">
      <formula1>0</formula1>
      <formula2>30</formula2>
    </dataValidation>
    <dataValidation type="decimal" allowBlank="1" showInputMessage="1" showErrorMessage="1" errorTitle="Bereik 0%-100%" error="De ingevoerde waarde valt buiten het bereik." sqref="O44:W44 AA44:AI44 AY44:BG44 AM44:AU44" xr:uid="{0D808273-53D7-44D5-91D3-51812A0F1891}">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ACC29C8-1D2B-40AF-BE85-97A827EE3983}"/>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353916F7-A0E4-443E-9268-8476B77CFF1E}"/>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F935D2D5-C611-4D42-8783-FE461E76EA2F}"/>
    <dataValidation allowBlank="1" showInputMessage="1" showErrorMessage="1" promptTitle="Aandeel hernieuwbare energie" prompt="Aandeel hernieuwbare energie._x000a__x000a_RERPrenTOT = EPrenTot / (EPTot + EPrenTot) * 100%_x000a__x000a_Cf. NTA8800 par. 5.3.1.3, formule 5.3" sqref="D292" xr:uid="{6CF80B30-9D5B-4236-9927-C180509FE9DA}"/>
    <dataValidation type="list" allowBlank="1" showInputMessage="1" showErrorMessage="1" sqref="O47:W47 AA47:AI47 AY47:BG47 AM47:AU47" xr:uid="{CC5A0012-A0DF-42B4-8760-05B77C5E5240}">
      <formula1>"elektriciteit,aardgas"</formula1>
    </dataValidation>
    <dataValidation allowBlank="1" showInputMessage="1" showErrorMessage="1" promptTitle="Kookgas" prompt="Gasverbruik voor kookgas." sqref="D68" xr:uid="{71B33942-D66D-46A6-AA31-909F49007E50}"/>
    <dataValidation allowBlank="1" showInputMessage="1" showErrorMessage="1" promptTitle="Hernieuwbare 'primaire' energie" prompt="De totale hernieuwbare 'primaire' energie voor GEBOUWGEBONDEN energiegebruik is berekend cf. NTA8800._x000a__x000a_NTA8800 par. 5.6." sqref="D263" xr:uid="{2AF00065-732B-490D-BA23-4EE5A3A9FA72}"/>
    <dataValidation allowBlank="1" showInputMessage="1" showErrorMessage="1" promptTitle="Energieprestatie indicatoren" prompt="De energieprestatie indicatoren gaan alleen over GEBOUWGEBONDEN energiegebruik en zijn bepaald cf. paragraaf 5.3.1 van NTA 8800._x000a__x000a_" sqref="D281" xr:uid="{AC8CD3A3-D9B6-49C7-956D-D4548061319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3AB3690A-40BB-4B5A-BBF0-3AB70453E850}"/>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ACEA5BFA-D0A7-42BF-BE5C-A2F1932CFF8D}"/>
    <dataValidation allowBlank="1" showInputMessage="1" showErrorMessage="1" promptTitle="Woningen|utiliteitsgebouwen" prompt="De tabel geeft een terugkoppeling van de ingevoerde woningen en utileitsgebouwen in" sqref="D17" xr:uid="{D93897BB-1059-40B8-ADBF-783A4B68E238}"/>
    <dataValidation allowBlank="1" showInputMessage="1" showErrorMessage="1" promptTitle="Resultaten" prompt="De tabel geeft een samenvatting van het primair energiegebruik, de CO2 emissie en het gasverbruik van de locatie(s) als gevolg van energetische keuzes in deze variant." sqref="D10" xr:uid="{C170E332-A6E4-4ED8-B8A9-2489B614A10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6740F587-4A54-4907-AE9A-070A68C951D0}"/>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C6AA699C-B8E5-4390-9549-0BDA7DC57A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A11A4F7D-1535-4486-98E4-406DFA1EC121}"/>
    <dataValidation allowBlank="1" showInputMessage="1" showErrorMessage="1" promptTitle="Keuze preferent toestel" prompt="De keuze van het preferente toestel bepaalt welke forfaitaire waarden voor warmtedistributie, energiedragers en rendementen uit de bibliotheek worden opgehaald." sqref="D82" xr:uid="{C964F1BA-447B-4A4F-A03D-2AA5623074AF}"/>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7466FBDC-CE75-472E-8D50-CDDD3CE34AF7}"/>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C22335BF-CCC6-4444-9C92-C0730C7AA2A6}"/>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03E9F68-9CB6-49FC-B273-7AF14C392807}"/>
    <dataValidation type="decimal" allowBlank="1" showInputMessage="1" showErrorMessage="1" errorTitle="Bereik 0,0-0,5" error="De ingevoerde waarde valt buiten het bereik." sqref="O129:Q129 AA129:AC129 AY129:BA129 AM129:AO129" xr:uid="{4094A445-BB85-46C9-B6EE-B71350BCE0A4}">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708D3099-F1F4-439D-8CE9-0A7D9A72D5E1}">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840F2959-41D4-42E4-8C63-F759A769B421}">
      <formula1>0</formula1>
      <formula2>2</formula2>
    </dataValidation>
    <dataValidation type="decimal" allowBlank="1" showInputMessage="1" showErrorMessage="1" errorTitle="Bereik 0,10-1,00" error="De ingevoerde waarde valt buiten het bereik." sqref="O87 Q87 AA87 AC87 AY87 BA87 AM87 AO87" xr:uid="{5644592B-8426-437F-AA85-873EFE0CE68B}">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C26F4CA6-DCF6-4F53-B8E4-A41CFC48DEF8}">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B36F800D-6D7F-4C1C-9A7D-B7EB83F8C620}">
      <formula1>0</formula1>
    </dataValidation>
    <dataValidation type="decimal" allowBlank="1" showInputMessage="1" showErrorMessage="1" errorTitle="Bereik 0-30" error="De ingevoerde waarde valt buiten het bereik." sqref="O45:W45 AA45:AI45 AY45:BG45 AM45:AU45" xr:uid="{BF09432F-EEC8-459C-98B5-44BB0BD7D72F}">
      <formula1>0</formula1>
      <formula2>30</formula2>
    </dataValidation>
    <dataValidation type="decimal" operator="greaterThanOrEqual" allowBlank="1" showInputMessage="1" showErrorMessage="1" errorTitle="Bereik ≥0" error="De ingevulde waarde valt buiten het bereik." sqref="O25:W25 AA25:AI25 AY25:BG25 AM25:AU25" xr:uid="{46C4833E-DD88-464C-B642-A10F54987ADD}">
      <formula1>0</formula1>
    </dataValidation>
    <dataValidation type="decimal" allowBlank="1" showInputMessage="1" showErrorMessage="1" errorTitle="Bereik 0%-100%" error="De ingevoerde waarde valt buiten het bereik." sqref="AA48:AI48 AY48:BG48 AM48:AU48 O48:W48" xr:uid="{8DFAF050-D1B8-4792-84AC-F4F6BD796B08}">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93B356CF-8535-4BC3-94E6-3FF476B271DF}">
      <formula1>0.1</formula1>
      <formula2>15</formula2>
    </dataValidation>
    <dataValidation type="decimal" allowBlank="1" showInputMessage="1" showErrorMessage="1" errorTitle="Bereik 0%-100%" error="De ingevoerde waarde is buiten het bereik." sqref="AY109:BA109 AA109:AC109 O109:Q109 AM109:AO109" xr:uid="{B63E08C4-1DCA-4CDC-B62B-002FA8D19618}">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249157F3-6B63-4A7C-99E7-5CDA15B9C5E4}"/>
    <dataValidation allowBlank="1" showInputMessage="1" showErrorMessage="1" promptTitle="primaire energie indicator" prompt="Het totale gebouwgebonden primaire (vermeden) energiegebruik (voor woningen ZONDER verlichting) in kWh/m2._x000a__x000a_NTA8800, par. 5.3.1.2_x000a__x000a_" sqref="D291" xr:uid="{D939C4A2-0F5B-4106-9BD2-43EA25D08944}"/>
    <dataValidation allowBlank="1" showInputMessage="1" showErrorMessage="1" promptTitle="energiebehoefte-indicator" prompt="Warmtebehoefte ruimteverwarming + koudebehoefte voor koeling, berekend met ventilatiesysteem C1, in kWh/m2._x000a__x000a_NTA8800, par. 5.3.1.1_x000a__x000a_" sqref="D290" xr:uid="{2C25C5AB-CBDA-4F87-A2FB-59F6B36AB0D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6895B00E-F198-4AF8-A04B-C82F1E789FBD}"/>
    <dataValidation allowBlank="1" showInputMessage="1" showErrorMessage="1" promptTitle="BENG eisen 2021" prompt="De BENG eisen zijn overgenomen van:_x000a__x000a_https://zoek.officielebekendmakingen.nl/stb-2019-501.html_x000a__x000a_" sqref="D284" xr:uid="{30F7BF5C-1948-406B-B0FD-FC018D385279}"/>
    <dataValidation allowBlank="1" showInputMessage="1" showErrorMessage="1" promptTitle="Energiegebruik per energiepost" prompt="Per deellocatie is de energiebehoefte van alle woningen en gebouwen per energiepost gesommeerd." sqref="D78" xr:uid="{2AB3346E-3FEF-41B3-B257-334325429F63}"/>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421B2F7D-D53C-4703-8075-5BC1A17117B3}"/>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AB1E6634-8405-486B-ABF7-F8F61E0CF4E2}"/>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65D6088B-2ABB-4DCE-A71D-A8EBC10901DC}"/>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76632FC4-44FD-431D-994E-4CFDDEF84B51}"/>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A483A452-251E-44E0-9D4D-E8118186E32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D82B3589-EF45-4D20-BB87-65DB31623EC0}"/>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2AC2488B-49D9-4E8A-B2FE-0F084597A2D5}"/>
    <dataValidation allowBlank="1" showInputMessage="1" showErrorMessage="1" promptTitle="Aandeel hernieuwb. prim energie" prompt="Aandeel hernieuwbare energie._x000a__x000a_RERPrenTOT = EPrenTot / (EPTot + EPrenTot) * 100%_x000a__x000a_Cf. NTA8800 par. 5.3.1.3, formule 5.3" sqref="D278" xr:uid="{FB28DD0C-1CA6-42C0-AF5D-ACB588E1DD2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BA7D4504-FA42-4B47-AE3E-E4A676F4C640}"/>
    <dataValidation allowBlank="1" showInputMessage="1" showErrorMessage="1" promptTitle="Totaal hernieuwbare prim energie" prompt="Hernieuwbare 'primaire' energie van de woning of het gebouw." sqref="D276" xr:uid="{11759F9A-3690-4A72-894A-87607A9C7C1A}"/>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B4C7C46-1EAA-4F49-9269-E30319A69A0C}"/>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31D63025-B2CD-4146-99A6-91074488597F}"/>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74608D26-70C6-4DA5-81B2-7107935AE1EF}"/>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605DBBB2-28AE-4FB2-BF29-5478CFFD4E5B}"/>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C96925A6-414C-44EB-A58C-271A9C6139B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626B7186-A861-4E69-96F2-78D10CE69DE6}"/>
    <dataValidation allowBlank="1" showInputMessage="1" showErrorMessage="1" promptTitle="Vermogen verwarming &amp; koeling" prompt="Een indicatie van het verwarmings- en koelvermogen op basis van formules NTA8800. Zie 'bibliotheek' voor meer details." sqref="D99" xr:uid="{C7FCF5DC-1C61-42AB-978D-197ECFFAF681}"/>
    <dataValidation type="list" allowBlank="1" showInputMessage="1" showErrorMessage="1" sqref="O46:W46 AA46:AI46 AY46:BG46 AM46:AU46" xr:uid="{57B017CC-FE1C-49EE-A9F0-7F7291C40A44}">
      <formula1>verlichtingsregeling_namen</formula1>
    </dataValidation>
    <dataValidation type="list" allowBlank="1" showInputMessage="1" showErrorMessage="1" sqref="O43:W43 AA43:AI43 AY43:BG43 AM43:AU43" xr:uid="{95F081F3-0A9A-4B96-8A0D-95C6CA2554A8}">
      <formula1>ventilatoren_typen</formula1>
    </dataValidation>
    <dataValidation type="list" allowBlank="1" showInputMessage="1" showErrorMessage="1" sqref="O42:W42 AY42:BG42 AA42:AI42 AM42:AU42" xr:uid="{667112FE-A51C-4DCC-93F3-87D4076E6AF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444C0C7D-7EDE-4489-88DE-EF29A4668D9F}"/>
    <dataValidation type="list" allowBlank="1" showInputMessage="1" showErrorMessage="1" errorTitle="Toestel RV" error="Kies een beschikbaar toestel." sqref="Q90 AA90 AC90 AM90 AO90 AY90 BA90 O90" xr:uid="{F86D2C44-FC6D-4BA3-8418-2C73EAEA750A}">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031B6C15-7503-4E4F-B200-7B8A693079CF}"/>
    <dataValidation allowBlank="1" showInputMessage="1" showErrorMessage="1" promptTitle="Warmtebehoefte warmtapwater" prompt="De energiebehoefte voor warmtapwatergebruik wordt berekend op basis van rekenregels in NTA8800 (paragraaf 13.2)." sqref="D65" xr:uid="{D90C9AB8-602E-4D55-87BA-9CF6CBF8D581}"/>
    <dataValidation allowBlank="1" showInputMessage="1" showErrorMessage="1" promptTitle="Gegevensfilter en navigatie" prompt="&lt;-_x000a_Het gegevensfilter biedt de mogelijkheid om (delen van) tabellen in de UMGO te filteren._x000a__x000a_-&gt;_x000a_Navigatieknoppen naar andere tabbladen." sqref="D8" xr:uid="{43783DBD-9FB0-4964-893D-066670D0F87D}"/>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69F16AE2-2EA6-40F4-AB69-7066A0957707}"/>
    <dataValidation type="list" allowBlank="1" showInputMessage="1" showErrorMessage="1" sqref="Q83 AC83 BA83 AO83" xr:uid="{76A4A7E3-705C-4BAE-924C-708B750DB3E1}">
      <formula1>toestellen_TAP_invoer</formula1>
    </dataValidation>
    <dataValidation type="list" allowBlank="1" showInputMessage="1" showErrorMessage="1" sqref="P83 AB83 AZ83 AN83" xr:uid="{5F738352-7DC1-4940-A44E-182EF3471BA8}">
      <formula1>toestellen_KOEL_invoer</formula1>
    </dataValidation>
    <dataValidation type="list" allowBlank="1" showInputMessage="1" showErrorMessage="1" sqref="AY83" xr:uid="{19093799-451E-4BC1-8969-44DB962D5426}">
      <formula1>toestellen_RV_invoer</formula1>
    </dataValidation>
    <dataValidation type="list" allowBlank="1" showInputMessage="1" showErrorMessage="1" sqref="F5" xr:uid="{E2121F56-5065-4539-B494-A9A6F402A3AD}">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8AE2E3F-27AE-4129-B94F-120C6993C195}"/>
    <dataValidation allowBlank="1" showInputMessage="1" showErrorMessage="1" promptTitle="Primair energiegebruik" prompt="De Uniforme Maatlat rekent op onderwaarde. De EPG rekent echter op bovenwaarde. De berekende primaire energiebruiken in de EPG zijn daarom hoger." sqref="D162" xr:uid="{655AB50C-97C1-47F8-B327-84EC6887EA5E}"/>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F0605935-70C7-4C02-AFC5-C930CA5DEE69}"/>
    <dataValidation type="whole" allowBlank="1" showInputMessage="1" showErrorMessage="1" sqref="AN142:AO142 AN145:AO146 AB145:AC146 P145:Q146 AB142:AC142 AZ145:BA145" xr:uid="{B2F324C6-03BE-40D9-90B2-CE5471448257}">
      <formula1>0</formula1>
      <formula2>1</formula2>
    </dataValidation>
    <dataValidation type="decimal" allowBlank="1" showInputMessage="1" showErrorMessage="1" sqref="AM142 AM145:AM146 AA145:AA146 O145:O146 AA142 AY145" xr:uid="{511DF376-7F92-49A0-B5FF-E904B314A68A}">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0964A47D-6E9F-4597-887F-4ACEDDA8BBBA}"/>
    <dataValidation allowBlank="1" showInputMessage="1" showErrorMessage="1" promptTitle="Opwekkingsrendement" prompt="Binnen de Uniforme Maatlat wordt het opwekkingsrendement op bovenwaarde gebruikt." sqref="D111" xr:uid="{00257B81-A0BD-46DB-B10E-024C44250847}"/>
    <dataValidation allowBlank="1" showInputMessage="1" showErrorMessage="1" promptTitle="Forfaitaire waarden PV" prompt="Forfaitaire waarde voor opbrengst van PV: 875 kWh/kWp._x000a_" sqref="D171" xr:uid="{B3D8B0BE-26DF-44D9-A1D7-0DEE2189859A}"/>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6F2EB58E-0A4D-4890-A420-32A16B001645}"/>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ABE36DE2-D162-4B8E-92CF-8899B524D020}"/>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BC670102-E690-477E-A114-070C977D9E62}"/>
    <dataValidation allowBlank="1" showInputMessage="1" showErrorMessage="1" promptTitle="PV" prompt="Opbrengst PV op gevel en dak in kWh per woning | utiliteitsgebouw." sqref="D73" xr:uid="{8451DF5D-5ED3-43DB-86A2-AC2C2B74505F}"/>
    <dataValidation allowBlank="1" showInputMessage="1" showErrorMessage="1" promptTitle="Mobiliteit" prompt="Het geschatte elektriciteitsgebruik voor mobiliteit, bijvoorbeeld door elektrische auto's, kan worden ingevuld in kWh per woning of per utiliteitsgebouw." sqref="D71" xr:uid="{D99868ED-59BF-4F01-9F87-6112E37E0CDA}"/>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C8DA94D3-8992-4AEB-BD1D-0FA7AA55CF24}"/>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BF806697-9FE1-4B20-93BD-8B3DD38D2F49}"/>
    <dataValidation type="list" allowBlank="1" showInputMessage="1" showErrorMessage="1" errorTitle="Toestel RV" error="Kies een beschikbaar toestel." sqref="AA83 O83 AM83" xr:uid="{8D6B6724-2795-4B13-9DD8-A98B23E89B3D}">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413173EF-E6DF-49EF-BC52-BD789EF1AFD9}"/>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2924985C-0519-4ED4-8253-AA79E6D747CC}"/>
    <dataValidation type="list" allowBlank="1" showInputMessage="1" showErrorMessage="1" sqref="AY49:BG49 AA49:AI49 AM49:AU49 O49:W49" xr:uid="{9D3A9810-5409-4881-BB6E-0B15266412E4}">
      <formula1>specifieke_interne_warmtecapaciteit</formula1>
    </dataValidation>
    <dataValidation type="list" showInputMessage="1" showErrorMessage="1" sqref="G61 G63 G289" xr:uid="{B122815B-E00C-454B-80C5-E5025A2BB2DF}">
      <formula1>beschikbare_fitformules_NTA8800</formula1>
    </dataValidation>
  </dataValidations>
  <hyperlinks>
    <hyperlink ref="D284" r:id="rId1" tooltip="verwijzing naar Staatsblad 2019, 501 met BENG-eisen" xr:uid="{2E321D47-3C38-4DF0-8623-6B38982DB3A1}"/>
  </hyperlinks>
  <pageMargins left="0.23622047244094491" right="0.23622047244094491" top="0.74803149606299213" bottom="0.74803149606299213" header="0.31496062992125984" footer="0.31496062992125984"/>
  <pageSetup paperSize="9" scale="25" fitToHeight="0" orientation="landscape" r:id="rId2"/>
  <headerFooter alignWithMargins="0">
    <oddFooter>&amp;L_x000D_&amp;1#&amp;"Calibri"&amp;10&amp;K000000 Intern gebruik</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115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74" id="{7B5C05FA-D6A2-4806-AE9A-FB04C9D51E8A}">
            <xm:f>OR(O$19="",O$24=0,IFERROR(INDEX(bibliotheek!#REF!,MATCH(IF(O$19="",bibliotheek!#REF!,O$42),ventilatiesystemen_namen,0))="A",0))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97A8-1B4B-4746-B640-263DC26EF325}">
  <sheetPr codeName="Blad13"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4</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2" t="str">
        <f>"project: "&amp;IF('woningen|utiliteit'!$F$3="","",'woningen|utiliteit'!$F$3)</f>
        <v xml:space="preserve">project: </v>
      </c>
      <c r="F3" s="1113"/>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4"/>
      <c r="G4" s="1114"/>
      <c r="H4" s="1115"/>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6" t="s">
        <v>94</v>
      </c>
      <c r="C5" s="1116"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6"/>
      <c r="C6" s="1116"/>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6"/>
      <c r="C7" s="1116"/>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25.5">
      <c r="A42" s="652"/>
      <c r="B42" s="492" t="s">
        <v>139</v>
      </c>
      <c r="C42" s="653" t="s">
        <v>125</v>
      </c>
      <c r="D42" s="747"/>
      <c r="E42" s="182" t="s">
        <v>143</v>
      </c>
      <c r="F42" s="182"/>
      <c r="G42" s="182"/>
      <c r="H42" s="183" t="s">
        <v>68</v>
      </c>
      <c r="I42" s="114"/>
      <c r="J42" s="707"/>
      <c r="K42" s="97"/>
      <c r="L42" s="97"/>
      <c r="M42" s="224"/>
      <c r="N42" s="99"/>
      <c r="O42" s="876" t="s">
        <v>1868</v>
      </c>
      <c r="P42" s="876" t="s">
        <v>1868</v>
      </c>
      <c r="Q42" s="876" t="s">
        <v>1868</v>
      </c>
      <c r="R42" s="876" t="s">
        <v>1868</v>
      </c>
      <c r="S42" s="876" t="s">
        <v>1868</v>
      </c>
      <c r="T42" s="876" t="s">
        <v>1868</v>
      </c>
      <c r="U42" s="876" t="s">
        <v>1868</v>
      </c>
      <c r="V42" s="876" t="s">
        <v>1868</v>
      </c>
      <c r="W42" s="876" t="s">
        <v>1868</v>
      </c>
      <c r="X42" s="764"/>
      <c r="Y42" s="224"/>
      <c r="Z42" s="765"/>
      <c r="AA42" s="876" t="s">
        <v>1868</v>
      </c>
      <c r="AB42" s="876" t="s">
        <v>1868</v>
      </c>
      <c r="AC42" s="876" t="s">
        <v>1868</v>
      </c>
      <c r="AD42" s="876" t="s">
        <v>1868</v>
      </c>
      <c r="AE42" s="876" t="s">
        <v>1868</v>
      </c>
      <c r="AF42" s="876" t="s">
        <v>1868</v>
      </c>
      <c r="AG42" s="876" t="s">
        <v>1868</v>
      </c>
      <c r="AH42" s="876" t="s">
        <v>1868</v>
      </c>
      <c r="AI42" s="876" t="s">
        <v>1868</v>
      </c>
      <c r="AJ42" s="764"/>
      <c r="AK42" s="224"/>
      <c r="AL42" s="766"/>
      <c r="AM42" s="876" t="s">
        <v>1868</v>
      </c>
      <c r="AN42" s="876" t="s">
        <v>1868</v>
      </c>
      <c r="AO42" s="876" t="s">
        <v>1868</v>
      </c>
      <c r="AP42" s="876" t="s">
        <v>1868</v>
      </c>
      <c r="AQ42" s="876" t="s">
        <v>1868</v>
      </c>
      <c r="AR42" s="876" t="s">
        <v>1868</v>
      </c>
      <c r="AS42" s="876" t="s">
        <v>1868</v>
      </c>
      <c r="AT42" s="876" t="s">
        <v>1868</v>
      </c>
      <c r="AU42" s="876" t="s">
        <v>1868</v>
      </c>
      <c r="AV42" s="764"/>
      <c r="AW42" s="224"/>
      <c r="AX42" s="766"/>
      <c r="AY42" s="876" t="s">
        <v>1868</v>
      </c>
      <c r="AZ42" s="876" t="s">
        <v>1868</v>
      </c>
      <c r="BA42" s="876" t="s">
        <v>1868</v>
      </c>
      <c r="BB42" s="876" t="s">
        <v>1868</v>
      </c>
      <c r="BC42" s="876" t="s">
        <v>1868</v>
      </c>
      <c r="BD42" s="876" t="s">
        <v>1868</v>
      </c>
      <c r="BE42" s="876" t="s">
        <v>1868</v>
      </c>
      <c r="BF42" s="876" t="s">
        <v>1868</v>
      </c>
      <c r="BG42" s="876" t="s">
        <v>1868</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c r="P45" s="878"/>
      <c r="Q45" s="878"/>
      <c r="R45" s="878"/>
      <c r="S45" s="878"/>
      <c r="T45" s="878"/>
      <c r="U45" s="878"/>
      <c r="V45" s="878"/>
      <c r="W45" s="878"/>
      <c r="X45" s="768"/>
      <c r="Y45" s="282"/>
      <c r="Z45" s="279"/>
      <c r="AA45" s="878"/>
      <c r="AB45" s="878"/>
      <c r="AC45" s="878"/>
      <c r="AD45" s="878"/>
      <c r="AE45" s="878"/>
      <c r="AF45" s="878"/>
      <c r="AG45" s="878"/>
      <c r="AH45" s="878"/>
      <c r="AI45" s="878"/>
      <c r="AJ45" s="768"/>
      <c r="AK45" s="282"/>
      <c r="AL45" s="769"/>
      <c r="AM45" s="878"/>
      <c r="AN45" s="878"/>
      <c r="AO45" s="878"/>
      <c r="AP45" s="878"/>
      <c r="AQ45" s="878"/>
      <c r="AR45" s="878"/>
      <c r="AS45" s="878"/>
      <c r="AT45" s="878"/>
      <c r="AU45" s="878"/>
      <c r="AV45" s="768"/>
      <c r="AW45" s="282"/>
      <c r="AX45" s="769"/>
      <c r="AY45" s="878"/>
      <c r="AZ45" s="878"/>
      <c r="BA45" s="878"/>
      <c r="BB45" s="878"/>
      <c r="BC45" s="878"/>
      <c r="BD45" s="878"/>
      <c r="BE45" s="878"/>
      <c r="BF45" s="878"/>
      <c r="BG45" s="878"/>
      <c r="BH45" s="261"/>
    </row>
    <row r="46" spans="1:60">
      <c r="A46" s="652"/>
      <c r="B46" s="492" t="s">
        <v>139</v>
      </c>
      <c r="C46" s="735" t="s">
        <v>125</v>
      </c>
      <c r="D46" s="747"/>
      <c r="E46" s="182" t="s">
        <v>150</v>
      </c>
      <c r="F46" s="182"/>
      <c r="G46" s="182"/>
      <c r="H46" s="183" t="s">
        <v>68</v>
      </c>
      <c r="I46" s="114"/>
      <c r="J46" s="707"/>
      <c r="K46" s="97"/>
      <c r="L46" s="97"/>
      <c r="M46" s="224"/>
      <c r="N46" s="99"/>
      <c r="O46" s="876"/>
      <c r="P46" s="876"/>
      <c r="Q46" s="876"/>
      <c r="R46" s="876"/>
      <c r="S46" s="876"/>
      <c r="T46" s="876"/>
      <c r="U46" s="876"/>
      <c r="V46" s="876"/>
      <c r="W46" s="876"/>
      <c r="X46" s="764"/>
      <c r="Y46" s="224"/>
      <c r="Z46" s="236"/>
      <c r="AA46" s="876"/>
      <c r="AB46" s="876"/>
      <c r="AC46" s="876"/>
      <c r="AD46" s="876"/>
      <c r="AE46" s="876"/>
      <c r="AF46" s="876"/>
      <c r="AG46" s="876"/>
      <c r="AH46" s="876"/>
      <c r="AI46" s="876"/>
      <c r="AJ46" s="764"/>
      <c r="AK46" s="224"/>
      <c r="AL46" s="766"/>
      <c r="AM46" s="876"/>
      <c r="AN46" s="876"/>
      <c r="AO46" s="876"/>
      <c r="AP46" s="876"/>
      <c r="AQ46" s="876"/>
      <c r="AR46" s="876"/>
      <c r="AS46" s="876"/>
      <c r="AT46" s="876"/>
      <c r="AU46" s="876"/>
      <c r="AV46" s="764"/>
      <c r="AW46" s="224"/>
      <c r="AX46" s="766"/>
      <c r="AY46" s="876"/>
      <c r="AZ46" s="876"/>
      <c r="BA46" s="876"/>
      <c r="BB46" s="876"/>
      <c r="BC46" s="876"/>
      <c r="BD46" s="876"/>
      <c r="BE46" s="876"/>
      <c r="BF46" s="876"/>
      <c r="BG46" s="876"/>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1873</v>
      </c>
      <c r="F49" s="1048"/>
      <c r="G49" s="1048"/>
      <c r="H49" s="1053" t="s">
        <v>1874</v>
      </c>
      <c r="I49" s="210"/>
      <c r="J49" s="238"/>
      <c r="K49" s="90"/>
      <c r="L49" s="90"/>
      <c r="M49" s="238"/>
      <c r="N49" s="105"/>
      <c r="O49" s="1054"/>
      <c r="P49" s="1054"/>
      <c r="Q49" s="1054"/>
      <c r="R49" s="1054"/>
      <c r="S49" s="1054"/>
      <c r="T49" s="1054"/>
      <c r="U49" s="1054"/>
      <c r="V49" s="1054"/>
      <c r="W49" s="1054"/>
      <c r="X49" s="763"/>
      <c r="Y49" s="238"/>
      <c r="Z49" s="236"/>
      <c r="AA49" s="1054"/>
      <c r="AB49" s="1054"/>
      <c r="AC49" s="1054"/>
      <c r="AD49" s="1054"/>
      <c r="AE49" s="1054"/>
      <c r="AF49" s="1054"/>
      <c r="AG49" s="1054"/>
      <c r="AH49" s="1054"/>
      <c r="AI49" s="1054"/>
      <c r="AJ49" s="763"/>
      <c r="AK49" s="238"/>
      <c r="AL49" s="763"/>
      <c r="AM49" s="1054"/>
      <c r="AN49" s="1054"/>
      <c r="AO49" s="1054"/>
      <c r="AP49" s="1054"/>
      <c r="AQ49" s="1054"/>
      <c r="AR49" s="1054"/>
      <c r="AS49" s="1054"/>
      <c r="AT49" s="1054"/>
      <c r="AU49" s="1054"/>
      <c r="AV49" s="763"/>
      <c r="AW49" s="238"/>
      <c r="AX49" s="763"/>
      <c r="AY49" s="1054"/>
      <c r="AZ49" s="1054"/>
      <c r="BA49" s="1054"/>
      <c r="BB49" s="1054"/>
      <c r="BC49" s="1054"/>
      <c r="BD49" s="1054"/>
      <c r="BE49" s="1054"/>
      <c r="BF49" s="1054"/>
      <c r="BG49" s="1054"/>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IF(OR(O$19="",O$24=0,O$40=""),0,IF($G$6=FALSE,1,IF(O55&lt;&gt;"",O55,O56)))</f>
        <v>0</v>
      </c>
      <c r="P54" s="1040">
        <f t="shared" ref="P54:W54" si="52">IF(OR(P$19="",P$24=0,P$40=""),0,IF($G$6=FALSE,1,IF(P55&lt;&gt;"",P55,P56)))</f>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1876</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1876</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232"/>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1876</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bjEiZrc43bwXOBDMv4ER3lf8iWCEyBxZRgBk1WsWjfyXuvibBiWB2Sk5UUNX1vnfB4gdzUxzY7MDA6L5bhD4Aw==" saltValue="FBy7f/PjS7mbBwGP5s14Zg=="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644" priority="72">
      <formula>B16=""</formula>
    </cfRule>
  </conditionalFormatting>
  <conditionalFormatting sqref="B27:C324">
    <cfRule type="expression" dxfId="643" priority="3">
      <formula>B27=""</formula>
    </cfRule>
  </conditionalFormatting>
  <conditionalFormatting sqref="C10">
    <cfRule type="expression" dxfId="642" priority="114">
      <formula>C10=""</formula>
    </cfRule>
  </conditionalFormatting>
  <conditionalFormatting sqref="C12:C26">
    <cfRule type="expression" dxfId="641" priority="73">
      <formula>C12=""</formula>
    </cfRule>
  </conditionalFormatting>
  <conditionalFormatting sqref="E55">
    <cfRule type="expression" dxfId="640" priority="22">
      <formula>$G$6=FALSE</formula>
    </cfRule>
  </conditionalFormatting>
  <conditionalFormatting sqref="E281:J281">
    <cfRule type="expression" dxfId="639" priority="1">
      <formula>$G$6=TRUE</formula>
    </cfRule>
  </conditionalFormatting>
  <conditionalFormatting sqref="F4:F5">
    <cfRule type="expression" dxfId="638" priority="139">
      <formula>F4=""</formula>
    </cfRule>
  </conditionalFormatting>
  <conditionalFormatting sqref="F5">
    <cfRule type="expression" dxfId="637" priority="137">
      <formula>OR($F$5="",ISERROR(MATCH(F5,opwekking_elektriciteit,0))=TRUE)</formula>
    </cfRule>
  </conditionalFormatting>
  <conditionalFormatting sqref="F2:H2">
    <cfRule type="expression" dxfId="636" priority="145">
      <formula>$F$2&lt;&gt;""</formula>
    </cfRule>
  </conditionalFormatting>
  <conditionalFormatting sqref="G61">
    <cfRule type="expression" dxfId="635" priority="12">
      <formula>OR(G61="",ISERROR(MATCH(G61,beschikbare_fitformules_NTA8800,0))=TRUE)</formula>
    </cfRule>
  </conditionalFormatting>
  <conditionalFormatting sqref="G63">
    <cfRule type="expression" dxfId="634" priority="8">
      <formula>OR(G63="",ISERROR(MATCH(G63,beschikbare_fitformules_NTA8800,0))=TRUE)</formula>
    </cfRule>
  </conditionalFormatting>
  <conditionalFormatting sqref="G289">
    <cfRule type="expression" dxfId="633" priority="4">
      <formula>OR(G289="",ISERROR(MATCH(G289,beschikbare_fitformules_NTA8800,0))=TRUE)</formula>
    </cfRule>
  </conditionalFormatting>
  <conditionalFormatting sqref="H3">
    <cfRule type="expression" dxfId="632" priority="2">
      <formula>H3=""</formula>
    </cfRule>
  </conditionalFormatting>
  <conditionalFormatting sqref="J32:J33">
    <cfRule type="cellIs" dxfId="631" priority="120" operator="greaterThan">
      <formula>0</formula>
    </cfRule>
  </conditionalFormatting>
  <conditionalFormatting sqref="J40:J42">
    <cfRule type="expression" dxfId="630" priority="71">
      <formula>J40="OK"</formula>
    </cfRule>
  </conditionalFormatting>
  <conditionalFormatting sqref="J46:J47">
    <cfRule type="expression" dxfId="629" priority="70">
      <formula>J46="OK"</formula>
    </cfRule>
  </conditionalFormatting>
  <conditionalFormatting sqref="J51">
    <cfRule type="cellIs" dxfId="628" priority="68" operator="notEqual">
      <formula>"OK"</formula>
    </cfRule>
  </conditionalFormatting>
  <conditionalFormatting sqref="J83">
    <cfRule type="cellIs" dxfId="627" priority="121" operator="notEqual">
      <formula>"OK"</formula>
    </cfRule>
  </conditionalFormatting>
  <conditionalFormatting sqref="J138">
    <cfRule type="cellIs" dxfId="626" priority="59" operator="equal">
      <formula>0</formula>
    </cfRule>
  </conditionalFormatting>
  <conditionalFormatting sqref="M32:M33">
    <cfRule type="cellIs" dxfId="625" priority="119" operator="greaterThan">
      <formula>0</formula>
    </cfRule>
  </conditionalFormatting>
  <conditionalFormatting sqref="M134:M149 Y134:Y149 AK134:AK149 AW134:AW149">
    <cfRule type="expression" dxfId="624" priority="142">
      <formula>SUM(M$134:M$149)=0</formula>
    </cfRule>
  </conditionalFormatting>
  <conditionalFormatting sqref="M138 Y138 AK138 AW138 J141 M141 Y141 AK141 AW141 J145 M145 Y145 AK145 AW145 J149 M149 Y149 AK149 AW149">
    <cfRule type="cellIs" dxfId="623" priority="63" operator="equal">
      <formula>0</formula>
    </cfRule>
  </conditionalFormatting>
  <conditionalFormatting sqref="O83 AA83 AM83 AY83">
    <cfRule type="expression" dxfId="622" priority="67">
      <formula>OR(AND(O83="",O$24&gt;0),ISERROR(MATCH(O83,toestellen_RV_invoer,0)))</formula>
    </cfRule>
  </conditionalFormatting>
  <conditionalFormatting sqref="O90 Q90 AA90 AC90 AM90 AO90 AY90 BA90">
    <cfRule type="expression" dxfId="621" priority="138">
      <formula>OR(AND(O$78&gt;0,O90=""),AND(O90&lt;&gt;"ja",O90&lt;&gt;"nee",O90&lt;&gt;""))</formula>
    </cfRule>
  </conditionalFormatting>
  <conditionalFormatting sqref="O129 Q129 AA129 AC129 AM129 AO129 AY129 BA129">
    <cfRule type="expression" dxfId="620" priority="152">
      <formula>O$128=0</formula>
    </cfRule>
  </conditionalFormatting>
  <conditionalFormatting sqref="O90:Q91 AA90:AC91 AM90:AO91 AY90:BA91 O86:Q88 AA86:AC88 AM86:AO88 AY86:BA88 O93:Q95 AA93:AC95 AM93:AO95 AY93:BA95 O83:Q84 AA83:AC84 AM83:AO84 AY83:BA84 O97:Q99 AA97:AC99 AM97:AO99 AY97:BA99">
    <cfRule type="expression" dxfId="619" priority="166">
      <formula>O$78=0</formula>
    </cfRule>
    <cfRule type="expression" dxfId="618" priority="165">
      <formula>O$29=0</formula>
    </cfRule>
  </conditionalFormatting>
  <conditionalFormatting sqref="O104:Q104 AA104:AC104 AM104:AO104 AY104:BA104 AA134:AC134 AM134:AO134 AY134:BA134">
    <cfRule type="expression" dxfId="617" priority="134">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616" priority="124">
      <formula>AND(O$78&gt;0,O87="")</formula>
    </cfRule>
  </conditionalFormatting>
  <conditionalFormatting sqref="O134:Q134">
    <cfRule type="expression" dxfId="615" priority="131">
      <formula>O$78=0</formula>
    </cfRule>
  </conditionalFormatting>
  <conditionalFormatting sqref="O135:Q141 AA135:AC141 AM135:AO141 AY135:BA141 O143:Q145 AA143:AC145 AM143:AO145 AY143:BA145 O147:Q149 AA147:AC149 AM147:AO149 AY147:BA149">
    <cfRule type="expression" dxfId="614" priority="58">
      <formula>OR(O$78=0,O$134="geen")</formula>
    </cfRule>
  </conditionalFormatting>
  <conditionalFormatting sqref="O140:Q140 AA140:AC140 AM140:AO140 AY140:BA140 O144:Q144 AA144:AC144 AM144:AO144 AY144:BA144 O148:Q148 AA148:AC148 AM148:AO148 AY148:BA148">
    <cfRule type="expression" dxfId="613" priority="163">
      <formula>AND(O$78&gt;0,O$134&lt;&gt;"geen",O140="")</formula>
    </cfRule>
  </conditionalFormatting>
  <conditionalFormatting sqref="O154:Q156 AA154:AC156 AM154:AO156 AY154:BA156">
    <cfRule type="expression" dxfId="612" priority="168">
      <formula>OR(O$29=0,O$126=0)</formula>
    </cfRule>
  </conditionalFormatting>
  <conditionalFormatting sqref="O155:Q155 AA155:AC155 AM155:AO155 AY155:BA155">
    <cfRule type="expression" dxfId="611" priority="133">
      <formula>AND(O$126&gt;0,O155="")</formula>
    </cfRule>
  </conditionalFormatting>
  <conditionalFormatting sqref="O170:T172">
    <cfRule type="expression" dxfId="610" priority="104">
      <formula>O$29=0</formula>
    </cfRule>
  </conditionalFormatting>
  <conditionalFormatting sqref="O200:T205">
    <cfRule type="expression" dxfId="609" priority="103">
      <formula>O$29=0</formula>
    </cfRule>
  </conditionalFormatting>
  <conditionalFormatting sqref="O212:T219">
    <cfRule type="expression" dxfId="608" priority="101">
      <formula>O$29=0</formula>
    </cfRule>
  </conditionalFormatting>
  <conditionalFormatting sqref="O17:W17">
    <cfRule type="expression" dxfId="607" priority="106">
      <formula>AND(O17&lt;&gt;"",ISERROR(MATCH(O17,woningen_gebouwen_namen,0))=TRUE)</formula>
    </cfRule>
  </conditionalFormatting>
  <conditionalFormatting sqref="O19:W19 AA19:AI19 AM19:AU19 AY19:BG19">
    <cfRule type="expression" dxfId="606" priority="118">
      <formula>O19=""</formula>
    </cfRule>
  </conditionalFormatting>
  <conditionalFormatting sqref="O20:W21 AM20:AU21 AY20:BG21">
    <cfRule type="expression" dxfId="605" priority="117">
      <formula>O$19=""</formula>
    </cfRule>
  </conditionalFormatting>
  <conditionalFormatting sqref="O22:W22">
    <cfRule type="expression" dxfId="604" priority="115">
      <formula>OR(O$19="",AND(O$21&lt;&gt;woning,O$21&lt;&gt;woongebouw))</formula>
    </cfRule>
  </conditionalFormatting>
  <conditionalFormatting sqref="O24:W25 AA24:BG25">
    <cfRule type="expression" dxfId="603" priority="93">
      <formula>O$19=""</formula>
    </cfRule>
  </conditionalFormatting>
  <conditionalFormatting sqref="O25:W25 AM25:AU25 AY25:BG25">
    <cfRule type="expression" dxfId="602" priority="149">
      <formula>AND(O$19&lt;&gt;"",O25="")</formula>
    </cfRule>
    <cfRule type="expression" dxfId="601" priority="148">
      <formula>AND(O$19="",O25&gt;0)</formula>
    </cfRule>
  </conditionalFormatting>
  <conditionalFormatting sqref="O26:W29 O31:W35">
    <cfRule type="expression" dxfId="600" priority="23">
      <formula>OR(O$19="",O$24=0)</formula>
    </cfRule>
  </conditionalFormatting>
  <conditionalFormatting sqref="O40:W48 O51:W51 O53:W56 O59:W59 O71:W71 O73:W73">
    <cfRule type="expression" dxfId="599" priority="61">
      <formula>OR(O$19="",O$24=0)</formula>
    </cfRule>
  </conditionalFormatting>
  <conditionalFormatting sqref="O41:W41 AA41:AI41 AM41:AU41 AY41:BG41">
    <cfRule type="expression" dxfId="598" priority="24">
      <formula>AND(O$19&lt;&gt;"",O$24&gt;0,O41&lt;&gt;"",ISERROR(MATCH(O41,isolatiepakketten_gebouwschil_namen,0))=TRUE)</formula>
    </cfRule>
  </conditionalFormatting>
  <conditionalFormatting sqref="O42:W42 AA42:AI42 AM42:AU42 AY42:BG42">
    <cfRule type="expression" dxfId="597" priority="150">
      <formula>OR(AND(O$19&lt;&gt;"",O$24&gt;0,O42=""),ISERROR(MATCH(O42,ventilatiesystemen_namen,0))=TRUE)</formula>
    </cfRule>
  </conditionalFormatting>
  <conditionalFormatting sqref="O43:W43 AA43:AI43 AM43:AU43 AY43:BG43">
    <cfRule type="expression" dxfId="596" priority="151">
      <formula>OR(AND(O$19&lt;&gt;"",O$24&gt;0,O43=""),ISERROR(MATCH(O43,ventilatoren_typen,0))=TRUE)</formula>
    </cfRule>
  </conditionalFormatting>
  <conditionalFormatting sqref="O44:W44 AA44:AI44 AM44:AU44 AY44:BG44">
    <cfRule type="expression" dxfId="594" priority="153">
      <formula>OR(O44&lt;0.5,O44&gt;2,AND(O$19&lt;&gt;"",O44=""))</formula>
    </cfRule>
  </conditionalFormatting>
  <conditionalFormatting sqref="O45:W46 AA45:AI46 AM45:AU46 AY45:BG46">
    <cfRule type="expression" dxfId="593" priority="155">
      <formula>AND(O$19&lt;&gt;"",O$28&gt;0,O45="")</formula>
    </cfRule>
    <cfRule type="expression" dxfId="592" priority="69">
      <formula>OR(O$19="",O$28=0)</formula>
    </cfRule>
  </conditionalFormatting>
  <conditionalFormatting sqref="O46:W46 AA46:AI46 AM46:AU46 AY46:BG46">
    <cfRule type="expression" dxfId="591" priority="157">
      <formula>AND(O46&lt;&gt;"",ISERROR(MATCH(O46,verlichtingsregeling_namen,0))=TRUE)</formula>
    </cfRule>
  </conditionalFormatting>
  <conditionalFormatting sqref="O47:W47 AA47:AI47 AM47:AU47 AY47:BG47">
    <cfRule type="expression" dxfId="590" priority="158">
      <formula>OR(AND(O$19&lt;&gt;"",O$24&gt;0,O47=""),AND(O47&lt;&gt;elektriciteit,O47&lt;&gt;aardgas))</formula>
    </cfRule>
    <cfRule type="expression" dxfId="589" priority="81">
      <formula>OR(O$19="",O$26+O$27=0,AND(O$21&lt;&gt;woning,O$21&lt;&gt;woongebouw))</formula>
    </cfRule>
  </conditionalFormatting>
  <conditionalFormatting sqref="O48:W48 AA48:AI48 AM48:AU48 AY48:BG48">
    <cfRule type="expression" dxfId="588" priority="159">
      <formula>OR(O48&lt;0,O48&gt;1,AND(O$19&lt;&gt;"",O48=""))</formula>
    </cfRule>
  </conditionalFormatting>
  <conditionalFormatting sqref="O49:W49 AA49:AI49 AM49:AU49 AY49:BG49">
    <cfRule type="expression" dxfId="587" priority="17">
      <formula>AND(O49&lt;&gt;"",ISERROR(MATCH(O49,specifieke_interne_warmtecapaciteit,0))=TRUE)</formula>
    </cfRule>
  </conditionalFormatting>
  <conditionalFormatting sqref="O51:W51 AA51:AI51 AM51:AU51 AY51:BG51">
    <cfRule type="expression" dxfId="586" priority="80">
      <formula>$O19=""</formula>
    </cfRule>
    <cfRule type="cellIs" dxfId="585" priority="162" operator="equal">
      <formula>"nee"</formula>
    </cfRule>
  </conditionalFormatting>
  <conditionalFormatting sqref="O54:W54 AA54:AI54 AM54:AU54 AY54:BG54">
    <cfRule type="cellIs" dxfId="584" priority="28" operator="equal">
      <formula>0</formula>
    </cfRule>
  </conditionalFormatting>
  <conditionalFormatting sqref="O55:W55 AA55:AI55 AM55:AU55 AY55:BG55">
    <cfRule type="expression" dxfId="583" priority="171">
      <formula>AND(O$24&gt;0,O$55&gt;0,O$55&lt;&gt;O$56,$G$6=TRUE)</formula>
    </cfRule>
    <cfRule type="expression" dxfId="582" priority="170">
      <formula>AND(O$24&gt;0,O55="",$G$6=TRUE)</formula>
    </cfRule>
    <cfRule type="expression" dxfId="581" priority="169">
      <formula>O$24=0</formula>
    </cfRule>
  </conditionalFormatting>
  <conditionalFormatting sqref="O61:W69">
    <cfRule type="expression" dxfId="580" priority="9">
      <formula>OR(O$19="",O$24=0)</formula>
    </cfRule>
  </conditionalFormatting>
  <conditionalFormatting sqref="O73:W73">
    <cfRule type="expression" dxfId="579" priority="62">
      <formula>AND(O$19&lt;&gt;"",O73="")</formula>
    </cfRule>
  </conditionalFormatting>
  <conditionalFormatting sqref="O78:W78 AA78:AI78 AM78:AU78 AY78:BG78">
    <cfRule type="expression" dxfId="578" priority="132">
      <formula>O$29=0</formula>
    </cfRule>
  </conditionalFormatting>
  <conditionalFormatting sqref="O230:W230 AM230:AU230 AY230:BG230 AM237:AU239 AY237:BG239 AM254:AU256 AM258:AU258">
    <cfRule type="expression" dxfId="577" priority="126">
      <formula>O$24=0</formula>
    </cfRule>
  </conditionalFormatting>
  <conditionalFormatting sqref="O289:W289">
    <cfRule type="expression" dxfId="576" priority="5">
      <formula>OR(O$19="",O$24=0)</formula>
    </cfRule>
  </conditionalFormatting>
  <conditionalFormatting sqref="O290:W291">
    <cfRule type="expression" dxfId="575" priority="143">
      <formula>O290&gt;O285</formula>
    </cfRule>
  </conditionalFormatting>
  <conditionalFormatting sqref="O292:W292 AA292:AI292 AM292:AU292 AY292:BG292">
    <cfRule type="expression" dxfId="574" priority="20">
      <formula>$O$292&lt;$O$287</formula>
    </cfRule>
  </conditionalFormatting>
  <conditionalFormatting sqref="O295:W295 AA295:AI295 AM295:AU295 AY295:BG295">
    <cfRule type="expression" dxfId="573" priority="174">
      <formula>O$24=0</formula>
    </cfRule>
  </conditionalFormatting>
  <conditionalFormatting sqref="O295:W295 AY295:BG295 AA295:AI295 AM295:AU295">
    <cfRule type="expression" dxfId="572" priority="173">
      <formula>#REF!&lt;O$291</formula>
    </cfRule>
  </conditionalFormatting>
  <conditionalFormatting sqref="O297:W298 O300:W301 O290:W292 O232:W232 O244:W252 O254:W256 O258:W258 O260:W260 O265:W265 O267:W272 O274:W274 O276:W276 O278:W278 O285:W287 O294:W295 O306:W314 O316:W318 O320:W320 O322:W322">
    <cfRule type="expression" dxfId="571" priority="83">
      <formula>O$24=0</formula>
    </cfRule>
  </conditionalFormatting>
  <conditionalFormatting sqref="O298:W298">
    <cfRule type="expression" dxfId="570" priority="44">
      <formula>AND(O298&lt;&gt;"nvt",O298&gt;O297)</formula>
    </cfRule>
    <cfRule type="expression" dxfId="569" priority="45">
      <formula>AND(O298&lt;&gt;"nvt",O298&lt;=O297)</formula>
    </cfRule>
  </conditionalFormatting>
  <conditionalFormatting sqref="O301:W301">
    <cfRule type="expression" dxfId="568" priority="42">
      <formula>AND(O301&lt;&gt;"nvt",O301&gt;O300)</formula>
    </cfRule>
    <cfRule type="expression" dxfId="567" priority="43">
      <formula>AND(O301&lt;&gt;"nvt",O301&lt;=O300)</formula>
    </cfRule>
  </conditionalFormatting>
  <conditionalFormatting sqref="O278:X278 M278 AJ278 AV278 BH278">
    <cfRule type="expression" dxfId="566" priority="147">
      <formula>#REF!&gt;M278</formula>
    </cfRule>
  </conditionalFormatting>
  <conditionalFormatting sqref="O40:BG41">
    <cfRule type="expression" dxfId="565" priority="21">
      <formula>OR(O$19="",O$24=0)</formula>
    </cfRule>
  </conditionalFormatting>
  <conditionalFormatting sqref="P83 AB83 AN83 AZ83">
    <cfRule type="expression" dxfId="564" priority="122">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563" priority="51">
      <formula>P$83="geen"</formula>
    </cfRule>
  </conditionalFormatting>
  <conditionalFormatting sqref="Q83 AC83 AO83 BA83">
    <cfRule type="expression" dxfId="562" priority="123">
      <formula>OR(AND(Q83="",Q$24&gt;0),ISERROR(MATCH(Q83,toestellen_TAP_invoer,0)))</formula>
    </cfRule>
  </conditionalFormatting>
  <conditionalFormatting sqref="Q90 AC90 AO90 BA90">
    <cfRule type="expression" dxfId="561" priority="167">
      <formula>OR(AND(Q$24&gt;0,Q$78&gt;0,Q90=""),AND(Q90&lt;&gt;"ja",Q90&lt;&gt;"nee",Q90&lt;&gt;""))</formula>
    </cfRule>
  </conditionalFormatting>
  <conditionalFormatting sqref="T158:T159">
    <cfRule type="expression" dxfId="560" priority="76">
      <formula>T$29=0</formula>
    </cfRule>
  </conditionalFormatting>
  <conditionalFormatting sqref="T161:T162">
    <cfRule type="expression" dxfId="559" priority="75">
      <formula>T$29=0</formula>
    </cfRule>
  </conditionalFormatting>
  <conditionalFormatting sqref="T164">
    <cfRule type="expression" dxfId="558" priority="74">
      <formula>T$29=0</formula>
    </cfRule>
  </conditionalFormatting>
  <conditionalFormatting sqref="T193">
    <cfRule type="expression" dxfId="557" priority="77">
      <formula>T$29=0</formula>
    </cfRule>
  </conditionalFormatting>
  <conditionalFormatting sqref="T207">
    <cfRule type="expression" dxfId="556" priority="105">
      <formula>T$29=0</formula>
    </cfRule>
  </conditionalFormatting>
  <conditionalFormatting sqref="T224:T225">
    <cfRule type="expression" dxfId="555" priority="102">
      <formula>T$29=0</formula>
    </cfRule>
  </conditionalFormatting>
  <conditionalFormatting sqref="T189:W191">
    <cfRule type="expression" dxfId="554" priority="78">
      <formula>T$29=0</formula>
    </cfRule>
  </conditionalFormatting>
  <conditionalFormatting sqref="U157:W159">
    <cfRule type="expression" dxfId="553" priority="130">
      <formula>U$29=0</formula>
    </cfRule>
  </conditionalFormatting>
  <conditionalFormatting sqref="AA190">
    <cfRule type="expression" dxfId="552" priority="111">
      <formula>AA$29=0</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551" priority="60">
      <formula>OR(O$78=0,O$104="geen")</formula>
    </cfRule>
  </conditionalFormatting>
  <conditionalFormatting sqref="AA212:AC212">
    <cfRule type="expression" dxfId="550" priority="50">
      <formula>AA$29=0</formula>
    </cfRule>
  </conditionalFormatting>
  <conditionalFormatting sqref="AA189:AE189">
    <cfRule type="expression" dxfId="549" priority="113">
      <formula>AA$29=0</formula>
    </cfRule>
  </conditionalFormatting>
  <conditionalFormatting sqref="AA219:AE219">
    <cfRule type="expression" dxfId="548" priority="108">
      <formula>AA$29=0</formula>
    </cfRule>
  </conditionalFormatting>
  <conditionalFormatting sqref="AA20:AI21">
    <cfRule type="expression" dxfId="547" priority="116">
      <formula>AA$19=""</formula>
    </cfRule>
  </conditionalFormatting>
  <conditionalFormatting sqref="AA22:AI22">
    <cfRule type="expression" dxfId="546" priority="66">
      <formula>OR(AA$19="",AND(AA$21&lt;&gt;woning,AA$21&lt;&gt;woongebouw))</formula>
    </cfRule>
  </conditionalFormatting>
  <conditionalFormatting sqref="AA25:AI25">
    <cfRule type="expression" dxfId="545" priority="160">
      <formula>AND(AA$19="",AA25&gt;0)</formula>
    </cfRule>
    <cfRule type="expression" dxfId="544" priority="161">
      <formula>AND(AA$19&lt;&gt;"",AA25="")</formula>
    </cfRule>
  </conditionalFormatting>
  <conditionalFormatting sqref="AA26:AI29 AM26:AU29 AY26:BG29 AA31:AI35 AM31:AU35 AY31:BG35">
    <cfRule type="expression" dxfId="543" priority="146">
      <formula>OR(AA$19="",AA$24=0)</formula>
    </cfRule>
  </conditionalFormatting>
  <conditionalFormatting sqref="AA42:AI49 AM42:AU49 AY42:BG49 O49:W49">
    <cfRule type="expression" dxfId="542" priority="16">
      <formula>OR(O$19="",O$24=0)</formula>
    </cfRule>
  </conditionalFormatting>
  <conditionalFormatting sqref="AA61:AI69 AM61:AU69 AY61:BG69">
    <cfRule type="expression" dxfId="541" priority="10">
      <formula>OR(AA$19="",AA$24=0)</formula>
    </cfRule>
  </conditionalFormatting>
  <conditionalFormatting sqref="AA71:AI71 AM71:AU71 AY71:BG71 O71:W71">
    <cfRule type="expression" dxfId="540" priority="136">
      <formula>AND(O$19&lt;&gt;"",O71="")</formula>
    </cfRule>
  </conditionalFormatting>
  <conditionalFormatting sqref="AA71:AI71 AM71:AU71 AY71:BG71">
    <cfRule type="expression" dxfId="539" priority="135">
      <formula>OR(AA$19="",AA$24=0)</formula>
    </cfRule>
  </conditionalFormatting>
  <conditionalFormatting sqref="AA73:AI73">
    <cfRule type="expression" dxfId="538" priority="57">
      <formula>AND(AA$19&lt;&gt;"",AA73="")</formula>
    </cfRule>
    <cfRule type="expression" dxfId="537" priority="56">
      <formula>OR(AA$19="",AA$24=0)</formula>
    </cfRule>
  </conditionalFormatting>
  <conditionalFormatting sqref="AA289:AI289 AM289:AU289 AY289:BG289">
    <cfRule type="expression" dxfId="536" priority="6">
      <formula>OR(AA$19="",AA$24=0)</formula>
    </cfRule>
  </conditionalFormatting>
  <conditionalFormatting sqref="AA290:AI292 AA230:AI230 AA232:AI232 AA237:AI240 AA244:AI252 AK244:AK252 AM244:AU252 AW244:AW252 AY244:BG252 AA254:AI256 AA258:AI258 AA260:AI260 AA265:AI265 AA267:AI272 AA274:AI274 AA276:AI276 AA278:AI278 AA283:AI283 AA285:AI287 AA294:AI294">
    <cfRule type="expression" dxfId="535" priority="27">
      <formula>AA$24=0</formula>
    </cfRule>
  </conditionalFormatting>
  <conditionalFormatting sqref="AA296:AI296">
    <cfRule type="expression" dxfId="534" priority="47">
      <formula>AA296&lt;AA291</formula>
    </cfRule>
  </conditionalFormatting>
  <conditionalFormatting sqref="AA298:AI298">
    <cfRule type="expression" dxfId="533" priority="41">
      <formula>AND(AA298&lt;&gt;"nvt",AA298&lt;=AA297)</formula>
    </cfRule>
    <cfRule type="expression" dxfId="532" priority="40">
      <formula>AND(AA298&lt;&gt;"nvt",AA298&gt;AA297)</formula>
    </cfRule>
  </conditionalFormatting>
  <conditionalFormatting sqref="AA301:AI301">
    <cfRule type="expression" dxfId="531" priority="39">
      <formula>AND(AA301&lt;&gt;"nvt",AA301&lt;=AA300)</formula>
    </cfRule>
    <cfRule type="expression" dxfId="530" priority="38">
      <formula>AND(AA301&lt;&gt;"nvt",AA301&gt;AA300)</formula>
    </cfRule>
  </conditionalFormatting>
  <conditionalFormatting sqref="AA306:AI314 AA316:AI318 AA320:AI320 AA322:AI322">
    <cfRule type="expression" dxfId="529" priority="85">
      <formula>AA$24=0</formula>
    </cfRule>
  </conditionalFormatting>
  <conditionalFormatting sqref="AA290:AU291">
    <cfRule type="expression" dxfId="528" priority="141">
      <formula>AA290&gt;AA285</formula>
    </cfRule>
  </conditionalFormatting>
  <conditionalFormatting sqref="AA299:AX299">
    <cfRule type="expression" dxfId="527" priority="33">
      <formula>AA299&lt;AA294</formula>
    </cfRule>
  </conditionalFormatting>
  <conditionalFormatting sqref="AF189:AF191">
    <cfRule type="expression" dxfId="526" priority="99">
      <formula>AF$29=0</formula>
    </cfRule>
  </conditionalFormatting>
  <conditionalFormatting sqref="AF224:AF225">
    <cfRule type="expression" dxfId="525" priority="100">
      <formula>AF$29=0</formula>
    </cfRule>
  </conditionalFormatting>
  <conditionalFormatting sqref="AF212:AI219 AK212:AK219 AM212:AU219 AW212:AW219 AY212:BD219">
    <cfRule type="expression" dxfId="524" priority="87">
      <formula>AF$29=0</formula>
    </cfRule>
  </conditionalFormatting>
  <conditionalFormatting sqref="AM190">
    <cfRule type="expression" dxfId="523" priority="110">
      <formula>AM$29=0</formula>
    </cfRule>
  </conditionalFormatting>
  <conditionalFormatting sqref="AM212:AO212">
    <cfRule type="expression" dxfId="522" priority="49">
      <formula>AM$29=0</formula>
    </cfRule>
  </conditionalFormatting>
  <conditionalFormatting sqref="AM22:AU22">
    <cfRule type="expression" dxfId="521" priority="65">
      <formula>OR(AM$19="",AND(AM$21&lt;&gt;woning,AM$21&lt;&gt;woongebouw))</formula>
    </cfRule>
  </conditionalFormatting>
  <conditionalFormatting sqref="AM73:AU73">
    <cfRule type="expression" dxfId="520" priority="55">
      <formula>AND(AM$19&lt;&gt;"",AM73="")</formula>
    </cfRule>
    <cfRule type="expression" dxfId="519" priority="54">
      <formula>OR(AM$19="",AM$24=0)</formula>
    </cfRule>
  </conditionalFormatting>
  <conditionalFormatting sqref="AM232:AU232">
    <cfRule type="expression" dxfId="518" priority="94">
      <formula>AM$24=0</formula>
    </cfRule>
  </conditionalFormatting>
  <conditionalFormatting sqref="AM260:AU260">
    <cfRule type="expression" dxfId="517" priority="95">
      <formula>AM$24=0</formula>
    </cfRule>
  </conditionalFormatting>
  <conditionalFormatting sqref="AM294:AU294">
    <cfRule type="expression" dxfId="516" priority="26">
      <formula>AM$24=0</formula>
    </cfRule>
  </conditionalFormatting>
  <conditionalFormatting sqref="AM296:AU296">
    <cfRule type="expression" dxfId="515" priority="46">
      <formula>AM296&lt;AM291</formula>
    </cfRule>
  </conditionalFormatting>
  <conditionalFormatting sqref="AM298:AU298">
    <cfRule type="expression" dxfId="514" priority="36">
      <formula>AND(AM298&lt;&gt;"nvt",AM298&gt;AM297)</formula>
    </cfRule>
    <cfRule type="expression" dxfId="513" priority="37">
      <formula>AND(AM298&lt;&gt;"nvt",AM298&lt;=AM297)</formula>
    </cfRule>
  </conditionalFormatting>
  <conditionalFormatting sqref="AM301:AU301">
    <cfRule type="expression" dxfId="512" priority="34">
      <formula>AND(AM301&lt;&gt;"nvt",AM301&gt;AM300)</formula>
    </cfRule>
    <cfRule type="expression" dxfId="511" priority="35">
      <formula>AND(AM301&lt;&gt;"nvt",AM301&lt;=AM300)</formula>
    </cfRule>
  </conditionalFormatting>
  <conditionalFormatting sqref="AM306:AU314 AM316:AU318 AM320:AU320 AM322:AU322">
    <cfRule type="expression" dxfId="510" priority="84">
      <formula>AM$24=0</formula>
    </cfRule>
  </conditionalFormatting>
  <conditionalFormatting sqref="AR189:AR191">
    <cfRule type="expression" dxfId="509" priority="96">
      <formula>AR$29=0</formula>
    </cfRule>
  </conditionalFormatting>
  <conditionalFormatting sqref="AR224:AR225">
    <cfRule type="expression" dxfId="508" priority="97">
      <formula>AR$29=0</formula>
    </cfRule>
  </conditionalFormatting>
  <conditionalFormatting sqref="AR293">
    <cfRule type="expression" dxfId="507" priority="98">
      <formula>AR293&lt;AR288</formula>
    </cfRule>
  </conditionalFormatting>
  <conditionalFormatting sqref="AY190">
    <cfRule type="expression" dxfId="506" priority="109">
      <formula>AY$29=0</formula>
    </cfRule>
  </conditionalFormatting>
  <conditionalFormatting sqref="AY109:BA109">
    <cfRule type="expression" dxfId="505" priority="156">
      <formula>AND(AY$78&gt;0,AY109="")</formula>
    </cfRule>
  </conditionalFormatting>
  <conditionalFormatting sqref="AY212:BA212">
    <cfRule type="expression" dxfId="504" priority="48">
      <formula>AY$29=0</formula>
    </cfRule>
  </conditionalFormatting>
  <conditionalFormatting sqref="AY189:BC189">
    <cfRule type="expression" dxfId="503" priority="112">
      <formula>AY$29=0</formula>
    </cfRule>
  </conditionalFormatting>
  <conditionalFormatting sqref="AY22:BG22">
    <cfRule type="expression" dxfId="502" priority="64">
      <formula>OR(AY$19="",AND(AY$21&lt;&gt;woning,AY$21&lt;&gt;woongebouw))</formula>
    </cfRule>
  </conditionalFormatting>
  <conditionalFormatting sqref="AY73:BG73">
    <cfRule type="expression" dxfId="501" priority="53">
      <formula>AND(AY$19&lt;&gt;"",AY73="")</formula>
    </cfRule>
    <cfRule type="expression" dxfId="500" priority="52">
      <formula>OR(AY$19="",AY$24=0)</formula>
    </cfRule>
  </conditionalFormatting>
  <conditionalFormatting sqref="AY232:BG232">
    <cfRule type="expression" dxfId="499" priority="86">
      <formula>AY$24=0</formula>
    </cfRule>
  </conditionalFormatting>
  <conditionalFormatting sqref="AY290:BG291">
    <cfRule type="expression" dxfId="498" priority="140">
      <formula>AY290&gt;AY285</formula>
    </cfRule>
  </conditionalFormatting>
  <conditionalFormatting sqref="AY294:BG295">
    <cfRule type="expression" dxfId="497" priority="25">
      <formula>AY$24=0</formula>
    </cfRule>
  </conditionalFormatting>
  <conditionalFormatting sqref="AY297:BG298 AY300:BG301 AY290:BG292 AY254:BG256 AY258:BG258 AY260:BG260 AY265:BG272 AY274:BG274 AY276:BG276 AY278:BG278 AY283:BG283 AY285:BG287 AY306:BG314">
    <cfRule type="expression" dxfId="496" priority="82">
      <formula>AY$24=0</formula>
    </cfRule>
  </conditionalFormatting>
  <conditionalFormatting sqref="AY298:BG298">
    <cfRule type="expression" dxfId="495" priority="31">
      <formula>AND(AY298&lt;&gt;"nvt",AY298&gt;AY297)</formula>
    </cfRule>
    <cfRule type="expression" dxfId="494" priority="32">
      <formula>AND(AY298&lt;&gt;"nvt",AY298&lt;=AY297)</formula>
    </cfRule>
  </conditionalFormatting>
  <conditionalFormatting sqref="AY301:BG301">
    <cfRule type="expression" dxfId="493" priority="30">
      <formula>AND(AY301&lt;&gt;"nvt",AY301&lt;=AY300)</formula>
    </cfRule>
    <cfRule type="expression" dxfId="492" priority="29">
      <formula>AND(AY301&lt;&gt;"nvt",AY301&gt;AY300)</formula>
    </cfRule>
  </conditionalFormatting>
  <conditionalFormatting sqref="AY316:BG318 AY320:BG320">
    <cfRule type="expression" dxfId="491" priority="89">
      <formula>AY$24=0</formula>
    </cfRule>
  </conditionalFormatting>
  <conditionalFormatting sqref="AY322:BG322">
    <cfRule type="expression" dxfId="490" priority="88">
      <formula>AY$24=0</formula>
    </cfRule>
  </conditionalFormatting>
  <conditionalFormatting sqref="BD164:BD165">
    <cfRule type="expression" dxfId="489" priority="79">
      <formula>BD$29=0</formula>
    </cfRule>
  </conditionalFormatting>
  <conditionalFormatting sqref="BD189:BD191">
    <cfRule type="expression" dxfId="488" priority="90">
      <formula>BD$29=0</formula>
    </cfRule>
  </conditionalFormatting>
  <conditionalFormatting sqref="BD224:BD225">
    <cfRule type="expression" dxfId="487" priority="91">
      <formula>BD$29=0</formula>
    </cfRule>
  </conditionalFormatting>
  <conditionalFormatting sqref="BD292">
    <cfRule type="expression" dxfId="486" priority="92">
      <formula>BD292&lt;BD287</formula>
    </cfRule>
  </conditionalFormatting>
  <conditionalFormatting sqref="BH189:BH191 BH193:BH195">
    <cfRule type="expression" dxfId="485" priority="144">
      <formula>AND(BH189&lt;&gt;"-",BH189&gt;BH190)</formula>
    </cfRule>
  </conditionalFormatting>
  <conditionalFormatting sqref="BH230">
    <cfRule type="expression" dxfId="484" priority="154">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28071C1C-8D07-4FAF-A0AE-E5EA60B223ED}">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AA01FC52-C44F-4AA9-BD18-0AFE2F7092B6}"/>
    <dataValidation allowBlank="1" showInputMessage="1" showErrorMessage="1" promptTitle="Energiepakket / energiebehoefte" sqref="O40:BG40" xr:uid="{2A61FAF5-2A50-4EA5-87D6-9527BCF09A2F}"/>
    <dataValidation type="list" allowBlank="1" showInputMessage="1" showErrorMessage="1" promptTitle="Energiepakket / energiebehoefte" sqref="AY41:BG41 AA41:AI41 AM41:AU41 O41:W41" xr:uid="{DE14BC5C-ECA6-448F-AC42-5DA82AE4E405}">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43727316-1914-48D6-AE91-82F31FAF0999}"/>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5306467D-A9EA-49EB-8397-03C938EF73D0}"/>
    <dataValidation allowBlank="1" showInputMessage="1" showErrorMessage="1" promptTitle="Standaardwaarde" prompt="Deze standaard geeft aan wanneer een woning goed genoeg is geïsoleerd om aardgasvrij te worden. Hij is ontstaan uit het Klimaatakkoord._x000a_" sqref="D296" xr:uid="{02014E44-2336-4D5A-9AEC-5F903D4F2DB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297B08C9-FC20-40AB-A613-2E1716117E4E}"/>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85B02699-DFFF-478D-B890-F05AD5F6AF92}"/>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32B4E12E-257F-46D9-A2EA-3128B63FEEEB}"/>
    <dataValidation type="textLength" allowBlank="1" showInputMessage="1" showErrorMessage="1" errorTitle="Maximaal 65 karakters" error="Maximaal 65 karakters." sqref="F4" xr:uid="{A879F5A3-211F-493B-A8E8-65FAAE1CAEF0}">
      <formula1>0</formula1>
      <formula2>65</formula2>
    </dataValidation>
    <dataValidation type="textLength" errorStyle="warning" allowBlank="1" showInputMessage="1" showErrorMessage="1" errorTitle="Maximaal 30 karakters" error="Maximaal 30 karakters" sqref="H3" xr:uid="{49FB07A6-619E-4E7A-A82E-85A1A7399272}">
      <formula1>0</formula1>
      <formula2>40</formula2>
    </dataValidation>
    <dataValidation type="textLength" errorStyle="warning" allowBlank="1" showInputMessage="1" showErrorMessage="1" errorTitle="Maximaal 30 karakters" error="Maximaal 30 karakters" sqref="E3 F4" xr:uid="{DD2DAFF7-9C5E-41BF-ACFC-F424DE917254}">
      <formula1>0</formula1>
      <formula2>30</formula2>
    </dataValidation>
    <dataValidation type="decimal" allowBlank="1" showInputMessage="1" showErrorMessage="1" errorTitle="Bereik 0%-100%" error="De ingevoerde waarde valt buiten het bereik." sqref="O44:W44 AA44:AI44 AY44:BG44 AM44:AU44" xr:uid="{545AE5F7-11AC-440E-9476-E27A871D4D3C}">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F6C7D38-2F38-493D-B9C6-E3340FE4E397}"/>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B0E18A1-1AE2-41DD-BE7E-AB940E02A6AD}"/>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CE3977C2-698A-4576-9D56-A78461A06F2A}"/>
    <dataValidation allowBlank="1" showInputMessage="1" showErrorMessage="1" promptTitle="Aandeel hernieuwbare energie" prompt="Aandeel hernieuwbare energie._x000a__x000a_RERPrenTOT = EPrenTot / (EPTot + EPrenTot) * 100%_x000a__x000a_Cf. NTA8800 par. 5.3.1.3, formule 5.3" sqref="D292" xr:uid="{F80FBC9F-E70B-4A69-8725-B1D9137B48B8}"/>
    <dataValidation type="list" allowBlank="1" showInputMessage="1" showErrorMessage="1" sqref="O47:W47 AA47:AI47 AY47:BG47 AM47:AU47" xr:uid="{45B6ECE3-1D64-455C-A38F-F9BFFC7BF4AA}">
      <formula1>"elektriciteit,aardgas"</formula1>
    </dataValidation>
    <dataValidation allowBlank="1" showInputMessage="1" showErrorMessage="1" promptTitle="Kookgas" prompt="Gasverbruik voor kookgas." sqref="D68" xr:uid="{962EFCDD-B1CD-4AB2-9E9E-6579A1D86B99}"/>
    <dataValidation allowBlank="1" showInputMessage="1" showErrorMessage="1" promptTitle="Hernieuwbare 'primaire' energie" prompt="De totale hernieuwbare 'primaire' energie voor GEBOUWGEBONDEN energiegebruik is berekend cf. NTA8800._x000a__x000a_NTA8800 par. 5.6." sqref="D263" xr:uid="{B98AA06F-C057-4A73-8016-3D9BE2EB55BF}"/>
    <dataValidation allowBlank="1" showInputMessage="1" showErrorMessage="1" promptTitle="Energieprestatie indicatoren" prompt="De energieprestatie indicatoren gaan alleen over GEBOUWGEBONDEN energiegebruik en zijn bepaald cf. paragraaf 5.3.1 van NTA 8800._x000a__x000a_" sqref="D281" xr:uid="{3A705DB7-8656-4DB2-B423-608CAC4FA1A8}"/>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FC3B9A89-3A63-4C15-88BD-0912BAF031B2}"/>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FCAA9109-ACCB-4AD0-93E9-5C4A86B88673}"/>
    <dataValidation allowBlank="1" showInputMessage="1" showErrorMessage="1" promptTitle="Woningen|utiliteitsgebouwen" prompt="De tabel geeft een terugkoppeling van de ingevoerde woningen en utileitsgebouwen in" sqref="D17" xr:uid="{B683E7D3-EF81-4C49-A25E-60475E141E8C}"/>
    <dataValidation allowBlank="1" showInputMessage="1" showErrorMessage="1" promptTitle="Resultaten" prompt="De tabel geeft een samenvatting van het primair energiegebruik, de CO2 emissie en het gasverbruik van de locatie(s) als gevolg van energetische keuzes in deze variant." sqref="D10" xr:uid="{CB6CE8E9-963E-48FC-8378-BAA72621DFEE}"/>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00875D36-3DC3-4D4E-A354-197239E2301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345E3811-1B55-4CA9-8F3C-F13077032E3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FE7B861B-D08F-4B05-860C-6EC04F5AB812}"/>
    <dataValidation allowBlank="1" showInputMessage="1" showErrorMessage="1" promptTitle="Keuze preferent toestel" prompt="De keuze van het preferente toestel bepaalt welke forfaitaire waarden voor warmtedistributie, energiedragers en rendementen uit de bibliotheek worden opgehaald." sqref="D82" xr:uid="{5B693400-A465-49EB-BD81-5124BC438AAE}"/>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73824B42-3DE9-4C0F-9CCB-98276EFC5C0D}"/>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9FE9AB0D-54D7-40C1-8F43-05AF3361287A}"/>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22CDDF47-C517-4E17-B1AA-5CE21AAA1F00}"/>
    <dataValidation type="decimal" allowBlank="1" showInputMessage="1" showErrorMessage="1" errorTitle="Bereik 0,0-0,5" error="De ingevoerde waarde valt buiten het bereik." sqref="O129:Q129 AA129:AC129 AY129:BA129 AM129:AO129" xr:uid="{2C7892CD-0986-4853-868F-176505576BF8}">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C9488557-0952-4D2A-BE86-224E36037760}">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A30E8567-5330-4D73-B4F4-2EBFEB7B0C74}">
      <formula1>0</formula1>
      <formula2>2</formula2>
    </dataValidation>
    <dataValidation type="decimal" allowBlank="1" showInputMessage="1" showErrorMessage="1" errorTitle="Bereik 0,10-1,00" error="De ingevoerde waarde valt buiten het bereik." sqref="O87 Q87 AA87 AC87 AY87 BA87 AM87 AO87" xr:uid="{C3ABE927-6722-451C-9733-5C4D45660E6B}">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DD2AF2D5-B3D4-44D9-90E6-0F8F3FD02E6F}">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961CEF59-3309-47A6-B6D3-773102953D32}">
      <formula1>0</formula1>
    </dataValidation>
    <dataValidation type="decimal" allowBlank="1" showInputMessage="1" showErrorMessage="1" errorTitle="Bereik 0-30" error="De ingevoerde waarde valt buiten het bereik." sqref="O45:W45 AA45:AI45 AY45:BG45 AM45:AU45" xr:uid="{81665998-C1F3-496C-91BC-B9FB4B8CFF4B}">
      <formula1>0</formula1>
      <formula2>30</formula2>
    </dataValidation>
    <dataValidation type="decimal" operator="greaterThanOrEqual" allowBlank="1" showInputMessage="1" showErrorMessage="1" errorTitle="Bereik ≥0" error="De ingevulde waarde valt buiten het bereik." sqref="O25:W25 AA25:AI25 AY25:BG25 AM25:AU25" xr:uid="{A0093641-2077-46C3-B0EE-13F6714CEACB}">
      <formula1>0</formula1>
    </dataValidation>
    <dataValidation type="decimal" allowBlank="1" showInputMessage="1" showErrorMessage="1" errorTitle="Bereik 0%-100%" error="De ingevoerde waarde valt buiten het bereik." sqref="AA48:AI48 AY48:BG48 AM48:AU48 O48:W48" xr:uid="{382AE30A-569E-445D-A46B-44745B4D7C38}">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3F2C75FF-61F6-49EF-9DD5-35B6E98F5C85}">
      <formula1>0.1</formula1>
      <formula2>15</formula2>
    </dataValidation>
    <dataValidation type="decimal" allowBlank="1" showInputMessage="1" showErrorMessage="1" errorTitle="Bereik 0%-100%" error="De ingevoerde waarde is buiten het bereik." sqref="AY109:BA109 AA109:AC109 O109:Q109 AM109:AO109" xr:uid="{7EFA5BCE-7EC9-4A3A-A197-1BDDF213CB1D}">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4561A29A-B527-4084-8493-40EACA78D828}"/>
    <dataValidation allowBlank="1" showInputMessage="1" showErrorMessage="1" promptTitle="primaire energie indicator" prompt="Het totale gebouwgebonden primaire (vermeden) energiegebruik (voor woningen ZONDER verlichting) in kWh/m2._x000a__x000a_NTA8800, par. 5.3.1.2_x000a__x000a_" sqref="D291" xr:uid="{BDF3AE0C-865A-47D3-937F-F76CB3CD268F}"/>
    <dataValidation allowBlank="1" showInputMessage="1" showErrorMessage="1" promptTitle="energiebehoefte-indicator" prompt="Warmtebehoefte ruimteverwarming + koudebehoefte voor koeling, berekend met ventilatiesysteem C1, in kWh/m2._x000a__x000a_NTA8800, par. 5.3.1.1_x000a__x000a_" sqref="D290" xr:uid="{1C758F90-AF4D-4D19-BE07-BD4353DEF04B}"/>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82A41BE4-F862-4AB7-802F-B2CBD20920F4}"/>
    <dataValidation allowBlank="1" showInputMessage="1" showErrorMessage="1" promptTitle="BENG eisen 2021" prompt="De BENG eisen zijn overgenomen van:_x000a__x000a_https://zoek.officielebekendmakingen.nl/stb-2019-501.html_x000a__x000a_" sqref="D284" xr:uid="{D36D7488-FC3E-49D2-97AB-1D7731B189C5}"/>
    <dataValidation allowBlank="1" showInputMessage="1" showErrorMessage="1" promptTitle="Energiegebruik per energiepost" prompt="Per deellocatie is de energiebehoefte van alle woningen en gebouwen per energiepost gesommeerd." sqref="D78" xr:uid="{687EBB49-462B-4060-B6B0-1F3F4BC8FAF1}"/>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D5227CD7-220E-42BD-BC17-62D849DB50C4}"/>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5BB70D35-562D-48BD-A9F2-F6D06DB5D4CC}"/>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ED215057-6163-4D6A-B2A4-F5C250037A4E}"/>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2F8ABE85-2916-45A1-B4B9-C47109342416}"/>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1B352418-4AA2-438E-A1E2-4B27D50FD5A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417EFF3B-9F6D-4C36-BBEB-684EE5EE3924}"/>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ABBF071A-BFAE-49F7-8634-2789B5B2D1ED}"/>
    <dataValidation allowBlank="1" showInputMessage="1" showErrorMessage="1" promptTitle="Aandeel hernieuwb. prim energie" prompt="Aandeel hernieuwbare energie._x000a__x000a_RERPrenTOT = EPrenTot / (EPTot + EPrenTot) * 100%_x000a__x000a_Cf. NTA8800 par. 5.3.1.3, formule 5.3" sqref="D278" xr:uid="{8C51B8B6-ACD9-4A12-A74E-B02E6F4B8B3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1A6A82A3-FA66-4A63-8934-671A698338E7}"/>
    <dataValidation allowBlank="1" showInputMessage="1" showErrorMessage="1" promptTitle="Totaal hernieuwbare prim energie" prompt="Hernieuwbare 'primaire' energie van de woning of het gebouw." sqref="D276" xr:uid="{C8E8CD9E-7FD9-4BD2-96B5-26800D64C25D}"/>
    <dataValidation allowBlank="1" showInputMessage="1" showErrorMessage="1" promptTitle="Hernieuwbaar opgewekte elek." prompt="Op het eigen perceel opgewekte primaire hernieuwbare elektriciteit._x000a__x000a_EPren;el = Eel;PV/PVT/wind * fPren;renelect_x000a__x000a_Cf. NTA8800 par. 5.6.2.4." sqref="D274 D218" xr:uid="{90E79CD6-1149-4820-A1D5-0F4C4B5A1112}"/>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54B3C44-A11C-4374-852F-B8086D6CA6D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A997FBEF-6C24-443B-843A-8F51E895CCD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D0B3D5EF-E3C4-4EA1-BD79-14853E3FD4B9}"/>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F6005775-92C5-4637-BAB2-BD60422C2A42}"/>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62DA1FBB-8815-4DF1-AC23-AE8203128B02}"/>
    <dataValidation allowBlank="1" showInputMessage="1" showErrorMessage="1" promptTitle="Vermogen verwarming &amp; koeling" prompt="Een indicatie van het verwarmings- en koelvermogen op basis van formules NTA8800. Zie 'bibliotheek' voor meer details." sqref="D99" xr:uid="{87D7962C-56BE-45C9-9BF4-7DF392B32453}"/>
    <dataValidation type="list" allowBlank="1" showInputMessage="1" showErrorMessage="1" sqref="O46:W46 AA46:AI46 AY46:BG46 AM46:AU46" xr:uid="{1513669F-5BC9-41C9-8123-A602F220F578}">
      <formula1>verlichtingsregeling_namen</formula1>
    </dataValidation>
    <dataValidation type="list" allowBlank="1" showInputMessage="1" showErrorMessage="1" sqref="O43:W43 AA43:AI43 AY43:BG43 AM43:AU43" xr:uid="{D06974E4-B3B0-4C18-8938-A18580EDE501}">
      <formula1>ventilatoren_typen</formula1>
    </dataValidation>
    <dataValidation type="list" allowBlank="1" showInputMessage="1" showErrorMessage="1" sqref="O42:W42 AY42:BG42 AA42:AI42 AM42:AU42" xr:uid="{488780B8-C0AD-48B6-AFAF-682C475A7762}">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5E4B363D-F1BF-4AA1-B82F-30082522DFD6}"/>
    <dataValidation type="list" allowBlank="1" showInputMessage="1" showErrorMessage="1" errorTitle="Toestel RV" error="Kies een beschikbaar toestel." sqref="Q90 AA90 AC90 AM90 AO90 AY90 BA90 O90" xr:uid="{6140D420-1B42-45CB-9150-8B46B496D993}">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C49E1608-F4A7-4826-A67B-E37DE58FFCAE}"/>
    <dataValidation allowBlank="1" showInputMessage="1" showErrorMessage="1" promptTitle="Warmtebehoefte warmtapwater" prompt="De energiebehoefte voor warmtapwatergebruik wordt berekend op basis van rekenregels in NTA8800 (paragraaf 13.2)." sqref="D65" xr:uid="{38AB77D4-85CB-4D12-9296-2EBF99D49942}"/>
    <dataValidation allowBlank="1" showInputMessage="1" showErrorMessage="1" promptTitle="Gegevensfilter en navigatie" prompt="&lt;-_x000a_Het gegevensfilter biedt de mogelijkheid om (delen van) tabellen in de UMGO te filteren._x000a__x000a_-&gt;_x000a_Navigatieknoppen naar andere tabbladen." sqref="D8" xr:uid="{ED6E3642-34A0-44C5-A0B2-9C27426DCEF2}"/>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D3B34C41-6139-4A8F-BD2D-E7026BFBDB24}"/>
    <dataValidation type="list" allowBlank="1" showInputMessage="1" showErrorMessage="1" sqref="Q83 AC83 BA83 AO83" xr:uid="{61117666-0DAF-4111-A406-EF00C78FC569}">
      <formula1>toestellen_TAP_invoer</formula1>
    </dataValidation>
    <dataValidation type="list" allowBlank="1" showInputMessage="1" showErrorMessage="1" sqref="P83 AB83 AZ83 AN83" xr:uid="{83628F0E-1AE6-4DFA-BB5E-F9BBEEB364F5}">
      <formula1>toestellen_KOEL_invoer</formula1>
    </dataValidation>
    <dataValidation type="list" allowBlank="1" showInputMessage="1" showErrorMessage="1" sqref="AY83" xr:uid="{0B09D83C-86B3-4D6C-A261-8D948D064172}">
      <formula1>toestellen_RV_invoer</formula1>
    </dataValidation>
    <dataValidation type="list" allowBlank="1" showInputMessage="1" showErrorMessage="1" sqref="F5" xr:uid="{6450DF0F-B62F-43B4-8146-C3BBCFD7CB95}">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FF58CE44-D197-4BF6-93C9-7A1C7BE77B7E}"/>
    <dataValidation allowBlank="1" showInputMessage="1" showErrorMessage="1" promptTitle="Primair energiegebruik" prompt="De Uniforme Maatlat rekent op onderwaarde. De EPG rekent echter op bovenwaarde. De berekende primaire energiebruiken in de EPG zijn daarom hoger." sqref="D162" xr:uid="{FEFD8D7A-7998-4DCD-A481-F5ACCA3E7414}"/>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9D82E592-08BD-42CF-8BD6-BAB399292D4C}"/>
    <dataValidation type="whole" allowBlank="1" showInputMessage="1" showErrorMessage="1" sqref="AN142:AO142 AN145:AO146 AB145:AC146 P145:Q146 AB142:AC142 AZ145:BA145" xr:uid="{8236D965-0FDC-43AA-948A-E65EE0C4EB3B}">
      <formula1>0</formula1>
      <formula2>1</formula2>
    </dataValidation>
    <dataValidation type="decimal" allowBlank="1" showInputMessage="1" showErrorMessage="1" sqref="AM142 AM145:AM146 AA145:AA146 O145:O146 AA142 AY145" xr:uid="{93F8E531-D654-417F-BD45-C1051CAB3452}">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227F7C5E-B8D3-4669-A9E0-F8B1F1453208}"/>
    <dataValidation allowBlank="1" showInputMessage="1" showErrorMessage="1" promptTitle="Opwekkingsrendement" prompt="Binnen de Uniforme Maatlat wordt het opwekkingsrendement op bovenwaarde gebruikt." sqref="D111" xr:uid="{A4C03A38-E3CB-43D0-A73C-51926C6BCC21}"/>
    <dataValidation allowBlank="1" showInputMessage="1" showErrorMessage="1" promptTitle="Forfaitaire waarden PV" prompt="Forfaitaire waarde voor opbrengst van PV: 875 kWh/kWp._x000a_" sqref="D171" xr:uid="{A7F02490-A0D8-42F8-B650-88D58E54838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29404453-E4C1-44C9-A31B-C852ECA19EE6}"/>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8648E8BD-989B-4A4C-AB47-3A695E36D279}"/>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5010D469-78D4-4278-9428-548D5EF79F1C}"/>
    <dataValidation allowBlank="1" showInputMessage="1" showErrorMessage="1" promptTitle="PV" prompt="Opbrengst PV op gevel en dak in kWh per woning | utiliteitsgebouw." sqref="D73" xr:uid="{6E06DBC1-6271-4172-A5EB-CC44228238BF}"/>
    <dataValidation allowBlank="1" showInputMessage="1" showErrorMessage="1" promptTitle="Mobiliteit" prompt="Het geschatte elektriciteitsgebruik voor mobiliteit, bijvoorbeeld door elektrische auto's, kan worden ingevuld in kWh per woning of per utiliteitsgebouw." sqref="D71" xr:uid="{AA49A6A5-7B75-4FA9-A8AB-706A5308934E}"/>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8C418E75-84D3-4954-832C-0831968A48AE}"/>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3FC16805-5E81-42AA-A9C5-267F9AD6CB13}"/>
    <dataValidation type="list" allowBlank="1" showInputMessage="1" showErrorMessage="1" errorTitle="Toestel RV" error="Kies een beschikbaar toestel." sqref="AA83 O83 AM83" xr:uid="{20EC972C-8F62-4388-BFD6-F8700787706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8373AB6E-25B8-40B8-B769-DC15CD0E581C}"/>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E94C526D-45D3-42E9-81F4-B3E2779E4E82}"/>
    <dataValidation type="list" allowBlank="1" showInputMessage="1" showErrorMessage="1" sqref="AY49:BG49 AA49:AI49 AM49:AU49 O49:W49" xr:uid="{B9C42BC1-0194-42F9-B1E4-D18B83932FAD}">
      <formula1>specifieke_interne_warmtecapaciteit</formula1>
    </dataValidation>
    <dataValidation type="list" showInputMessage="1" showErrorMessage="1" sqref="G61 G63 G289" xr:uid="{45F1B625-89A0-48E1-9620-B4E5A9A25FCB}">
      <formula1>beschikbare_fitformules_NTA8800</formula1>
    </dataValidation>
  </dataValidations>
  <hyperlinks>
    <hyperlink ref="D284" r:id="rId1" tooltip="verwijzing naar Staatsblad 2019, 501 met BENG-eisen" xr:uid="{1251FA9A-6EDA-4BBB-9CEA-8AB492343E4E}"/>
  </hyperlinks>
  <pageMargins left="0.23622047244094491" right="0.23622047244094491" top="0.74803149606299213" bottom="0.74803149606299213" header="0.31496062992125984" footer="0.31496062992125984"/>
  <pageSetup paperSize="9" scale="25" fitToHeight="0" orientation="landscape" r:id="rId2"/>
  <headerFooter alignWithMargins="0">
    <oddFooter>&amp;L_x000D_&amp;1#&amp;"Calibri"&amp;10&amp;K000000 Intern gebruik</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2177"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78" id="{BBC36CB6-2ECE-40F4-95BD-0236E094FC1A}">
            <xm:f>OR(O$19="",O$24=0,IFERROR(INDEX(bibliotheek!#REF!,MATCH(IF(O$19="",bibliotheek!#REF!,O$42),ventilatiesystemen_namen,0))="A",0))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D8532-D1A5-45D4-8386-025F5071C3EB}">
  <sheetPr codeName="Blad15"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5</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2" t="str">
        <f>"project: "&amp;IF('woningen|utiliteit'!$F$3="","",'woningen|utiliteit'!$F$3)</f>
        <v xml:space="preserve">project: </v>
      </c>
      <c r="F3" s="1113"/>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4"/>
      <c r="G4" s="1114"/>
      <c r="H4" s="1115"/>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6" t="s">
        <v>94</v>
      </c>
      <c r="C5" s="1116"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6"/>
      <c r="C6" s="1116"/>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6"/>
      <c r="C7" s="1116"/>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25.5">
      <c r="A42" s="652"/>
      <c r="B42" s="492" t="s">
        <v>139</v>
      </c>
      <c r="C42" s="653" t="s">
        <v>125</v>
      </c>
      <c r="D42" s="747"/>
      <c r="E42" s="182" t="s">
        <v>143</v>
      </c>
      <c r="F42" s="182"/>
      <c r="G42" s="182"/>
      <c r="H42" s="183" t="s">
        <v>68</v>
      </c>
      <c r="I42" s="114"/>
      <c r="J42" s="707"/>
      <c r="K42" s="97"/>
      <c r="L42" s="97"/>
      <c r="M42" s="224"/>
      <c r="N42" s="99"/>
      <c r="O42" s="876" t="s">
        <v>1868</v>
      </c>
      <c r="P42" s="876" t="s">
        <v>1868</v>
      </c>
      <c r="Q42" s="876" t="s">
        <v>1868</v>
      </c>
      <c r="R42" s="876" t="s">
        <v>1868</v>
      </c>
      <c r="S42" s="876" t="s">
        <v>1868</v>
      </c>
      <c r="T42" s="876" t="s">
        <v>1868</v>
      </c>
      <c r="U42" s="876" t="s">
        <v>1868</v>
      </c>
      <c r="V42" s="876" t="s">
        <v>1868</v>
      </c>
      <c r="W42" s="876" t="s">
        <v>1868</v>
      </c>
      <c r="X42" s="764"/>
      <c r="Y42" s="224"/>
      <c r="Z42" s="765"/>
      <c r="AA42" s="876" t="s">
        <v>1868</v>
      </c>
      <c r="AB42" s="876" t="s">
        <v>1868</v>
      </c>
      <c r="AC42" s="876" t="s">
        <v>1868</v>
      </c>
      <c r="AD42" s="876" t="s">
        <v>1868</v>
      </c>
      <c r="AE42" s="876" t="s">
        <v>1868</v>
      </c>
      <c r="AF42" s="876" t="s">
        <v>1868</v>
      </c>
      <c r="AG42" s="876" t="s">
        <v>1868</v>
      </c>
      <c r="AH42" s="876" t="s">
        <v>1868</v>
      </c>
      <c r="AI42" s="876" t="s">
        <v>1868</v>
      </c>
      <c r="AJ42" s="764"/>
      <c r="AK42" s="224"/>
      <c r="AL42" s="766"/>
      <c r="AM42" s="876" t="s">
        <v>1868</v>
      </c>
      <c r="AN42" s="876" t="s">
        <v>1868</v>
      </c>
      <c r="AO42" s="876" t="s">
        <v>1868</v>
      </c>
      <c r="AP42" s="876" t="s">
        <v>1868</v>
      </c>
      <c r="AQ42" s="876" t="s">
        <v>1868</v>
      </c>
      <c r="AR42" s="876" t="s">
        <v>1868</v>
      </c>
      <c r="AS42" s="876" t="s">
        <v>1868</v>
      </c>
      <c r="AT42" s="876" t="s">
        <v>1868</v>
      </c>
      <c r="AU42" s="876" t="s">
        <v>1868</v>
      </c>
      <c r="AV42" s="764"/>
      <c r="AW42" s="224"/>
      <c r="AX42" s="766"/>
      <c r="AY42" s="876" t="s">
        <v>1868</v>
      </c>
      <c r="AZ42" s="876" t="s">
        <v>1868</v>
      </c>
      <c r="BA42" s="876" t="s">
        <v>1868</v>
      </c>
      <c r="BB42" s="876" t="s">
        <v>1868</v>
      </c>
      <c r="BC42" s="876" t="s">
        <v>1868</v>
      </c>
      <c r="BD42" s="876" t="s">
        <v>1868</v>
      </c>
      <c r="BE42" s="876" t="s">
        <v>1868</v>
      </c>
      <c r="BF42" s="876" t="s">
        <v>1868</v>
      </c>
      <c r="BG42" s="876" t="s">
        <v>1868</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c r="P45" s="878"/>
      <c r="Q45" s="878"/>
      <c r="R45" s="878"/>
      <c r="S45" s="878"/>
      <c r="T45" s="878"/>
      <c r="U45" s="878"/>
      <c r="V45" s="878"/>
      <c r="W45" s="878"/>
      <c r="X45" s="768"/>
      <c r="Y45" s="282"/>
      <c r="Z45" s="279"/>
      <c r="AA45" s="878"/>
      <c r="AB45" s="878"/>
      <c r="AC45" s="878"/>
      <c r="AD45" s="878"/>
      <c r="AE45" s="878"/>
      <c r="AF45" s="878"/>
      <c r="AG45" s="878"/>
      <c r="AH45" s="878"/>
      <c r="AI45" s="878"/>
      <c r="AJ45" s="768"/>
      <c r="AK45" s="282"/>
      <c r="AL45" s="769"/>
      <c r="AM45" s="878"/>
      <c r="AN45" s="878"/>
      <c r="AO45" s="878"/>
      <c r="AP45" s="878"/>
      <c r="AQ45" s="878"/>
      <c r="AR45" s="878"/>
      <c r="AS45" s="878"/>
      <c r="AT45" s="878"/>
      <c r="AU45" s="878"/>
      <c r="AV45" s="768"/>
      <c r="AW45" s="282"/>
      <c r="AX45" s="769"/>
      <c r="AY45" s="878"/>
      <c r="AZ45" s="878"/>
      <c r="BA45" s="878"/>
      <c r="BB45" s="878"/>
      <c r="BC45" s="878"/>
      <c r="BD45" s="878"/>
      <c r="BE45" s="878"/>
      <c r="BF45" s="878"/>
      <c r="BG45" s="878"/>
      <c r="BH45" s="261"/>
    </row>
    <row r="46" spans="1:60">
      <c r="A46" s="652"/>
      <c r="B46" s="492" t="s">
        <v>139</v>
      </c>
      <c r="C46" s="735" t="s">
        <v>125</v>
      </c>
      <c r="D46" s="747"/>
      <c r="E46" s="182" t="s">
        <v>150</v>
      </c>
      <c r="F46" s="182"/>
      <c r="G46" s="182"/>
      <c r="H46" s="183" t="s">
        <v>68</v>
      </c>
      <c r="I46" s="114"/>
      <c r="J46" s="707"/>
      <c r="K46" s="97"/>
      <c r="L46" s="97"/>
      <c r="M46" s="224"/>
      <c r="N46" s="99"/>
      <c r="O46" s="876"/>
      <c r="P46" s="876"/>
      <c r="Q46" s="876"/>
      <c r="R46" s="876"/>
      <c r="S46" s="876"/>
      <c r="T46" s="876"/>
      <c r="U46" s="876"/>
      <c r="V46" s="876"/>
      <c r="W46" s="876"/>
      <c r="X46" s="764"/>
      <c r="Y46" s="224"/>
      <c r="Z46" s="236"/>
      <c r="AA46" s="876"/>
      <c r="AB46" s="876"/>
      <c r="AC46" s="876"/>
      <c r="AD46" s="876"/>
      <c r="AE46" s="876"/>
      <c r="AF46" s="876"/>
      <c r="AG46" s="876"/>
      <c r="AH46" s="876"/>
      <c r="AI46" s="876"/>
      <c r="AJ46" s="764"/>
      <c r="AK46" s="224"/>
      <c r="AL46" s="766"/>
      <c r="AM46" s="876"/>
      <c r="AN46" s="876"/>
      <c r="AO46" s="876"/>
      <c r="AP46" s="876"/>
      <c r="AQ46" s="876"/>
      <c r="AR46" s="876"/>
      <c r="AS46" s="876"/>
      <c r="AT46" s="876"/>
      <c r="AU46" s="876"/>
      <c r="AV46" s="764"/>
      <c r="AW46" s="224"/>
      <c r="AX46" s="766"/>
      <c r="AY46" s="876"/>
      <c r="AZ46" s="876"/>
      <c r="BA46" s="876"/>
      <c r="BB46" s="876"/>
      <c r="BC46" s="876"/>
      <c r="BD46" s="876"/>
      <c r="BE46" s="876"/>
      <c r="BF46" s="876"/>
      <c r="BG46" s="876"/>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1873</v>
      </c>
      <c r="F49" s="1048"/>
      <c r="G49" s="1048"/>
      <c r="H49" s="1053" t="s">
        <v>1874</v>
      </c>
      <c r="I49" s="210"/>
      <c r="J49" s="238"/>
      <c r="K49" s="90"/>
      <c r="L49" s="90"/>
      <c r="M49" s="238"/>
      <c r="N49" s="105"/>
      <c r="O49" s="1054"/>
      <c r="P49" s="1054"/>
      <c r="Q49" s="1054"/>
      <c r="R49" s="1054"/>
      <c r="S49" s="1054"/>
      <c r="T49" s="1054"/>
      <c r="U49" s="1054"/>
      <c r="V49" s="1054"/>
      <c r="W49" s="1054"/>
      <c r="X49" s="763"/>
      <c r="Y49" s="238"/>
      <c r="Z49" s="236"/>
      <c r="AA49" s="1054"/>
      <c r="AB49" s="1054"/>
      <c r="AC49" s="1054"/>
      <c r="AD49" s="1054"/>
      <c r="AE49" s="1054"/>
      <c r="AF49" s="1054"/>
      <c r="AG49" s="1054"/>
      <c r="AH49" s="1054"/>
      <c r="AI49" s="1054"/>
      <c r="AJ49" s="763"/>
      <c r="AK49" s="238"/>
      <c r="AL49" s="763"/>
      <c r="AM49" s="1054"/>
      <c r="AN49" s="1054"/>
      <c r="AO49" s="1054"/>
      <c r="AP49" s="1054"/>
      <c r="AQ49" s="1054"/>
      <c r="AR49" s="1054"/>
      <c r="AS49" s="1054"/>
      <c r="AT49" s="1054"/>
      <c r="AU49" s="1054"/>
      <c r="AV49" s="763"/>
      <c r="AW49" s="238"/>
      <c r="AX49" s="763"/>
      <c r="AY49" s="1054"/>
      <c r="AZ49" s="1054"/>
      <c r="BA49" s="1054"/>
      <c r="BB49" s="1054"/>
      <c r="BC49" s="1054"/>
      <c r="BD49" s="1054"/>
      <c r="BE49" s="1054"/>
      <c r="BF49" s="1054"/>
      <c r="BG49" s="1054"/>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1876</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1876</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232"/>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90"/>
      <c r="AY266" s="90"/>
      <c r="AZ266" s="90"/>
      <c r="BA266" s="90"/>
      <c r="BB266" s="90"/>
      <c r="BC266" s="90"/>
      <c r="BD266" s="90"/>
      <c r="BE266" s="90"/>
      <c r="BF266" s="90"/>
      <c r="BG266" s="90"/>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122"/>
      <c r="AB279" s="122"/>
      <c r="AC279" s="122"/>
      <c r="AD279" s="122"/>
      <c r="AE279" s="122"/>
      <c r="AF279" s="122"/>
      <c r="AG279" s="122"/>
      <c r="AH279" s="122"/>
      <c r="AI279" s="122"/>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1876</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VTvIxOgVy3d0gbTGJNOwPEJyD7xGjJO6SglneSywN/N0L+UxVvARPHc+x3vYQ/JKbJu5hQsdDU9VV425LWlN2g==" saltValue="ZzYm2AOOx6zg/0qmvFCIBQ=="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483" priority="72">
      <formula>B16=""</formula>
    </cfRule>
  </conditionalFormatting>
  <conditionalFormatting sqref="B27:C324">
    <cfRule type="expression" dxfId="482" priority="3">
      <formula>B27=""</formula>
    </cfRule>
  </conditionalFormatting>
  <conditionalFormatting sqref="C10">
    <cfRule type="expression" dxfId="481" priority="114">
      <formula>C10=""</formula>
    </cfRule>
  </conditionalFormatting>
  <conditionalFormatting sqref="C12:C26">
    <cfRule type="expression" dxfId="480" priority="73">
      <formula>C12=""</formula>
    </cfRule>
  </conditionalFormatting>
  <conditionalFormatting sqref="E55">
    <cfRule type="expression" dxfId="479" priority="22">
      <formula>$G$6=FALSE</formula>
    </cfRule>
  </conditionalFormatting>
  <conditionalFormatting sqref="E281:J281">
    <cfRule type="expression" dxfId="478" priority="1">
      <formula>$G$6=TRUE</formula>
    </cfRule>
  </conditionalFormatting>
  <conditionalFormatting sqref="F4:F5">
    <cfRule type="expression" dxfId="477" priority="139">
      <formula>F4=""</formula>
    </cfRule>
  </conditionalFormatting>
  <conditionalFormatting sqref="F5">
    <cfRule type="expression" dxfId="476" priority="137">
      <formula>OR($F$5="",ISERROR(MATCH(F5,opwekking_elektriciteit,0))=TRUE)</formula>
    </cfRule>
  </conditionalFormatting>
  <conditionalFormatting sqref="F2:H2">
    <cfRule type="expression" dxfId="475" priority="145">
      <formula>$F$2&lt;&gt;""</formula>
    </cfRule>
  </conditionalFormatting>
  <conditionalFormatting sqref="G61">
    <cfRule type="expression" dxfId="474" priority="12">
      <formula>OR(G61="",ISERROR(MATCH(G61,beschikbare_fitformules_NTA8800,0))=TRUE)</formula>
    </cfRule>
  </conditionalFormatting>
  <conditionalFormatting sqref="G63">
    <cfRule type="expression" dxfId="473" priority="8">
      <formula>OR(G63="",ISERROR(MATCH(G63,beschikbare_fitformules_NTA8800,0))=TRUE)</formula>
    </cfRule>
  </conditionalFormatting>
  <conditionalFormatting sqref="G289">
    <cfRule type="expression" dxfId="472" priority="4">
      <formula>OR(G289="",ISERROR(MATCH(G289,beschikbare_fitformules_NTA8800,0))=TRUE)</formula>
    </cfRule>
  </conditionalFormatting>
  <conditionalFormatting sqref="H3">
    <cfRule type="expression" dxfId="471" priority="2">
      <formula>H3=""</formula>
    </cfRule>
  </conditionalFormatting>
  <conditionalFormatting sqref="J32:J33">
    <cfRule type="cellIs" dxfId="470" priority="120" operator="greaterThan">
      <formula>0</formula>
    </cfRule>
  </conditionalFormatting>
  <conditionalFormatting sqref="J40:J42">
    <cfRule type="expression" dxfId="469" priority="71">
      <formula>J40="OK"</formula>
    </cfRule>
  </conditionalFormatting>
  <conditionalFormatting sqref="J46:J47">
    <cfRule type="expression" dxfId="468" priority="70">
      <formula>J46="OK"</formula>
    </cfRule>
  </conditionalFormatting>
  <conditionalFormatting sqref="J51">
    <cfRule type="cellIs" dxfId="467" priority="68" operator="notEqual">
      <formula>"OK"</formula>
    </cfRule>
  </conditionalFormatting>
  <conditionalFormatting sqref="J83">
    <cfRule type="cellIs" dxfId="466" priority="121" operator="notEqual">
      <formula>"OK"</formula>
    </cfRule>
  </conditionalFormatting>
  <conditionalFormatting sqref="J138">
    <cfRule type="cellIs" dxfId="465" priority="59" operator="equal">
      <formula>0</formula>
    </cfRule>
  </conditionalFormatting>
  <conditionalFormatting sqref="M32:M33">
    <cfRule type="cellIs" dxfId="464" priority="119" operator="greaterThan">
      <formula>0</formula>
    </cfRule>
  </conditionalFormatting>
  <conditionalFormatting sqref="M134:M149 Y134:Y149 AK134:AK149 AW134:AW149">
    <cfRule type="expression" dxfId="463" priority="142">
      <formula>SUM(M$134:M$149)=0</formula>
    </cfRule>
  </conditionalFormatting>
  <conditionalFormatting sqref="M138 Y138 AK138 AW138 J141 M141 Y141 AK141 AW141 J145 M145 Y145 AK145 AW145 J149 M149 Y149 AK149 AW149">
    <cfRule type="cellIs" dxfId="462" priority="63" operator="equal">
      <formula>0</formula>
    </cfRule>
  </conditionalFormatting>
  <conditionalFormatting sqref="O83 AA83 AM83 AY83">
    <cfRule type="expression" dxfId="461" priority="67">
      <formula>OR(AND(O83="",O$24&gt;0),ISERROR(MATCH(O83,toestellen_RV_invoer,0)))</formula>
    </cfRule>
  </conditionalFormatting>
  <conditionalFormatting sqref="O90 Q90 AA90 AC90 AM90 AO90 AY90 BA90">
    <cfRule type="expression" dxfId="460" priority="138">
      <formula>OR(AND(O$78&gt;0,O90=""),AND(O90&lt;&gt;"ja",O90&lt;&gt;"nee",O90&lt;&gt;""))</formula>
    </cfRule>
  </conditionalFormatting>
  <conditionalFormatting sqref="O129 Q129 AA129 AC129 AM129 AO129 AY129 BA129">
    <cfRule type="expression" dxfId="459" priority="152">
      <formula>O$128=0</formula>
    </cfRule>
  </conditionalFormatting>
  <conditionalFormatting sqref="O90:Q91 AA90:AC91 AM90:AO91 AY90:BA91 O86:Q88 AA86:AC88 AM86:AO88 AY86:BA88 O93:Q95 AA93:AC95 AM93:AO95 AY93:BA95 O83:Q84 AA83:AC84 AM83:AO84 AY83:BA84 O97:Q99 AA97:AC99 AM97:AO99 AY97:BA99">
    <cfRule type="expression" dxfId="458" priority="166">
      <formula>O$78=0</formula>
    </cfRule>
    <cfRule type="expression" dxfId="457" priority="165">
      <formula>O$29=0</formula>
    </cfRule>
  </conditionalFormatting>
  <conditionalFormatting sqref="O104:Q104 AA104:AC104 AM104:AO104 AY104:BA104 AA134:AC134 AM134:AO134 AY134:BA134">
    <cfRule type="expression" dxfId="456" priority="134">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455" priority="124">
      <formula>AND(O$78&gt;0,O87="")</formula>
    </cfRule>
  </conditionalFormatting>
  <conditionalFormatting sqref="O134:Q134">
    <cfRule type="expression" dxfId="454" priority="131">
      <formula>O$78=0</formula>
    </cfRule>
  </conditionalFormatting>
  <conditionalFormatting sqref="O135:Q141 AA135:AC141 AM135:AO141 AY135:BA141 O143:Q145 AA143:AC145 AM143:AO145 AY143:BA145 O147:Q149 AA147:AC149 AM147:AO149 AY147:BA149">
    <cfRule type="expression" dxfId="453" priority="58">
      <formula>OR(O$78=0,O$134="geen")</formula>
    </cfRule>
  </conditionalFormatting>
  <conditionalFormatting sqref="O140:Q140 AA140:AC140 AM140:AO140 AY140:BA140 O144:Q144 AA144:AC144 AM144:AO144 AY144:BA144 O148:Q148 AA148:AC148 AM148:AO148 AY148:BA148">
    <cfRule type="expression" dxfId="452" priority="163">
      <formula>AND(O$78&gt;0,O$134&lt;&gt;"geen",O140="")</formula>
    </cfRule>
  </conditionalFormatting>
  <conditionalFormatting sqref="O154:Q156 AA154:AC156 AM154:AO156 AY154:BA156">
    <cfRule type="expression" dxfId="451" priority="168">
      <formula>OR(O$29=0,O$126=0)</formula>
    </cfRule>
  </conditionalFormatting>
  <conditionalFormatting sqref="O155:Q155 AA155:AC155 AM155:AO155 AY155:BA155">
    <cfRule type="expression" dxfId="450" priority="133">
      <formula>AND(O$126&gt;0,O155="")</formula>
    </cfRule>
  </conditionalFormatting>
  <conditionalFormatting sqref="O170:T172">
    <cfRule type="expression" dxfId="449" priority="104">
      <formula>O$29=0</formula>
    </cfRule>
  </conditionalFormatting>
  <conditionalFormatting sqref="O200:T205">
    <cfRule type="expression" dxfId="448" priority="103">
      <formula>O$29=0</formula>
    </cfRule>
  </conditionalFormatting>
  <conditionalFormatting sqref="O212:T219">
    <cfRule type="expression" dxfId="447" priority="101">
      <formula>O$29=0</formula>
    </cfRule>
  </conditionalFormatting>
  <conditionalFormatting sqref="O17:W17">
    <cfRule type="expression" dxfId="446" priority="106">
      <formula>AND(O17&lt;&gt;"",ISERROR(MATCH(O17,woningen_gebouwen_namen,0))=TRUE)</formula>
    </cfRule>
  </conditionalFormatting>
  <conditionalFormatting sqref="O19:W19 AA19:AI19 AM19:AU19 AY19:BG19">
    <cfRule type="expression" dxfId="445" priority="118">
      <formula>O19=""</formula>
    </cfRule>
  </conditionalFormatting>
  <conditionalFormatting sqref="O20:W21 AM20:AU21 AY20:BG21">
    <cfRule type="expression" dxfId="444" priority="117">
      <formula>O$19=""</formula>
    </cfRule>
  </conditionalFormatting>
  <conditionalFormatting sqref="O22:W22">
    <cfRule type="expression" dxfId="443" priority="115">
      <formula>OR(O$19="",AND(O$21&lt;&gt;woning,O$21&lt;&gt;woongebouw))</formula>
    </cfRule>
  </conditionalFormatting>
  <conditionalFormatting sqref="O24:W25 AA24:BG25">
    <cfRule type="expression" dxfId="442" priority="93">
      <formula>O$19=""</formula>
    </cfRule>
  </conditionalFormatting>
  <conditionalFormatting sqref="O25:W25 AM25:AU25 AY25:BG25">
    <cfRule type="expression" dxfId="441" priority="149">
      <formula>AND(O$19&lt;&gt;"",O25="")</formula>
    </cfRule>
    <cfRule type="expression" dxfId="440" priority="148">
      <formula>AND(O$19="",O25&gt;0)</formula>
    </cfRule>
  </conditionalFormatting>
  <conditionalFormatting sqref="O26:W29 O31:W35">
    <cfRule type="expression" dxfId="439" priority="23">
      <formula>OR(O$19="",O$24=0)</formula>
    </cfRule>
  </conditionalFormatting>
  <conditionalFormatting sqref="O40:W48 O51:W51 O53:W56 O59:W59 O71:W71 O73:W73">
    <cfRule type="expression" dxfId="438" priority="61">
      <formula>OR(O$19="",O$24=0)</formula>
    </cfRule>
  </conditionalFormatting>
  <conditionalFormatting sqref="O41:W41 AA41:AI41 AM41:AU41 AY41:BG41">
    <cfRule type="expression" dxfId="437" priority="24">
      <formula>AND(O$19&lt;&gt;"",O$24&gt;0,O41&lt;&gt;"",ISERROR(MATCH(O41,isolatiepakketten_gebouwschil_namen,0))=TRUE)</formula>
    </cfRule>
  </conditionalFormatting>
  <conditionalFormatting sqref="O42:W42 AA42:AI42 AM42:AU42 AY42:BG42">
    <cfRule type="expression" dxfId="436" priority="150">
      <formula>OR(AND(O$19&lt;&gt;"",O$24&gt;0,O42=""),ISERROR(MATCH(O42,ventilatiesystemen_namen,0))=TRUE)</formula>
    </cfRule>
  </conditionalFormatting>
  <conditionalFormatting sqref="O43:W43 AA43:AI43 AM43:AU43 AY43:BG43">
    <cfRule type="expression" dxfId="435" priority="151">
      <formula>OR(AND(O$19&lt;&gt;"",O$24&gt;0,O43=""),ISERROR(MATCH(O43,ventilatoren_typen,0))=TRUE)</formula>
    </cfRule>
  </conditionalFormatting>
  <conditionalFormatting sqref="O44:W44 AA44:AI44 AM44:AU44 AY44:BG44">
    <cfRule type="expression" dxfId="433" priority="153">
      <formula>OR(O44&lt;0.5,O44&gt;2,AND(O$19&lt;&gt;"",O44=""))</formula>
    </cfRule>
  </conditionalFormatting>
  <conditionalFormatting sqref="O45:W46 AA45:AI46 AM45:AU46 AY45:BG46">
    <cfRule type="expression" dxfId="432" priority="155">
      <formula>AND(O$19&lt;&gt;"",O$28&gt;0,O45="")</formula>
    </cfRule>
    <cfRule type="expression" dxfId="431" priority="69">
      <formula>OR(O$19="",O$28=0)</formula>
    </cfRule>
  </conditionalFormatting>
  <conditionalFormatting sqref="O46:W46 AA46:AI46 AM46:AU46 AY46:BG46">
    <cfRule type="expression" dxfId="430" priority="157">
      <formula>AND(O46&lt;&gt;"",ISERROR(MATCH(O46,verlichtingsregeling_namen,0))=TRUE)</formula>
    </cfRule>
  </conditionalFormatting>
  <conditionalFormatting sqref="O47:W47 AA47:AI47 AM47:AU47 AY47:BG47">
    <cfRule type="expression" dxfId="429" priority="158">
      <formula>OR(AND(O$19&lt;&gt;"",O$24&gt;0,O47=""),AND(O47&lt;&gt;elektriciteit,O47&lt;&gt;aardgas))</formula>
    </cfRule>
    <cfRule type="expression" dxfId="428" priority="81">
      <formula>OR(O$19="",O$26+O$27=0,AND(O$21&lt;&gt;woning,O$21&lt;&gt;woongebouw))</formula>
    </cfRule>
  </conditionalFormatting>
  <conditionalFormatting sqref="O48:W48 AA48:AI48 AM48:AU48 AY48:BG48">
    <cfRule type="expression" dxfId="427" priority="159">
      <formula>OR(O48&lt;0,O48&gt;1,AND(O$19&lt;&gt;"",O48=""))</formula>
    </cfRule>
  </conditionalFormatting>
  <conditionalFormatting sqref="O49:W49 AA49:AI49 AM49:AU49 AY49:BG49">
    <cfRule type="expression" dxfId="426" priority="17">
      <formula>AND(O49&lt;&gt;"",ISERROR(MATCH(O49,specifieke_interne_warmtecapaciteit,0))=TRUE)</formula>
    </cfRule>
  </conditionalFormatting>
  <conditionalFormatting sqref="O51:W51 AA51:AI51 AM51:AU51 AY51:BG51">
    <cfRule type="expression" dxfId="425" priority="80">
      <formula>$O19=""</formula>
    </cfRule>
    <cfRule type="cellIs" dxfId="424" priority="162" operator="equal">
      <formula>"nee"</formula>
    </cfRule>
  </conditionalFormatting>
  <conditionalFormatting sqref="O54:W54 AA54:AI54 AM54:AU54 AY54:BG54">
    <cfRule type="cellIs" dxfId="423" priority="28" operator="equal">
      <formula>0</formula>
    </cfRule>
  </conditionalFormatting>
  <conditionalFormatting sqref="O55:W55 AA55:AI55 AM55:AU55 AY55:BG55">
    <cfRule type="expression" dxfId="422" priority="171">
      <formula>AND(O$24&gt;0,O$55&gt;0,O$55&lt;&gt;O$56,$G$6=TRUE)</formula>
    </cfRule>
    <cfRule type="expression" dxfId="421" priority="170">
      <formula>AND(O$24&gt;0,O55="",$G$6=TRUE)</formula>
    </cfRule>
    <cfRule type="expression" dxfId="420" priority="169">
      <formula>O$24=0</formula>
    </cfRule>
  </conditionalFormatting>
  <conditionalFormatting sqref="O61:W69">
    <cfRule type="expression" dxfId="419" priority="9">
      <formula>OR(O$19="",O$24=0)</formula>
    </cfRule>
  </conditionalFormatting>
  <conditionalFormatting sqref="O73:W73">
    <cfRule type="expression" dxfId="418" priority="62">
      <formula>AND(O$19&lt;&gt;"",O73="")</formula>
    </cfRule>
  </conditionalFormatting>
  <conditionalFormatting sqref="O78:W78 AA78:AI78 AM78:AU78 AY78:BG78">
    <cfRule type="expression" dxfId="417" priority="132">
      <formula>O$29=0</formula>
    </cfRule>
  </conditionalFormatting>
  <conditionalFormatting sqref="O230:W230 AM230:AU230 AY230:BG230 AM237:AU239 AY237:BG239 AM254:AU256 AM258:AU258">
    <cfRule type="expression" dxfId="416" priority="126">
      <formula>O$24=0</formula>
    </cfRule>
  </conditionalFormatting>
  <conditionalFormatting sqref="O289:W289">
    <cfRule type="expression" dxfId="415" priority="5">
      <formula>OR(O$19="",O$24=0)</formula>
    </cfRule>
  </conditionalFormatting>
  <conditionalFormatting sqref="O290:W291">
    <cfRule type="expression" dxfId="414" priority="143">
      <formula>O290&gt;O285</formula>
    </cfRule>
  </conditionalFormatting>
  <conditionalFormatting sqref="O292:W292 AA292:AI292 AM292:AU292 AY292:BG292">
    <cfRule type="expression" dxfId="413" priority="20">
      <formula>$O$292&lt;$O$287</formula>
    </cfRule>
  </conditionalFormatting>
  <conditionalFormatting sqref="O295:W295 AA295:AI295 AM295:AU295 AY295:BG295">
    <cfRule type="expression" dxfId="412" priority="174">
      <formula>O$24=0</formula>
    </cfRule>
  </conditionalFormatting>
  <conditionalFormatting sqref="O295:W295 AY295:BG295 AA295:AI295 AM295:AU295">
    <cfRule type="expression" dxfId="411" priority="173">
      <formula>#REF!&lt;O$291</formula>
    </cfRule>
  </conditionalFormatting>
  <conditionalFormatting sqref="O297:W298 O300:W301 O290:W292 O232:W232 O244:W252 O254:W256 O258:W258 O260:W260 O265:W265 O267:W272 O274:W274 O276:W276 O278:W278 O285:W287 O294:W295 O306:W314 O316:W318 O320:W320 O322:W322">
    <cfRule type="expression" dxfId="410" priority="83">
      <formula>O$24=0</formula>
    </cfRule>
  </conditionalFormatting>
  <conditionalFormatting sqref="O298:W298">
    <cfRule type="expression" dxfId="409" priority="44">
      <formula>AND(O298&lt;&gt;"nvt",O298&gt;O297)</formula>
    </cfRule>
    <cfRule type="expression" dxfId="408" priority="45">
      <formula>AND(O298&lt;&gt;"nvt",O298&lt;=O297)</formula>
    </cfRule>
  </conditionalFormatting>
  <conditionalFormatting sqref="O301:W301">
    <cfRule type="expression" dxfId="407" priority="42">
      <formula>AND(O301&lt;&gt;"nvt",O301&gt;O300)</formula>
    </cfRule>
    <cfRule type="expression" dxfId="406" priority="43">
      <formula>AND(O301&lt;&gt;"nvt",O301&lt;=O300)</formula>
    </cfRule>
  </conditionalFormatting>
  <conditionalFormatting sqref="O278:X278 M278 AJ278 AV278 BH278">
    <cfRule type="expression" dxfId="405" priority="147">
      <formula>#REF!&gt;M278</formula>
    </cfRule>
  </conditionalFormatting>
  <conditionalFormatting sqref="O40:BG41">
    <cfRule type="expression" dxfId="404" priority="21">
      <formula>OR(O$19="",O$24=0)</formula>
    </cfRule>
  </conditionalFormatting>
  <conditionalFormatting sqref="P83 AB83 AN83 AZ83">
    <cfRule type="expression" dxfId="403" priority="122">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402" priority="51">
      <formula>P$83="geen"</formula>
    </cfRule>
  </conditionalFormatting>
  <conditionalFormatting sqref="Q83 AC83 AO83 BA83">
    <cfRule type="expression" dxfId="401" priority="123">
      <formula>OR(AND(Q83="",Q$24&gt;0),ISERROR(MATCH(Q83,toestellen_TAP_invoer,0)))</formula>
    </cfRule>
  </conditionalFormatting>
  <conditionalFormatting sqref="Q90 AC90 AO90 BA90">
    <cfRule type="expression" dxfId="400" priority="167">
      <formula>OR(AND(Q$24&gt;0,Q$78&gt;0,Q90=""),AND(Q90&lt;&gt;"ja",Q90&lt;&gt;"nee",Q90&lt;&gt;""))</formula>
    </cfRule>
  </conditionalFormatting>
  <conditionalFormatting sqref="T158:T159">
    <cfRule type="expression" dxfId="399" priority="76">
      <formula>T$29=0</formula>
    </cfRule>
  </conditionalFormatting>
  <conditionalFormatting sqref="T161:T162">
    <cfRule type="expression" dxfId="398" priority="75">
      <formula>T$29=0</formula>
    </cfRule>
  </conditionalFormatting>
  <conditionalFormatting sqref="T164">
    <cfRule type="expression" dxfId="397" priority="74">
      <formula>T$29=0</formula>
    </cfRule>
  </conditionalFormatting>
  <conditionalFormatting sqref="T193">
    <cfRule type="expression" dxfId="396" priority="77">
      <formula>T$29=0</formula>
    </cfRule>
  </conditionalFormatting>
  <conditionalFormatting sqref="T207">
    <cfRule type="expression" dxfId="395" priority="105">
      <formula>T$29=0</formula>
    </cfRule>
  </conditionalFormatting>
  <conditionalFormatting sqref="T224:T225">
    <cfRule type="expression" dxfId="394" priority="102">
      <formula>T$29=0</formula>
    </cfRule>
  </conditionalFormatting>
  <conditionalFormatting sqref="T189:W191">
    <cfRule type="expression" dxfId="393" priority="78">
      <formula>T$29=0</formula>
    </cfRule>
  </conditionalFormatting>
  <conditionalFormatting sqref="U157:W159">
    <cfRule type="expression" dxfId="392" priority="130">
      <formula>U$29=0</formula>
    </cfRule>
  </conditionalFormatting>
  <conditionalFormatting sqref="AA190">
    <cfRule type="expression" dxfId="391" priority="111">
      <formula>AA$29=0</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390" priority="60">
      <formula>OR(O$78=0,O$104="geen")</formula>
    </cfRule>
  </conditionalFormatting>
  <conditionalFormatting sqref="AA212:AC212">
    <cfRule type="expression" dxfId="389" priority="50">
      <formula>AA$29=0</formula>
    </cfRule>
  </conditionalFormatting>
  <conditionalFormatting sqref="AA189:AE189">
    <cfRule type="expression" dxfId="388" priority="113">
      <formula>AA$29=0</formula>
    </cfRule>
  </conditionalFormatting>
  <conditionalFormatting sqref="AA219:AE219">
    <cfRule type="expression" dxfId="387" priority="108">
      <formula>AA$29=0</formula>
    </cfRule>
  </conditionalFormatting>
  <conditionalFormatting sqref="AA20:AI21">
    <cfRule type="expression" dxfId="386" priority="116">
      <formula>AA$19=""</formula>
    </cfRule>
  </conditionalFormatting>
  <conditionalFormatting sqref="AA22:AI22">
    <cfRule type="expression" dxfId="385" priority="66">
      <formula>OR(AA$19="",AND(AA$21&lt;&gt;woning,AA$21&lt;&gt;woongebouw))</formula>
    </cfRule>
  </conditionalFormatting>
  <conditionalFormatting sqref="AA25:AI25">
    <cfRule type="expression" dxfId="384" priority="160">
      <formula>AND(AA$19="",AA25&gt;0)</formula>
    </cfRule>
    <cfRule type="expression" dxfId="383" priority="161">
      <formula>AND(AA$19&lt;&gt;"",AA25="")</formula>
    </cfRule>
  </conditionalFormatting>
  <conditionalFormatting sqref="AA26:AI29 AM26:AU29 AY26:BG29 AA31:AI35 AM31:AU35 AY31:BG35">
    <cfRule type="expression" dxfId="382" priority="146">
      <formula>OR(AA$19="",AA$24=0)</formula>
    </cfRule>
  </conditionalFormatting>
  <conditionalFormatting sqref="AA42:AI49 AM42:AU49 AY42:BG49 O49:W49">
    <cfRule type="expression" dxfId="381" priority="16">
      <formula>OR(O$19="",O$24=0)</formula>
    </cfRule>
  </conditionalFormatting>
  <conditionalFormatting sqref="AA61:AI69 AM61:AU69 AY61:BG69">
    <cfRule type="expression" dxfId="380" priority="10">
      <formula>OR(AA$19="",AA$24=0)</formula>
    </cfRule>
  </conditionalFormatting>
  <conditionalFormatting sqref="AA71:AI71 AM71:AU71 AY71:BG71 O71:W71">
    <cfRule type="expression" dxfId="379" priority="136">
      <formula>AND(O$19&lt;&gt;"",O71="")</formula>
    </cfRule>
  </conditionalFormatting>
  <conditionalFormatting sqref="AA71:AI71 AM71:AU71 AY71:BG71">
    <cfRule type="expression" dxfId="378" priority="135">
      <formula>OR(AA$19="",AA$24=0)</formula>
    </cfRule>
  </conditionalFormatting>
  <conditionalFormatting sqref="AA73:AI73">
    <cfRule type="expression" dxfId="377" priority="57">
      <formula>AND(AA$19&lt;&gt;"",AA73="")</formula>
    </cfRule>
    <cfRule type="expression" dxfId="376" priority="56">
      <formula>OR(AA$19="",AA$24=0)</formula>
    </cfRule>
  </conditionalFormatting>
  <conditionalFormatting sqref="AA289:AI289 AM289:AU289 AY289:BG289">
    <cfRule type="expression" dxfId="375" priority="6">
      <formula>OR(AA$19="",AA$24=0)</formula>
    </cfRule>
  </conditionalFormatting>
  <conditionalFormatting sqref="AA290:AI292 AA230:AI230 AA232:AI232 AA237:AI240 AA244:AI252 AK244:AK252 AM244:AU252 AW244:AW252 AY244:BG252 AA254:AI256 AA258:AI258 AA260:AI260 AA265:AI265 AA267:AI272 AA274:AI274 AA276:AI276 AA278:AI279 AA283:AI283 AA285:AI287 AA294:AI294">
    <cfRule type="expression" dxfId="374" priority="27">
      <formula>AA$24=0</formula>
    </cfRule>
  </conditionalFormatting>
  <conditionalFormatting sqref="AA296:AI296">
    <cfRule type="expression" dxfId="373" priority="47">
      <formula>AA296&lt;AA291</formula>
    </cfRule>
  </conditionalFormatting>
  <conditionalFormatting sqref="AA298:AI298">
    <cfRule type="expression" dxfId="372" priority="41">
      <formula>AND(AA298&lt;&gt;"nvt",AA298&lt;=AA297)</formula>
    </cfRule>
    <cfRule type="expression" dxfId="371" priority="40">
      <formula>AND(AA298&lt;&gt;"nvt",AA298&gt;AA297)</formula>
    </cfRule>
  </conditionalFormatting>
  <conditionalFormatting sqref="AA301:AI301">
    <cfRule type="expression" dxfId="370" priority="39">
      <formula>AND(AA301&lt;&gt;"nvt",AA301&lt;=AA300)</formula>
    </cfRule>
    <cfRule type="expression" dxfId="369" priority="38">
      <formula>AND(AA301&lt;&gt;"nvt",AA301&gt;AA300)</formula>
    </cfRule>
  </conditionalFormatting>
  <conditionalFormatting sqref="AA306:AI314 AA316:AI318 AA320:AI320 AA322:AI322">
    <cfRule type="expression" dxfId="368" priority="85">
      <formula>AA$24=0</formula>
    </cfRule>
  </conditionalFormatting>
  <conditionalFormatting sqref="AA290:AU291">
    <cfRule type="expression" dxfId="367" priority="141">
      <formula>AA290&gt;AA285</formula>
    </cfRule>
  </conditionalFormatting>
  <conditionalFormatting sqref="AA299:AX299">
    <cfRule type="expression" dxfId="366" priority="33">
      <formula>AA299&lt;AA294</formula>
    </cfRule>
  </conditionalFormatting>
  <conditionalFormatting sqref="AF189:AF191">
    <cfRule type="expression" dxfId="365" priority="99">
      <formula>AF$29=0</formula>
    </cfRule>
  </conditionalFormatting>
  <conditionalFormatting sqref="AF224:AF225">
    <cfRule type="expression" dxfId="364" priority="100">
      <formula>AF$29=0</formula>
    </cfRule>
  </conditionalFormatting>
  <conditionalFormatting sqref="AF212:AI219 AK212:AK219 AM212:AU219 AW212:AW219 AY212:BD219">
    <cfRule type="expression" dxfId="363" priority="87">
      <formula>AF$29=0</formula>
    </cfRule>
  </conditionalFormatting>
  <conditionalFormatting sqref="AM190">
    <cfRule type="expression" dxfId="362" priority="110">
      <formula>AM$29=0</formula>
    </cfRule>
  </conditionalFormatting>
  <conditionalFormatting sqref="AM212:AO212">
    <cfRule type="expression" dxfId="361" priority="49">
      <formula>AM$29=0</formula>
    </cfRule>
  </conditionalFormatting>
  <conditionalFormatting sqref="AM22:AU22">
    <cfRule type="expression" dxfId="360" priority="65">
      <formula>OR(AM$19="",AND(AM$21&lt;&gt;woning,AM$21&lt;&gt;woongebouw))</formula>
    </cfRule>
  </conditionalFormatting>
  <conditionalFormatting sqref="AM73:AU73">
    <cfRule type="expression" dxfId="359" priority="55">
      <formula>AND(AM$19&lt;&gt;"",AM73="")</formula>
    </cfRule>
    <cfRule type="expression" dxfId="358" priority="54">
      <formula>OR(AM$19="",AM$24=0)</formula>
    </cfRule>
  </conditionalFormatting>
  <conditionalFormatting sqref="AM232:AU232">
    <cfRule type="expression" dxfId="357" priority="94">
      <formula>AM$24=0</formula>
    </cfRule>
  </conditionalFormatting>
  <conditionalFormatting sqref="AM260:AU260">
    <cfRule type="expression" dxfId="356" priority="95">
      <formula>AM$24=0</formula>
    </cfRule>
  </conditionalFormatting>
  <conditionalFormatting sqref="AM294:AU294">
    <cfRule type="expression" dxfId="355" priority="26">
      <formula>AM$24=0</formula>
    </cfRule>
  </conditionalFormatting>
  <conditionalFormatting sqref="AM296:AU296">
    <cfRule type="expression" dxfId="354" priority="46">
      <formula>AM296&lt;AM291</formula>
    </cfRule>
  </conditionalFormatting>
  <conditionalFormatting sqref="AM298:AU298">
    <cfRule type="expression" dxfId="353" priority="36">
      <formula>AND(AM298&lt;&gt;"nvt",AM298&gt;AM297)</formula>
    </cfRule>
    <cfRule type="expression" dxfId="352" priority="37">
      <formula>AND(AM298&lt;&gt;"nvt",AM298&lt;=AM297)</formula>
    </cfRule>
  </conditionalFormatting>
  <conditionalFormatting sqref="AM301:AU301">
    <cfRule type="expression" dxfId="351" priority="34">
      <formula>AND(AM301&lt;&gt;"nvt",AM301&gt;AM300)</formula>
    </cfRule>
    <cfRule type="expression" dxfId="350" priority="35">
      <formula>AND(AM301&lt;&gt;"nvt",AM301&lt;=AM300)</formula>
    </cfRule>
  </conditionalFormatting>
  <conditionalFormatting sqref="AM306:AU314 AM316:AU318 AM320:AU320 AM322:AU322">
    <cfRule type="expression" dxfId="349" priority="84">
      <formula>AM$24=0</formula>
    </cfRule>
  </conditionalFormatting>
  <conditionalFormatting sqref="AR189:AR191">
    <cfRule type="expression" dxfId="348" priority="96">
      <formula>AR$29=0</formula>
    </cfRule>
  </conditionalFormatting>
  <conditionalFormatting sqref="AR224:AR225">
    <cfRule type="expression" dxfId="347" priority="97">
      <formula>AR$29=0</formula>
    </cfRule>
  </conditionalFormatting>
  <conditionalFormatting sqref="AR293">
    <cfRule type="expression" dxfId="346" priority="98">
      <formula>AR293&lt;AR288</formula>
    </cfRule>
  </conditionalFormatting>
  <conditionalFormatting sqref="AY190">
    <cfRule type="expression" dxfId="345" priority="109">
      <formula>AY$29=0</formula>
    </cfRule>
  </conditionalFormatting>
  <conditionalFormatting sqref="AY109:BA109">
    <cfRule type="expression" dxfId="344" priority="156">
      <formula>AND(AY$78&gt;0,AY109="")</formula>
    </cfRule>
  </conditionalFormatting>
  <conditionalFormatting sqref="AY212:BA212">
    <cfRule type="expression" dxfId="343" priority="48">
      <formula>AY$29=0</formula>
    </cfRule>
  </conditionalFormatting>
  <conditionalFormatting sqref="AY189:BC189">
    <cfRule type="expression" dxfId="342" priority="112">
      <formula>AY$29=0</formula>
    </cfRule>
  </conditionalFormatting>
  <conditionalFormatting sqref="AY22:BG22">
    <cfRule type="expression" dxfId="341" priority="64">
      <formula>OR(AY$19="",AND(AY$21&lt;&gt;woning,AY$21&lt;&gt;woongebouw))</formula>
    </cfRule>
  </conditionalFormatting>
  <conditionalFormatting sqref="AY73:BG73">
    <cfRule type="expression" dxfId="340" priority="53">
      <formula>AND(AY$19&lt;&gt;"",AY73="")</formula>
    </cfRule>
    <cfRule type="expression" dxfId="339" priority="52">
      <formula>OR(AY$19="",AY$24=0)</formula>
    </cfRule>
  </conditionalFormatting>
  <conditionalFormatting sqref="AY232:BG232">
    <cfRule type="expression" dxfId="338" priority="86">
      <formula>AY$24=0</formula>
    </cfRule>
  </conditionalFormatting>
  <conditionalFormatting sqref="AY290:BG291">
    <cfRule type="expression" dxfId="337" priority="140">
      <formula>AY290&gt;AY285</formula>
    </cfRule>
  </conditionalFormatting>
  <conditionalFormatting sqref="AY294:BG295">
    <cfRule type="expression" dxfId="336" priority="25">
      <formula>AY$24=0</formula>
    </cfRule>
  </conditionalFormatting>
  <conditionalFormatting sqref="AY297:BG298 AY300:BG301 AY290:BG292 AY254:BG256 AY258:BG258 AY260:BG260 AY265:BG265 AY267:BG272 AY274:BG274 AY276:BG276 AY278:BG278 AY283:BG283 AY285:BG287 AY306:BG314">
    <cfRule type="expression" dxfId="335" priority="82">
      <formula>AY$24=0</formula>
    </cfRule>
  </conditionalFormatting>
  <conditionalFormatting sqref="AY298:BG298">
    <cfRule type="expression" dxfId="334" priority="31">
      <formula>AND(AY298&lt;&gt;"nvt",AY298&gt;AY297)</formula>
    </cfRule>
    <cfRule type="expression" dxfId="333" priority="32">
      <formula>AND(AY298&lt;&gt;"nvt",AY298&lt;=AY297)</formula>
    </cfRule>
  </conditionalFormatting>
  <conditionalFormatting sqref="AY301:BG301">
    <cfRule type="expression" dxfId="332" priority="30">
      <formula>AND(AY301&lt;&gt;"nvt",AY301&lt;=AY300)</formula>
    </cfRule>
    <cfRule type="expression" dxfId="331" priority="29">
      <formula>AND(AY301&lt;&gt;"nvt",AY301&gt;AY300)</formula>
    </cfRule>
  </conditionalFormatting>
  <conditionalFormatting sqref="AY316:BG318 AY320:BG320">
    <cfRule type="expression" dxfId="330" priority="89">
      <formula>AY$24=0</formula>
    </cfRule>
  </conditionalFormatting>
  <conditionalFormatting sqref="AY322:BG322">
    <cfRule type="expression" dxfId="329" priority="88">
      <formula>AY$24=0</formula>
    </cfRule>
  </conditionalFormatting>
  <conditionalFormatting sqref="BD164:BD165">
    <cfRule type="expression" dxfId="328" priority="79">
      <formula>BD$29=0</formula>
    </cfRule>
  </conditionalFormatting>
  <conditionalFormatting sqref="BD189:BD191">
    <cfRule type="expression" dxfId="327" priority="90">
      <formula>BD$29=0</formula>
    </cfRule>
  </conditionalFormatting>
  <conditionalFormatting sqref="BD224:BD225">
    <cfRule type="expression" dxfId="326" priority="91">
      <formula>BD$29=0</formula>
    </cfRule>
  </conditionalFormatting>
  <conditionalFormatting sqref="BD292">
    <cfRule type="expression" dxfId="325" priority="92">
      <formula>BD292&lt;BD287</formula>
    </cfRule>
  </conditionalFormatting>
  <conditionalFormatting sqref="BH189:BH191 BH193:BH195">
    <cfRule type="expression" dxfId="324" priority="144">
      <formula>AND(BH189&lt;&gt;"-",BH189&gt;BH190)</formula>
    </cfRule>
  </conditionalFormatting>
  <conditionalFormatting sqref="BH230">
    <cfRule type="expression" dxfId="323" priority="154">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504AEB68-652A-4E8C-9C18-68CF9C3AE77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3F63724-BAA8-42F1-BA40-6858B4D4F514}"/>
    <dataValidation allowBlank="1" showInputMessage="1" showErrorMessage="1" promptTitle="Energiepakket / energiebehoefte" sqref="O40:BG40" xr:uid="{8B2D7186-BABD-4215-A03D-C2F03AF5897F}"/>
    <dataValidation type="list" allowBlank="1" showInputMessage="1" showErrorMessage="1" promptTitle="Energiepakket / energiebehoefte" sqref="AY41:BG41 AA41:AI41 AM41:AU41 O41:W41" xr:uid="{34413138-B6EC-4678-87E7-4A02E4F53CB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63C0B7AB-F89A-4492-9C7F-D6F8F1DF226C}"/>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D87D9E98-559F-440A-BEAF-C932B2FEA731}"/>
    <dataValidation allowBlank="1" showInputMessage="1" showErrorMessage="1" promptTitle="Standaardwaarde" prompt="Deze standaard geeft aan wanneer een woning goed genoeg is geïsoleerd om aardgasvrij te worden. Hij is ontstaan uit het Klimaatakkoord._x000a_" sqref="D296" xr:uid="{98B1D963-E3A1-4542-AA80-2FDDB6981B41}"/>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E115F6EF-19C3-45E6-9574-206B7D1B594B}"/>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6EF8BEAC-8A7F-4A44-B45E-E95F15902BD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50F718C7-AE75-4DB6-A29E-D59B3F28A501}"/>
    <dataValidation type="textLength" allowBlank="1" showInputMessage="1" showErrorMessage="1" errorTitle="Maximaal 65 karakters" error="Maximaal 65 karakters." sqref="F4" xr:uid="{614C1EB9-7392-48D4-8391-A19CB76D8B5E}">
      <formula1>0</formula1>
      <formula2>65</formula2>
    </dataValidation>
    <dataValidation type="textLength" errorStyle="warning" allowBlank="1" showInputMessage="1" showErrorMessage="1" errorTitle="Maximaal 30 karakters" error="Maximaal 30 karakters" sqref="H3" xr:uid="{F52A3BB4-801D-4C7F-BCBD-83A90F42338E}">
      <formula1>0</formula1>
      <formula2>40</formula2>
    </dataValidation>
    <dataValidation type="textLength" errorStyle="warning" allowBlank="1" showInputMessage="1" showErrorMessage="1" errorTitle="Maximaal 30 karakters" error="Maximaal 30 karakters" sqref="E3 F4" xr:uid="{BAFB1AAF-2104-4C61-A03B-24742B75F21C}">
      <formula1>0</formula1>
      <formula2>30</formula2>
    </dataValidation>
    <dataValidation type="decimal" allowBlank="1" showInputMessage="1" showErrorMessage="1" errorTitle="Bereik 0%-100%" error="De ingevoerde waarde valt buiten het bereik." sqref="O44:W44 AA44:AI44 AY44:BG44 AM44:AU44" xr:uid="{2E4C4F05-7F1B-440F-9D0E-1A7E0E2CD5A5}">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6CA7CFC4-E1D5-4200-83A1-A07415DC4041}"/>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4249A3B9-F030-4109-8AA7-153C55D8A52C}"/>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DC88038F-46F9-4007-ADB6-F8A6F936ABD5}"/>
    <dataValidation allowBlank="1" showInputMessage="1" showErrorMessage="1" promptTitle="Aandeel hernieuwbare energie" prompt="Aandeel hernieuwbare energie._x000a__x000a_RERPrenTOT = EPrenTot / (EPTot + EPrenTot) * 100%_x000a__x000a_Cf. NTA8800 par. 5.3.1.3, formule 5.3" sqref="D292" xr:uid="{2B5894F5-88E4-4406-98D3-68BB9023110C}"/>
    <dataValidation type="list" allowBlank="1" showInputMessage="1" showErrorMessage="1" sqref="O47:W47 AA47:AI47 AY47:BG47 AM47:AU47" xr:uid="{78E1E5C4-163C-4A49-9821-53593770376D}">
      <formula1>"elektriciteit,aardgas"</formula1>
    </dataValidation>
    <dataValidation allowBlank="1" showInputMessage="1" showErrorMessage="1" promptTitle="Kookgas" prompt="Gasverbruik voor kookgas." sqref="D68" xr:uid="{92566BC9-8909-4C06-99D5-616814FA0477}"/>
    <dataValidation allowBlank="1" showInputMessage="1" showErrorMessage="1" promptTitle="Hernieuwbare 'primaire' energie" prompt="De totale hernieuwbare 'primaire' energie voor GEBOUWGEBONDEN energiegebruik is berekend cf. NTA8800._x000a__x000a_NTA8800 par. 5.6." sqref="D263" xr:uid="{76315DCE-D4F0-4102-BE65-0424BDC7C88A}"/>
    <dataValidation allowBlank="1" showInputMessage="1" showErrorMessage="1" promptTitle="Energieprestatie indicatoren" prompt="De energieprestatie indicatoren gaan alleen over GEBOUWGEBONDEN energiegebruik en zijn bepaald cf. paragraaf 5.3.1 van NTA 8800._x000a__x000a_" sqref="D281" xr:uid="{528132A7-8983-443F-9950-9F57FB19726A}"/>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73E758BE-9D8B-4F77-884E-34C173BE8EBD}"/>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EF29B2C-CA0A-41DD-B978-BED306656AB0}"/>
    <dataValidation allowBlank="1" showInputMessage="1" showErrorMessage="1" promptTitle="Woningen|utiliteitsgebouwen" prompt="De tabel geeft een terugkoppeling van de ingevoerde woningen en utileitsgebouwen in" sqref="D17" xr:uid="{1DB2F574-4659-48FB-8C3D-0FCAF70CDE67}"/>
    <dataValidation allowBlank="1" showInputMessage="1" showErrorMessage="1" promptTitle="Resultaten" prompt="De tabel geeft een samenvatting van het primair energiegebruik, de CO2 emissie en het gasverbruik van de locatie(s) als gevolg van energetische keuzes in deze variant." sqref="D10" xr:uid="{5C55C75E-260E-4096-884F-CE233E27BCD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1E91E295-71A5-4026-83ED-C7A6AB8F3496}"/>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F4BC2DD3-6EBC-4525-8C15-67313B4728C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02A7CDBB-EE20-4A96-B18F-D5C03C3660A1}"/>
    <dataValidation allowBlank="1" showInputMessage="1" showErrorMessage="1" promptTitle="Keuze preferent toestel" prompt="De keuze van het preferente toestel bepaalt welke forfaitaire waarden voor warmtedistributie, energiedragers en rendementen uit de bibliotheek worden opgehaald." sqref="D82" xr:uid="{65ACCA70-2087-4A79-A588-D24D64C71B20}"/>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A39F2A96-ADAC-4152-915A-4B8C3995B7E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A0750E8A-B33D-4C7B-A28B-0A672BE02329}"/>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ED111D9-DFD4-4AAE-9E20-1BC89BF07AEE}"/>
    <dataValidation type="decimal" allowBlank="1" showInputMessage="1" showErrorMessage="1" errorTitle="Bereik 0,0-0,5" error="De ingevoerde waarde valt buiten het bereik." sqref="O129:Q129 AA129:AC129 AY129:BA129 AM129:AO129" xr:uid="{76CD7D12-E19A-4C12-9473-6C58E50991F0}">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64A5CA96-956F-4884-8248-91642FEF12B9}">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C6984F35-4A53-45ED-8394-2DBFDA75D945}">
      <formula1>0</formula1>
      <formula2>2</formula2>
    </dataValidation>
    <dataValidation type="decimal" allowBlank="1" showInputMessage="1" showErrorMessage="1" errorTitle="Bereik 0,10-1,00" error="De ingevoerde waarde valt buiten het bereik." sqref="O87 Q87 AA87 AC87 AY87 BA87 AM87 AO87" xr:uid="{2F50A221-7C70-4730-BC15-04F99E4AE356}">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3193472F-AC55-444A-B20F-AC301D6AD63E}">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E84175BB-C39D-4B9A-BB1E-435317BCE811}">
      <formula1>0</formula1>
    </dataValidation>
    <dataValidation type="decimal" allowBlank="1" showInputMessage="1" showErrorMessage="1" errorTitle="Bereik 0-30" error="De ingevoerde waarde valt buiten het bereik." sqref="O45:W45 AA45:AI45 AY45:BG45 AM45:AU45" xr:uid="{F37D4B56-0B8C-4754-A4C7-54CFC1C7B31E}">
      <formula1>0</formula1>
      <formula2>30</formula2>
    </dataValidation>
    <dataValidation type="decimal" operator="greaterThanOrEqual" allowBlank="1" showInputMessage="1" showErrorMessage="1" errorTitle="Bereik ≥0" error="De ingevulde waarde valt buiten het bereik." sqref="O25:W25 AA25:AI25 AY25:BG25 AM25:AU25" xr:uid="{D1BA1354-2203-4C21-B4AF-B8C176D4C3B0}">
      <formula1>0</formula1>
    </dataValidation>
    <dataValidation type="decimal" allowBlank="1" showInputMessage="1" showErrorMessage="1" errorTitle="Bereik 0%-100%" error="De ingevoerde waarde valt buiten het bereik." sqref="AA48:AI48 AY48:BG48 AM48:AU48 O48:W48" xr:uid="{240BA3F9-B56F-48DD-B255-E1726E292F8F}">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67244E04-B4CC-4AF6-B383-67AF335DEA97}">
      <formula1>0.1</formula1>
      <formula2>15</formula2>
    </dataValidation>
    <dataValidation type="decimal" allowBlank="1" showInputMessage="1" showErrorMessage="1" errorTitle="Bereik 0%-100%" error="De ingevoerde waarde is buiten het bereik." sqref="AY109:BA109 AA109:AC109 O109:Q109 AM109:AO109" xr:uid="{272A242B-CA16-4B14-9666-0684A018BA49}">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5EAFF0B5-B831-40A5-ACA1-A3C1F89D1218}"/>
    <dataValidation allowBlank="1" showInputMessage="1" showErrorMessage="1" promptTitle="primaire energie indicator" prompt="Het totale gebouwgebonden primaire (vermeden) energiegebruik (voor woningen ZONDER verlichting) in kWh/m2._x000a__x000a_NTA8800, par. 5.3.1.2_x000a__x000a_" sqref="D291" xr:uid="{62AA338A-DA18-44EA-A88D-705DB8843754}"/>
    <dataValidation allowBlank="1" showInputMessage="1" showErrorMessage="1" promptTitle="energiebehoefte-indicator" prompt="Warmtebehoefte ruimteverwarming + koudebehoefte voor koeling, berekend met ventilatiesysteem C1, in kWh/m2._x000a__x000a_NTA8800, par. 5.3.1.1_x000a__x000a_" sqref="D290" xr:uid="{ADC5E7F1-0EA6-4867-8DE9-B781C2BCA8E2}"/>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086FD53B-8032-4D1F-9C44-3014863A6420}"/>
    <dataValidation allowBlank="1" showInputMessage="1" showErrorMessage="1" promptTitle="BENG eisen 2021" prompt="De BENG eisen zijn overgenomen van:_x000a__x000a_https://zoek.officielebekendmakingen.nl/stb-2019-501.html_x000a__x000a_" sqref="D284" xr:uid="{FCF91489-3C01-4446-A892-A2A39A6DF5E6}"/>
    <dataValidation allowBlank="1" showInputMessage="1" showErrorMessage="1" promptTitle="Energiegebruik per energiepost" prompt="Per deellocatie is de energiebehoefte van alle woningen en gebouwen per energiepost gesommeerd." sqref="D78" xr:uid="{96F2F32A-6D7A-4A83-BDFE-DC6C7698A1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9BD10F3F-196E-4F2A-91CA-9C0D25179692}"/>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19CA9B15-8D07-4530-8388-596381FE8C5A}"/>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C85DB223-9714-4CFA-8C91-6A37B922F6E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D6C73975-6685-48E9-8708-E296AE51D747}"/>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638D19E9-44C7-400E-9C95-021A84B02F96}"/>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8B200FDE-C9BB-4481-B50D-4EA3404CCEF6}"/>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646682E5-E02C-4FA5-8485-44E497A42327}"/>
    <dataValidation allowBlank="1" showInputMessage="1" showErrorMessage="1" promptTitle="Aandeel hernieuwb. prim energie" prompt="Aandeel hernieuwbare energie._x000a__x000a_RERPrenTOT = EPrenTot / (EPTot + EPrenTot) * 100%_x000a__x000a_Cf. NTA8800 par. 5.3.1.3, formule 5.3" sqref="D278" xr:uid="{70BF6A8A-3AAB-4F95-A6F1-61C803DC4AEA}"/>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D8EEA06E-09F9-450D-82FD-3656610AA801}"/>
    <dataValidation allowBlank="1" showInputMessage="1" showErrorMessage="1" promptTitle="Totaal hernieuwbare prim energie" prompt="Hernieuwbare 'primaire' energie van de woning of het gebouw." sqref="D276" xr:uid="{B3AA6F71-D88D-4B42-9CA2-C24BF6784071}"/>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1388DD6-8F83-484D-B3C1-0A1250804A1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0C49C56F-4658-4863-B1D1-BCBEC0CEE652}"/>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9708D4F0-EBF4-44B1-AAA8-5FB37DE7344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31A9E50D-00F5-4FC3-8AEA-3AA13C690F93}"/>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A1DA37E5-27CD-428E-8C12-16503EE8E1FB}"/>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E2168FF9-CF52-4161-87E0-045E5E6B0C3E}"/>
    <dataValidation allowBlank="1" showInputMessage="1" showErrorMessage="1" promptTitle="Vermogen verwarming &amp; koeling" prompt="Een indicatie van het verwarmings- en koelvermogen op basis van formules NTA8800. Zie 'bibliotheek' voor meer details." sqref="D99" xr:uid="{157FC3DA-E4F0-4DD3-9985-73EFBFD0FD55}"/>
    <dataValidation type="list" allowBlank="1" showInputMessage="1" showErrorMessage="1" sqref="O46:W46 AA46:AI46 AY46:BG46 AM46:AU46" xr:uid="{26E0AC34-B38D-4E9E-91A4-8E359EC6062B}">
      <formula1>verlichtingsregeling_namen</formula1>
    </dataValidation>
    <dataValidation type="list" allowBlank="1" showInputMessage="1" showErrorMessage="1" sqref="O43:W43 AA43:AI43 AY43:BG43 AM43:AU43" xr:uid="{6989BD2F-0EF4-4969-82E6-30C4FC254F34}">
      <formula1>ventilatoren_typen</formula1>
    </dataValidation>
    <dataValidation type="list" allowBlank="1" showInputMessage="1" showErrorMessage="1" sqref="O42:W42 AY42:BG42 AA42:AI42 AM42:AU42" xr:uid="{4565F115-2A0F-4A72-A14C-B3FC3E26797A}">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880C61D2-A0E6-4EA5-B5DA-CF6CAF3C767F}"/>
    <dataValidation type="list" allowBlank="1" showInputMessage="1" showErrorMessage="1" errorTitle="Toestel RV" error="Kies een beschikbaar toestel." sqref="Q90 AA90 AC90 AM90 AO90 AY90 BA90 O90" xr:uid="{82DF35B6-E57C-4357-884E-D209E56D3350}">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EF851DD-9788-4631-AB7D-983D00F2D98C}"/>
    <dataValidation allowBlank="1" showInputMessage="1" showErrorMessage="1" promptTitle="Warmtebehoefte warmtapwater" prompt="De energiebehoefte voor warmtapwatergebruik wordt berekend op basis van rekenregels in NTA8800 (paragraaf 13.2)." sqref="D65" xr:uid="{2D0D2FDD-4748-4400-8CAA-C99D3D09C8A8}"/>
    <dataValidation allowBlank="1" showInputMessage="1" showErrorMessage="1" promptTitle="Gegevensfilter en navigatie" prompt="&lt;-_x000a_Het gegevensfilter biedt de mogelijkheid om (delen van) tabellen in de UMGO te filteren._x000a__x000a_-&gt;_x000a_Navigatieknoppen naar andere tabbladen." sqref="D8" xr:uid="{14B2E6B8-547A-480C-9EEC-350CF359533F}"/>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23D73B77-9AFA-4604-A9CF-BC8E5F9837FA}"/>
    <dataValidation type="list" allowBlank="1" showInputMessage="1" showErrorMessage="1" sqref="Q83 AC83 BA83 AO83" xr:uid="{51B53EA7-CE32-447F-AB18-015196AADA30}">
      <formula1>toestellen_TAP_invoer</formula1>
    </dataValidation>
    <dataValidation type="list" allowBlank="1" showInputMessage="1" showErrorMessage="1" sqref="P83 AB83 AZ83 AN83" xr:uid="{9B9465D3-5109-452B-869E-C52FA7F27E59}">
      <formula1>toestellen_KOEL_invoer</formula1>
    </dataValidation>
    <dataValidation type="list" allowBlank="1" showInputMessage="1" showErrorMessage="1" sqref="AY83" xr:uid="{81DDEE0D-D9A9-438A-9377-6F30ED89004F}">
      <formula1>toestellen_RV_invoer</formula1>
    </dataValidation>
    <dataValidation type="list" allowBlank="1" showInputMessage="1" showErrorMessage="1" sqref="F5" xr:uid="{456BA706-0AB4-4936-87A2-C57F2ECB23B6}">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41D7C78-8105-4AC9-AC98-016CA08793AC}"/>
    <dataValidation allowBlank="1" showInputMessage="1" showErrorMessage="1" promptTitle="Primair energiegebruik" prompt="De Uniforme Maatlat rekent op onderwaarde. De EPG rekent echter op bovenwaarde. De berekende primaire energiebruiken in de EPG zijn daarom hoger." sqref="D162" xr:uid="{4451084B-A469-4589-AF09-FF18C8BCE578}"/>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D22CFBED-26F4-4522-9739-08B0012CC796}"/>
    <dataValidation type="whole" allowBlank="1" showInputMessage="1" showErrorMessage="1" sqref="AN142:AO142 AN145:AO146 AB145:AC146 P145:Q146 AB142:AC142 AZ145:BA145" xr:uid="{B679BBEF-57AC-454B-A767-9E7CFB7FBD18}">
      <formula1>0</formula1>
      <formula2>1</formula2>
    </dataValidation>
    <dataValidation type="decimal" allowBlank="1" showInputMessage="1" showErrorMessage="1" sqref="AM142 AM145:AM146 AA145:AA146 O145:O146 AA142 AY145" xr:uid="{0784104E-699E-49AE-8F40-F2184BE28FAB}">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C3B41441-5D20-4DCD-9CCA-F277B8CD43D3}"/>
    <dataValidation allowBlank="1" showInputMessage="1" showErrorMessage="1" promptTitle="Opwekkingsrendement" prompt="Binnen de Uniforme Maatlat wordt het opwekkingsrendement op bovenwaarde gebruikt." sqref="D111" xr:uid="{58447E9B-DE01-4BAC-B4DB-BAA1B2FC30FE}"/>
    <dataValidation allowBlank="1" showInputMessage="1" showErrorMessage="1" promptTitle="Forfaitaire waarden PV" prompt="Forfaitaire waarde voor opbrengst van PV: 875 kWh/kWp._x000a_" sqref="D171" xr:uid="{E6592903-3149-4942-959A-5319160B37A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C08316DB-0D89-4E64-957F-40E8CA1238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A1A67C7D-6485-4C30-AAEF-A9F450992C14}"/>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2F13DD54-A98D-480D-8EE8-1EDC5AD96AF8}"/>
    <dataValidation allowBlank="1" showInputMessage="1" showErrorMessage="1" promptTitle="PV" prompt="Opbrengst PV op gevel en dak in kWh per woning | utiliteitsgebouw." sqref="D73" xr:uid="{949CB575-2E34-4D98-9294-5EC661C29549}"/>
    <dataValidation allowBlank="1" showInputMessage="1" showErrorMessage="1" promptTitle="Mobiliteit" prompt="Het geschatte elektriciteitsgebruik voor mobiliteit, bijvoorbeeld door elektrische auto's, kan worden ingevuld in kWh per woning of per utiliteitsgebouw." sqref="D71" xr:uid="{DB871F3B-0703-46B4-B9A7-A0193A9C84E0}"/>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A863099A-7F37-405B-A990-D8785E8B0D72}"/>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17124C37-C3C5-4626-84C5-3ED33BB38BA5}"/>
    <dataValidation type="list" allowBlank="1" showInputMessage="1" showErrorMessage="1" errorTitle="Toestel RV" error="Kies een beschikbaar toestel." sqref="AA83 O83 AM83" xr:uid="{DA01FC5F-2020-437B-9F85-5CF207DBC1C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3994F072-25DE-4F31-8F44-9F16502D52F7}"/>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CE4AEDC9-FB1B-4A67-A688-F6EF5E4EF975}"/>
    <dataValidation type="list" allowBlank="1" showInputMessage="1" showErrorMessage="1" sqref="AY49:BG49 AA49:AI49 AM49:AU49 O49:W49" xr:uid="{8EE59022-C499-404F-A971-1E7CFCE1EFC1}">
      <formula1>specifieke_interne_warmtecapaciteit</formula1>
    </dataValidation>
    <dataValidation type="list" showInputMessage="1" showErrorMessage="1" sqref="G61 G63 G289" xr:uid="{4F1127AA-17EC-4A73-B095-ADB544855DB0}">
      <formula1>beschikbare_fitformules_NTA8800</formula1>
    </dataValidation>
  </dataValidations>
  <hyperlinks>
    <hyperlink ref="D284" r:id="rId1" tooltip="verwijzing naar Staatsblad 2019, 501 met BENG-eisen" xr:uid="{12CFDA8D-65F7-4AED-A6CF-4EF367B7ADDC}"/>
  </hyperlinks>
  <pageMargins left="0.23622047244094491" right="0.23622047244094491" top="0.74803149606299213" bottom="0.74803149606299213" header="0.31496062992125984" footer="0.31496062992125984"/>
  <pageSetup paperSize="9" scale="25" fitToHeight="0" orientation="landscape" r:id="rId2"/>
  <headerFooter alignWithMargins="0">
    <oddFooter>&amp;L_x000D_&amp;1#&amp;"Calibri"&amp;10&amp;K000000 Intern gebruik</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3201"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82" id="{DDA107F0-A829-4268-BE45-C17B5EACB40D}">
            <xm:f>OR(O$19="",O$24=0,IFERROR(INDEX(bibliotheek!#REF!,MATCH(IF(O$19="",bibliotheek!#REF!,O$42),ventilatiesystemen_namen,0))="A",0))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164D-E90B-477B-A119-FAC3E0654AA8}">
  <sheetPr codeName="Blad16"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5.1 - versie 2 mei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6</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2" t="str">
        <f>"project: "&amp;IF('woningen|utiliteit'!$F$3="","",'woningen|utiliteit'!$F$3)</f>
        <v xml:space="preserve">project: </v>
      </c>
      <c r="F3" s="1113"/>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4"/>
      <c r="G4" s="1114"/>
      <c r="H4" s="1115"/>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6" t="s">
        <v>94</v>
      </c>
      <c r="C5" s="1116"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6"/>
      <c r="C6" s="1116"/>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6"/>
      <c r="C7" s="1116"/>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25.5">
      <c r="A42" s="652"/>
      <c r="B42" s="492" t="s">
        <v>139</v>
      </c>
      <c r="C42" s="653" t="s">
        <v>125</v>
      </c>
      <c r="D42" s="747"/>
      <c r="E42" s="182" t="s">
        <v>143</v>
      </c>
      <c r="F42" s="182"/>
      <c r="G42" s="182"/>
      <c r="H42" s="183" t="s">
        <v>68</v>
      </c>
      <c r="I42" s="114"/>
      <c r="J42" s="707"/>
      <c r="K42" s="97"/>
      <c r="L42" s="97"/>
      <c r="M42" s="224"/>
      <c r="N42" s="99"/>
      <c r="O42" s="876" t="s">
        <v>1868</v>
      </c>
      <c r="P42" s="876" t="s">
        <v>1868</v>
      </c>
      <c r="Q42" s="876" t="s">
        <v>1868</v>
      </c>
      <c r="R42" s="876" t="s">
        <v>1868</v>
      </c>
      <c r="S42" s="876" t="s">
        <v>1868</v>
      </c>
      <c r="T42" s="876" t="s">
        <v>1868</v>
      </c>
      <c r="U42" s="876" t="s">
        <v>1868</v>
      </c>
      <c r="V42" s="876" t="s">
        <v>1868</v>
      </c>
      <c r="W42" s="876" t="s">
        <v>1868</v>
      </c>
      <c r="X42" s="764"/>
      <c r="Y42" s="224"/>
      <c r="Z42" s="765"/>
      <c r="AA42" s="876" t="s">
        <v>1868</v>
      </c>
      <c r="AB42" s="876" t="s">
        <v>1868</v>
      </c>
      <c r="AC42" s="876" t="s">
        <v>1868</v>
      </c>
      <c r="AD42" s="876" t="s">
        <v>1868</v>
      </c>
      <c r="AE42" s="876" t="s">
        <v>1868</v>
      </c>
      <c r="AF42" s="876" t="s">
        <v>1868</v>
      </c>
      <c r="AG42" s="876" t="s">
        <v>1868</v>
      </c>
      <c r="AH42" s="876" t="s">
        <v>1868</v>
      </c>
      <c r="AI42" s="876" t="s">
        <v>1868</v>
      </c>
      <c r="AJ42" s="764"/>
      <c r="AK42" s="224"/>
      <c r="AL42" s="766"/>
      <c r="AM42" s="876" t="s">
        <v>1868</v>
      </c>
      <c r="AN42" s="876" t="s">
        <v>1868</v>
      </c>
      <c r="AO42" s="876" t="s">
        <v>1868</v>
      </c>
      <c r="AP42" s="876" t="s">
        <v>1868</v>
      </c>
      <c r="AQ42" s="876" t="s">
        <v>1868</v>
      </c>
      <c r="AR42" s="876" t="s">
        <v>1868</v>
      </c>
      <c r="AS42" s="876" t="s">
        <v>1868</v>
      </c>
      <c r="AT42" s="876" t="s">
        <v>1868</v>
      </c>
      <c r="AU42" s="876" t="s">
        <v>1868</v>
      </c>
      <c r="AV42" s="764"/>
      <c r="AW42" s="224"/>
      <c r="AX42" s="766"/>
      <c r="AY42" s="876" t="s">
        <v>1868</v>
      </c>
      <c r="AZ42" s="876" t="s">
        <v>1868</v>
      </c>
      <c r="BA42" s="876" t="s">
        <v>1868</v>
      </c>
      <c r="BB42" s="876" t="s">
        <v>1868</v>
      </c>
      <c r="BC42" s="876" t="s">
        <v>1868</v>
      </c>
      <c r="BD42" s="876" t="s">
        <v>1868</v>
      </c>
      <c r="BE42" s="876" t="s">
        <v>1868</v>
      </c>
      <c r="BF42" s="876" t="s">
        <v>1868</v>
      </c>
      <c r="BG42" s="876" t="s">
        <v>1868</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c r="P45" s="878"/>
      <c r="Q45" s="878"/>
      <c r="R45" s="878"/>
      <c r="S45" s="878"/>
      <c r="T45" s="878"/>
      <c r="U45" s="878"/>
      <c r="V45" s="878"/>
      <c r="W45" s="878"/>
      <c r="X45" s="768"/>
      <c r="Y45" s="282"/>
      <c r="Z45" s="279"/>
      <c r="AA45" s="878"/>
      <c r="AB45" s="878"/>
      <c r="AC45" s="878"/>
      <c r="AD45" s="878"/>
      <c r="AE45" s="878"/>
      <c r="AF45" s="878"/>
      <c r="AG45" s="878"/>
      <c r="AH45" s="878"/>
      <c r="AI45" s="878"/>
      <c r="AJ45" s="768"/>
      <c r="AK45" s="282"/>
      <c r="AL45" s="769"/>
      <c r="AM45" s="878"/>
      <c r="AN45" s="878"/>
      <c r="AO45" s="878"/>
      <c r="AP45" s="878"/>
      <c r="AQ45" s="878"/>
      <c r="AR45" s="878"/>
      <c r="AS45" s="878"/>
      <c r="AT45" s="878"/>
      <c r="AU45" s="878"/>
      <c r="AV45" s="768"/>
      <c r="AW45" s="282"/>
      <c r="AX45" s="769"/>
      <c r="AY45" s="878"/>
      <c r="AZ45" s="878"/>
      <c r="BA45" s="878"/>
      <c r="BB45" s="878"/>
      <c r="BC45" s="878"/>
      <c r="BD45" s="878"/>
      <c r="BE45" s="878"/>
      <c r="BF45" s="878"/>
      <c r="BG45" s="878"/>
      <c r="BH45" s="261"/>
    </row>
    <row r="46" spans="1:60">
      <c r="A46" s="652"/>
      <c r="B46" s="492" t="s">
        <v>139</v>
      </c>
      <c r="C46" s="735" t="s">
        <v>125</v>
      </c>
      <c r="D46" s="747"/>
      <c r="E46" s="182" t="s">
        <v>150</v>
      </c>
      <c r="F46" s="182"/>
      <c r="G46" s="182"/>
      <c r="H46" s="183" t="s">
        <v>68</v>
      </c>
      <c r="I46" s="114"/>
      <c r="J46" s="707"/>
      <c r="K46" s="97"/>
      <c r="L46" s="97"/>
      <c r="M46" s="224"/>
      <c r="N46" s="99"/>
      <c r="O46" s="876"/>
      <c r="P46" s="876"/>
      <c r="Q46" s="876"/>
      <c r="R46" s="876"/>
      <c r="S46" s="876"/>
      <c r="T46" s="876"/>
      <c r="U46" s="876"/>
      <c r="V46" s="876"/>
      <c r="W46" s="876"/>
      <c r="X46" s="764"/>
      <c r="Y46" s="224"/>
      <c r="Z46" s="236"/>
      <c r="AA46" s="876"/>
      <c r="AB46" s="876"/>
      <c r="AC46" s="876"/>
      <c r="AD46" s="876"/>
      <c r="AE46" s="876"/>
      <c r="AF46" s="876"/>
      <c r="AG46" s="876"/>
      <c r="AH46" s="876"/>
      <c r="AI46" s="876"/>
      <c r="AJ46" s="764"/>
      <c r="AK46" s="224"/>
      <c r="AL46" s="766"/>
      <c r="AM46" s="876"/>
      <c r="AN46" s="876"/>
      <c r="AO46" s="876"/>
      <c r="AP46" s="876"/>
      <c r="AQ46" s="876"/>
      <c r="AR46" s="876"/>
      <c r="AS46" s="876"/>
      <c r="AT46" s="876"/>
      <c r="AU46" s="876"/>
      <c r="AV46" s="764"/>
      <c r="AW46" s="224"/>
      <c r="AX46" s="766"/>
      <c r="AY46" s="876"/>
      <c r="AZ46" s="876"/>
      <c r="BA46" s="876"/>
      <c r="BB46" s="876"/>
      <c r="BC46" s="876"/>
      <c r="BD46" s="876"/>
      <c r="BE46" s="876"/>
      <c r="BF46" s="876"/>
      <c r="BG46" s="876"/>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1873</v>
      </c>
      <c r="F49" s="1048"/>
      <c r="G49" s="1048"/>
      <c r="H49" s="1053" t="s">
        <v>1874</v>
      </c>
      <c r="I49" s="210"/>
      <c r="J49" s="238"/>
      <c r="K49" s="90"/>
      <c r="L49" s="90"/>
      <c r="M49" s="238"/>
      <c r="N49" s="105"/>
      <c r="O49" s="1054"/>
      <c r="P49" s="1054"/>
      <c r="Q49" s="1054"/>
      <c r="R49" s="1054"/>
      <c r="S49" s="1054"/>
      <c r="T49" s="1054"/>
      <c r="U49" s="1054"/>
      <c r="V49" s="1054"/>
      <c r="W49" s="1054"/>
      <c r="X49" s="763"/>
      <c r="Y49" s="238"/>
      <c r="Z49" s="236"/>
      <c r="AA49" s="1054"/>
      <c r="AB49" s="1054"/>
      <c r="AC49" s="1054"/>
      <c r="AD49" s="1054"/>
      <c r="AE49" s="1054"/>
      <c r="AF49" s="1054"/>
      <c r="AG49" s="1054"/>
      <c r="AH49" s="1054"/>
      <c r="AI49" s="1054"/>
      <c r="AJ49" s="763"/>
      <c r="AK49" s="238"/>
      <c r="AL49" s="763"/>
      <c r="AM49" s="1054"/>
      <c r="AN49" s="1054"/>
      <c r="AO49" s="1054"/>
      <c r="AP49" s="1054"/>
      <c r="AQ49" s="1054"/>
      <c r="AR49" s="1054"/>
      <c r="AS49" s="1054"/>
      <c r="AT49" s="1054"/>
      <c r="AU49" s="1054"/>
      <c r="AV49" s="763"/>
      <c r="AW49" s="238"/>
      <c r="AX49" s="763"/>
      <c r="AY49" s="1054"/>
      <c r="AZ49" s="1054"/>
      <c r="BA49" s="1054"/>
      <c r="BB49" s="1054"/>
      <c r="BC49" s="1054"/>
      <c r="BD49" s="1054"/>
      <c r="BE49" s="1054"/>
      <c r="BF49" s="1054"/>
      <c r="BG49" s="1054"/>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1876</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1876</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3"/>
      <c r="AB261" s="93"/>
      <c r="AC261" s="93"/>
      <c r="AD261" s="93"/>
      <c r="AE261" s="93"/>
      <c r="AF261" s="93"/>
      <c r="AG261" s="93"/>
      <c r="AH261" s="93"/>
      <c r="AI261" s="93"/>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90"/>
      <c r="AY266" s="90"/>
      <c r="AZ266" s="90"/>
      <c r="BA266" s="90"/>
      <c r="BB266" s="90"/>
      <c r="BC266" s="90"/>
      <c r="BD266" s="90"/>
      <c r="BE266" s="90"/>
      <c r="BF266" s="90"/>
      <c r="BG266" s="90"/>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1876</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Y0ajiscQvPv5niZ8dMb+BSlbokBk3IPo3vEWixHA8v82539jEh3YB5O48wgRiP02Ir1UNMaLktGCvowEWmAhDw==" saltValue="jv98K8frwMKrmo7DMsGQUg=="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322" priority="71">
      <formula>B16=""</formula>
    </cfRule>
  </conditionalFormatting>
  <conditionalFormatting sqref="B27:C324">
    <cfRule type="expression" dxfId="321" priority="2">
      <formula>B27=""</formula>
    </cfRule>
  </conditionalFormatting>
  <conditionalFormatting sqref="C10">
    <cfRule type="expression" dxfId="320" priority="113">
      <formula>C10=""</formula>
    </cfRule>
  </conditionalFormatting>
  <conditionalFormatting sqref="C12:C26">
    <cfRule type="expression" dxfId="319" priority="72">
      <formula>C12=""</formula>
    </cfRule>
  </conditionalFormatting>
  <conditionalFormatting sqref="E55">
    <cfRule type="expression" dxfId="318" priority="21">
      <formula>$G$6=FALSE</formula>
    </cfRule>
  </conditionalFormatting>
  <conditionalFormatting sqref="E281:J281">
    <cfRule type="expression" dxfId="317" priority="1">
      <formula>$G$6=TRUE</formula>
    </cfRule>
  </conditionalFormatting>
  <conditionalFormatting sqref="F4:F5 H3">
    <cfRule type="expression" dxfId="316" priority="138">
      <formula>F3=""</formula>
    </cfRule>
  </conditionalFormatting>
  <conditionalFormatting sqref="F5">
    <cfRule type="expression" dxfId="315" priority="136">
      <formula>OR($F$5="",ISERROR(MATCH(F5,opwekking_elektriciteit,0))=TRUE)</formula>
    </cfRule>
  </conditionalFormatting>
  <conditionalFormatting sqref="F2:H2">
    <cfRule type="expression" dxfId="314" priority="144">
      <formula>$F$2&lt;&gt;""</formula>
    </cfRule>
  </conditionalFormatting>
  <conditionalFormatting sqref="G61">
    <cfRule type="expression" dxfId="313" priority="11">
      <formula>OR(G61="",ISERROR(MATCH(G61,beschikbare_fitformules_NTA8800,0))=TRUE)</formula>
    </cfRule>
  </conditionalFormatting>
  <conditionalFormatting sqref="G63">
    <cfRule type="expression" dxfId="312" priority="7">
      <formula>OR(G63="",ISERROR(MATCH(G63,beschikbare_fitformules_NTA8800,0))=TRUE)</formula>
    </cfRule>
  </conditionalFormatting>
  <conditionalFormatting sqref="G289">
    <cfRule type="expression" dxfId="311" priority="3">
      <formula>OR(G289="",ISERROR(MATCH(G289,beschikbare_fitformules_NTA8800,0))=TRUE)</formula>
    </cfRule>
  </conditionalFormatting>
  <conditionalFormatting sqref="J32:J33">
    <cfRule type="cellIs" dxfId="310" priority="119" operator="greaterThan">
      <formula>0</formula>
    </cfRule>
  </conditionalFormatting>
  <conditionalFormatting sqref="J40:J42">
    <cfRule type="expression" dxfId="309" priority="70">
      <formula>J40="OK"</formula>
    </cfRule>
  </conditionalFormatting>
  <conditionalFormatting sqref="J46:J47">
    <cfRule type="expression" dxfId="308" priority="69">
      <formula>J46="OK"</formula>
    </cfRule>
  </conditionalFormatting>
  <conditionalFormatting sqref="J51">
    <cfRule type="cellIs" dxfId="307" priority="67" operator="notEqual">
      <formula>"OK"</formula>
    </cfRule>
  </conditionalFormatting>
  <conditionalFormatting sqref="J83">
    <cfRule type="cellIs" dxfId="306" priority="120" operator="notEqual">
      <formula>"OK"</formula>
    </cfRule>
  </conditionalFormatting>
  <conditionalFormatting sqref="J138">
    <cfRule type="cellIs" dxfId="305" priority="58" operator="equal">
      <formula>0</formula>
    </cfRule>
  </conditionalFormatting>
  <conditionalFormatting sqref="M32:M33">
    <cfRule type="cellIs" dxfId="304" priority="118" operator="greaterThan">
      <formula>0</formula>
    </cfRule>
  </conditionalFormatting>
  <conditionalFormatting sqref="M134:M149 Y134:Y149 AK134:AK149 AW134:AW149">
    <cfRule type="expression" dxfId="303" priority="141">
      <formula>SUM(M$134:M$149)=0</formula>
    </cfRule>
  </conditionalFormatting>
  <conditionalFormatting sqref="M138 Y138 AK138 AW138 J141 M141 Y141 AK141 AW141 J145 M145 Y145 AK145 AW145 J149 M149 Y149 AK149 AW149">
    <cfRule type="cellIs" dxfId="302" priority="62" operator="equal">
      <formula>0</formula>
    </cfRule>
  </conditionalFormatting>
  <conditionalFormatting sqref="O83 AA83 AM83 AY83">
    <cfRule type="expression" dxfId="301" priority="66">
      <formula>OR(AND(O83="",O$24&gt;0),ISERROR(MATCH(O83,toestellen_RV_invoer,0)))</formula>
    </cfRule>
  </conditionalFormatting>
  <conditionalFormatting sqref="O90 Q90 AA90 AC90 AM90 AO90 AY90 BA90">
    <cfRule type="expression" dxfId="300" priority="137">
      <formula>OR(AND(O$78&gt;0,O90=""),AND(O90&lt;&gt;"ja",O90&lt;&gt;"nee",O90&lt;&gt;""))</formula>
    </cfRule>
  </conditionalFormatting>
  <conditionalFormatting sqref="O129 Q129 AA129 AC129 AM129 AO129 AY129 BA129">
    <cfRule type="expression" dxfId="299" priority="151">
      <formula>O$128=0</formula>
    </cfRule>
  </conditionalFormatting>
  <conditionalFormatting sqref="O90:Q91 AA90:AC91 AM90:AO91 AY90:BA91 O86:Q88 AA86:AC88 AM86:AO88 AY86:BA88 O93:Q95 AA93:AC95 AM93:AO95 AY93:BA95 O83:Q84 AA83:AC84 AM83:AO84 AY83:BA84 O97:Q99 AA97:AC99 AM97:AO99 AY97:BA99">
    <cfRule type="expression" dxfId="298" priority="164">
      <formula>O$29=0</formula>
    </cfRule>
    <cfRule type="expression" dxfId="297" priority="165">
      <formula>O$78=0</formula>
    </cfRule>
  </conditionalFormatting>
  <conditionalFormatting sqref="O104:Q104 AA104:AC104 AM104:AO104 AY104:BA104 AA134:AC134 AM134:AO134 AY134:BA134">
    <cfRule type="expression" dxfId="296" priority="133">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295" priority="123">
      <formula>AND(O$78&gt;0,O87="")</formula>
    </cfRule>
  </conditionalFormatting>
  <conditionalFormatting sqref="O134:Q134">
    <cfRule type="expression" dxfId="294" priority="130">
      <formula>O$78=0</formula>
    </cfRule>
  </conditionalFormatting>
  <conditionalFormatting sqref="O135:Q141 AA135:AC141 AM135:AO141 AY135:BA141 O143:Q145 AA143:AC145 AM143:AO145 AY143:BA145 O147:Q149 AA147:AC149 AM147:AO149 AY147:BA149">
    <cfRule type="expression" dxfId="293" priority="57">
      <formula>OR(O$78=0,O$134="geen")</formula>
    </cfRule>
  </conditionalFormatting>
  <conditionalFormatting sqref="O140:Q140 AA140:AC140 AM140:AO140 AY140:BA140 O144:Q144 AA144:AC144 AM144:AO144 AY144:BA144 O148:Q148 AA148:AC148 AM148:AO148 AY148:BA148">
    <cfRule type="expression" dxfId="292" priority="162">
      <formula>AND(O$78&gt;0,O$134&lt;&gt;"geen",O140="")</formula>
    </cfRule>
  </conditionalFormatting>
  <conditionalFormatting sqref="O154:Q156 AA154:AC156 AM154:AO156 AY154:BA156">
    <cfRule type="expression" dxfId="291" priority="167">
      <formula>OR(O$29=0,O$126=0)</formula>
    </cfRule>
  </conditionalFormatting>
  <conditionalFormatting sqref="O155:Q155 AA155:AC155 AM155:AO155 AY155:BA155">
    <cfRule type="expression" dxfId="290" priority="132">
      <formula>AND(O$126&gt;0,O155="")</formula>
    </cfRule>
  </conditionalFormatting>
  <conditionalFormatting sqref="O170:T172">
    <cfRule type="expression" dxfId="289" priority="103">
      <formula>O$29=0</formula>
    </cfRule>
  </conditionalFormatting>
  <conditionalFormatting sqref="O200:T205">
    <cfRule type="expression" dxfId="288" priority="102">
      <formula>O$29=0</formula>
    </cfRule>
  </conditionalFormatting>
  <conditionalFormatting sqref="O212:T219">
    <cfRule type="expression" dxfId="287" priority="100">
      <formula>O$29=0</formula>
    </cfRule>
  </conditionalFormatting>
  <conditionalFormatting sqref="O17:W17">
    <cfRule type="expression" dxfId="286" priority="105">
      <formula>AND(O17&lt;&gt;"",ISERROR(MATCH(O17,woningen_gebouwen_namen,0))=TRUE)</formula>
    </cfRule>
  </conditionalFormatting>
  <conditionalFormatting sqref="O19:W19 AA19:AI19 AM19:AU19 AY19:BG19">
    <cfRule type="expression" dxfId="285" priority="117">
      <formula>O19=""</formula>
    </cfRule>
  </conditionalFormatting>
  <conditionalFormatting sqref="O20:W21 AM20:AU21 AY20:BG21">
    <cfRule type="expression" dxfId="284" priority="116">
      <formula>O$19=""</formula>
    </cfRule>
  </conditionalFormatting>
  <conditionalFormatting sqref="O22:W22">
    <cfRule type="expression" dxfId="283" priority="114">
      <formula>OR(O$19="",AND(O$21&lt;&gt;woning,O$21&lt;&gt;woongebouw))</formula>
    </cfRule>
  </conditionalFormatting>
  <conditionalFormatting sqref="O24:W25 AA24:BG25">
    <cfRule type="expression" dxfId="282" priority="92">
      <formula>O$19=""</formula>
    </cfRule>
  </conditionalFormatting>
  <conditionalFormatting sqref="O25:W25 AM25:AU25 AY25:BG25">
    <cfRule type="expression" dxfId="281" priority="148">
      <formula>AND(O$19&lt;&gt;"",O25="")</formula>
    </cfRule>
    <cfRule type="expression" dxfId="280" priority="147">
      <formula>AND(O$19="",O25&gt;0)</formula>
    </cfRule>
  </conditionalFormatting>
  <conditionalFormatting sqref="O26:W29 O31:W35">
    <cfRule type="expression" dxfId="279" priority="22">
      <formula>OR(O$19="",O$24=0)</formula>
    </cfRule>
  </conditionalFormatting>
  <conditionalFormatting sqref="O40:W48 O51:W51 O53:W56 O59:W59 O71:W71 O73:W73">
    <cfRule type="expression" dxfId="278" priority="60">
      <formula>OR(O$19="",O$24=0)</formula>
    </cfRule>
  </conditionalFormatting>
  <conditionalFormatting sqref="O41:W41 AA41:AI41 AM41:AU41 AY41:BG41">
    <cfRule type="expression" dxfId="277" priority="23">
      <formula>AND(O$19&lt;&gt;"",O$24&gt;0,O41&lt;&gt;"",ISERROR(MATCH(O41,isolatiepakketten_gebouwschil_namen,0))=TRUE)</formula>
    </cfRule>
  </conditionalFormatting>
  <conditionalFormatting sqref="O42:W42 AA42:AI42 AM42:AU42 AY42:BG42">
    <cfRule type="expression" dxfId="276" priority="149">
      <formula>OR(AND(O$19&lt;&gt;"",O$24&gt;0,O42=""),ISERROR(MATCH(O42,ventilatiesystemen_namen,0))=TRUE)</formula>
    </cfRule>
  </conditionalFormatting>
  <conditionalFormatting sqref="O43:W43 AA43:AI43 AM43:AU43 AY43:BG43">
    <cfRule type="expression" dxfId="275" priority="150">
      <formula>OR(AND(O$19&lt;&gt;"",O$24&gt;0,O43=""),ISERROR(MATCH(O43,ventilatoren_typen,0))=TRUE)</formula>
    </cfRule>
  </conditionalFormatting>
  <conditionalFormatting sqref="O44:W44 AA44:AI44 AM44:AU44 AY44:BG44">
    <cfRule type="expression" dxfId="273" priority="152">
      <formula>OR(O44&lt;0.5,O44&gt;2,AND(O$19&lt;&gt;"",O44=""))</formula>
    </cfRule>
  </conditionalFormatting>
  <conditionalFormatting sqref="O45:W46 AA45:AI46 AM45:AU46 AY45:BG46">
    <cfRule type="expression" dxfId="272" priority="68">
      <formula>OR(O$19="",O$28=0)</formula>
    </cfRule>
    <cfRule type="expression" dxfId="271" priority="154">
      <formula>AND(O$19&lt;&gt;"",O$28&gt;0,O45="")</formula>
    </cfRule>
  </conditionalFormatting>
  <conditionalFormatting sqref="O46:W46 AA46:AI46 AM46:AU46 AY46:BG46">
    <cfRule type="expression" dxfId="270" priority="156">
      <formula>AND(O46&lt;&gt;"",ISERROR(MATCH(O46,verlichtingsregeling_namen,0))=TRUE)</formula>
    </cfRule>
  </conditionalFormatting>
  <conditionalFormatting sqref="O47:W47 AA47:AI47 AM47:AU47 AY47:BG47">
    <cfRule type="expression" dxfId="269" priority="157">
      <formula>OR(AND(O$19&lt;&gt;"",O$24&gt;0,O47=""),AND(O47&lt;&gt;elektriciteit,O47&lt;&gt;aardgas))</formula>
    </cfRule>
    <cfRule type="expression" dxfId="268" priority="80">
      <formula>OR(O$19="",O$26+O$27=0,AND(O$21&lt;&gt;woning,O$21&lt;&gt;woongebouw))</formula>
    </cfRule>
  </conditionalFormatting>
  <conditionalFormatting sqref="O48:W48 AA48:AI48 AM48:AU48 AY48:BG48">
    <cfRule type="expression" dxfId="267" priority="158">
      <formula>OR(O48&lt;0,O48&gt;1,AND(O$19&lt;&gt;"",O48=""))</formula>
    </cfRule>
  </conditionalFormatting>
  <conditionalFormatting sqref="O49:W49 AA49:AI49 AM49:AU49 AY49:BG49">
    <cfRule type="expression" dxfId="266" priority="16">
      <formula>AND(O49&lt;&gt;"",ISERROR(MATCH(O49,specifieke_interne_warmtecapaciteit,0))=TRUE)</formula>
    </cfRule>
  </conditionalFormatting>
  <conditionalFormatting sqref="O51:W51 AA51:AI51 AM51:AU51 AY51:BG51">
    <cfRule type="cellIs" dxfId="265" priority="161" operator="equal">
      <formula>"nee"</formula>
    </cfRule>
    <cfRule type="expression" dxfId="264" priority="79">
      <formula>$O19=""</formula>
    </cfRule>
  </conditionalFormatting>
  <conditionalFormatting sqref="O54:W54 AA54:AI54 AM54:AU54 AY54:BG54">
    <cfRule type="cellIs" dxfId="263" priority="27" operator="equal">
      <formula>0</formula>
    </cfRule>
  </conditionalFormatting>
  <conditionalFormatting sqref="O55:W55 AA55:AI55 AM55:AU55 AY55:BG55">
    <cfRule type="expression" dxfId="262" priority="170">
      <formula>AND(O$24&gt;0,O$55&gt;0,O$55&lt;&gt;O$56,$G$6=TRUE)</formula>
    </cfRule>
    <cfRule type="expression" dxfId="261" priority="169">
      <formula>AND(O$24&gt;0,O55="",$G$6=TRUE)</formula>
    </cfRule>
    <cfRule type="expression" dxfId="260" priority="168">
      <formula>O$24=0</formula>
    </cfRule>
  </conditionalFormatting>
  <conditionalFormatting sqref="O61:W69">
    <cfRule type="expression" dxfId="259" priority="8">
      <formula>OR(O$19="",O$24=0)</formula>
    </cfRule>
  </conditionalFormatting>
  <conditionalFormatting sqref="O73:W73">
    <cfRule type="expression" dxfId="258" priority="61">
      <formula>AND(O$19&lt;&gt;"",O73="")</formula>
    </cfRule>
  </conditionalFormatting>
  <conditionalFormatting sqref="O78:W78 AA78:AI78 AM78:AU78 AY78:BG78">
    <cfRule type="expression" dxfId="257" priority="131">
      <formula>O$29=0</formula>
    </cfRule>
  </conditionalFormatting>
  <conditionalFormatting sqref="O230:W230 AM230:AU230 AY230:BG230 AM237:AU239 AY237:BG239 AM254:AU256 AM258:AU258">
    <cfRule type="expression" dxfId="256" priority="125">
      <formula>O$24=0</formula>
    </cfRule>
  </conditionalFormatting>
  <conditionalFormatting sqref="O289:W289">
    <cfRule type="expression" dxfId="255" priority="4">
      <formula>OR(O$19="",O$24=0)</formula>
    </cfRule>
  </conditionalFormatting>
  <conditionalFormatting sqref="O290:W291">
    <cfRule type="expression" dxfId="254" priority="142">
      <formula>O290&gt;O285</formula>
    </cfRule>
  </conditionalFormatting>
  <conditionalFormatting sqref="O292:W292 AA292:AI292 AM292:AU292 AY292:BG292">
    <cfRule type="expression" dxfId="253" priority="19">
      <formula>$O$292&lt;$O$287</formula>
    </cfRule>
  </conditionalFormatting>
  <conditionalFormatting sqref="O295:W295 AA295:AI295 AM295:AU295 AY295:BG295">
    <cfRule type="expression" dxfId="252" priority="173">
      <formula>O$24=0</formula>
    </cfRule>
  </conditionalFormatting>
  <conditionalFormatting sqref="O295:W295 AY295:BG295 AA295:AI295 AM295:AU295">
    <cfRule type="expression" dxfId="251" priority="172">
      <formula>#REF!&lt;O$291</formula>
    </cfRule>
  </conditionalFormatting>
  <conditionalFormatting sqref="O297:W298 O300:W301 O290:W292 O232:W232 O244:W252 O254:W256 O258:W258 O260:W260 O265:W265 O267:W272 O274:W274 O276:W276 O278:W278 O285:W287 O294:W295 O306:W314 O316:W318 O320:W320 O322:W322">
    <cfRule type="expression" dxfId="250" priority="82">
      <formula>O$24=0</formula>
    </cfRule>
  </conditionalFormatting>
  <conditionalFormatting sqref="O298:W298">
    <cfRule type="expression" dxfId="249" priority="43">
      <formula>AND(O298&lt;&gt;"nvt",O298&gt;O297)</formula>
    </cfRule>
    <cfRule type="expression" dxfId="248" priority="44">
      <formula>AND(O298&lt;&gt;"nvt",O298&lt;=O297)</formula>
    </cfRule>
  </conditionalFormatting>
  <conditionalFormatting sqref="O301:W301">
    <cfRule type="expression" dxfId="247" priority="41">
      <formula>AND(O301&lt;&gt;"nvt",O301&gt;O300)</formula>
    </cfRule>
    <cfRule type="expression" dxfId="246" priority="42">
      <formula>AND(O301&lt;&gt;"nvt",O301&lt;=O300)</formula>
    </cfRule>
  </conditionalFormatting>
  <conditionalFormatting sqref="O278:X278 M278 AJ278 AV278 BH278">
    <cfRule type="expression" dxfId="245" priority="146">
      <formula>#REF!&gt;M278</formula>
    </cfRule>
  </conditionalFormatting>
  <conditionalFormatting sqref="O40:BG41">
    <cfRule type="expression" dxfId="244" priority="20">
      <formula>OR(O$19="",O$24=0)</formula>
    </cfRule>
  </conditionalFormatting>
  <conditionalFormatting sqref="P83 AB83 AN83 AZ83">
    <cfRule type="expression" dxfId="243" priority="121">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242" priority="50">
      <formula>P$83="geen"</formula>
    </cfRule>
  </conditionalFormatting>
  <conditionalFormatting sqref="Q83 AC83 AO83 BA83">
    <cfRule type="expression" dxfId="241" priority="122">
      <formula>OR(AND(Q83="",Q$24&gt;0),ISERROR(MATCH(Q83,toestellen_TAP_invoer,0)))</formula>
    </cfRule>
  </conditionalFormatting>
  <conditionalFormatting sqref="Q90 AC90 AO90 BA90">
    <cfRule type="expression" dxfId="240" priority="166">
      <formula>OR(AND(Q$24&gt;0,Q$78&gt;0,Q90=""),AND(Q90&lt;&gt;"ja",Q90&lt;&gt;"nee",Q90&lt;&gt;""))</formula>
    </cfRule>
  </conditionalFormatting>
  <conditionalFormatting sqref="T158:T159">
    <cfRule type="expression" dxfId="239" priority="75">
      <formula>T$29=0</formula>
    </cfRule>
  </conditionalFormatting>
  <conditionalFormatting sqref="T161:T162">
    <cfRule type="expression" dxfId="238" priority="74">
      <formula>T$29=0</formula>
    </cfRule>
  </conditionalFormatting>
  <conditionalFormatting sqref="T164">
    <cfRule type="expression" dxfId="237" priority="73">
      <formula>T$29=0</formula>
    </cfRule>
  </conditionalFormatting>
  <conditionalFormatting sqref="T193">
    <cfRule type="expression" dxfId="236" priority="76">
      <formula>T$29=0</formula>
    </cfRule>
  </conditionalFormatting>
  <conditionalFormatting sqref="T207">
    <cfRule type="expression" dxfId="235" priority="104">
      <formula>T$29=0</formula>
    </cfRule>
  </conditionalFormatting>
  <conditionalFormatting sqref="T224:T225">
    <cfRule type="expression" dxfId="234" priority="101">
      <formula>T$29=0</formula>
    </cfRule>
  </conditionalFormatting>
  <conditionalFormatting sqref="T189:W191">
    <cfRule type="expression" dxfId="233" priority="77">
      <formula>T$29=0</formula>
    </cfRule>
  </conditionalFormatting>
  <conditionalFormatting sqref="U157:W159">
    <cfRule type="expression" dxfId="232" priority="129">
      <formula>U$29=0</formula>
    </cfRule>
  </conditionalFormatting>
  <conditionalFormatting sqref="AA190">
    <cfRule type="expression" dxfId="231" priority="110">
      <formula>AA$29=0</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230" priority="59">
      <formula>OR(O$78=0,O$104="geen")</formula>
    </cfRule>
  </conditionalFormatting>
  <conditionalFormatting sqref="AA212:AC212">
    <cfRule type="expression" dxfId="229" priority="49">
      <formula>AA$29=0</formula>
    </cfRule>
  </conditionalFormatting>
  <conditionalFormatting sqref="AA189:AE189">
    <cfRule type="expression" dxfId="228" priority="112">
      <formula>AA$29=0</formula>
    </cfRule>
  </conditionalFormatting>
  <conditionalFormatting sqref="AA219:AE219">
    <cfRule type="expression" dxfId="227" priority="107">
      <formula>AA$29=0</formula>
    </cfRule>
  </conditionalFormatting>
  <conditionalFormatting sqref="AA20:AI21">
    <cfRule type="expression" dxfId="226" priority="115">
      <formula>AA$19=""</formula>
    </cfRule>
  </conditionalFormatting>
  <conditionalFormatting sqref="AA22:AI22">
    <cfRule type="expression" dxfId="225" priority="65">
      <formula>OR(AA$19="",AND(AA$21&lt;&gt;woning,AA$21&lt;&gt;woongebouw))</formula>
    </cfRule>
  </conditionalFormatting>
  <conditionalFormatting sqref="AA25:AI25">
    <cfRule type="expression" dxfId="224" priority="159">
      <formula>AND(AA$19="",AA25&gt;0)</formula>
    </cfRule>
    <cfRule type="expression" dxfId="223" priority="160">
      <formula>AND(AA$19&lt;&gt;"",AA25="")</formula>
    </cfRule>
  </conditionalFormatting>
  <conditionalFormatting sqref="AA26:AI29 AM26:AU29 AY26:BG29 AA31:AI35 AM31:AU35 AY31:BG35">
    <cfRule type="expression" dxfId="222" priority="145">
      <formula>OR(AA$19="",AA$24=0)</formula>
    </cfRule>
  </conditionalFormatting>
  <conditionalFormatting sqref="AA42:AI49 AM42:AU49 AY42:BG49 O49:W49">
    <cfRule type="expression" dxfId="221" priority="15">
      <formula>OR(O$19="",O$24=0)</formula>
    </cfRule>
  </conditionalFormatting>
  <conditionalFormatting sqref="AA61:AI69 AM61:AU69 AY61:BG69">
    <cfRule type="expression" dxfId="220" priority="9">
      <formula>OR(AA$19="",AA$24=0)</formula>
    </cfRule>
  </conditionalFormatting>
  <conditionalFormatting sqref="AA71:AI71 AM71:AU71 AY71:BG71 O71:W71">
    <cfRule type="expression" dxfId="219" priority="135">
      <formula>AND(O$19&lt;&gt;"",O71="")</formula>
    </cfRule>
  </conditionalFormatting>
  <conditionalFormatting sqref="AA71:AI71 AM71:AU71 AY71:BG71">
    <cfRule type="expression" dxfId="218" priority="134">
      <formula>OR(AA$19="",AA$24=0)</formula>
    </cfRule>
  </conditionalFormatting>
  <conditionalFormatting sqref="AA73:AI73">
    <cfRule type="expression" dxfId="217" priority="55">
      <formula>OR(AA$19="",AA$24=0)</formula>
    </cfRule>
    <cfRule type="expression" dxfId="216" priority="56">
      <formula>AND(AA$19&lt;&gt;"",AA73="")</formula>
    </cfRule>
  </conditionalFormatting>
  <conditionalFormatting sqref="AA289:AI289 AM289:AU289 AY289:BG289">
    <cfRule type="expression" dxfId="215" priority="5">
      <formula>OR(AA$19="",AA$24=0)</formula>
    </cfRule>
  </conditionalFormatting>
  <conditionalFormatting sqref="AA290:AI292 AA230:AI230 AA232:AI232 AA237:AI240 AA244:AI252 AK244:AK252 AM244:AU252 AW244:AW252 AY244:BG252 AA254:AI256 AA258:AI258 AA260:AI261 AA265:AI265 AA267:AI272 AA274:AI274 AA276:AI276 AA278:AI278 AA283:AI283 AA285:AI287 AA294:AI294">
    <cfRule type="expression" dxfId="214" priority="26">
      <formula>AA$24=0</formula>
    </cfRule>
  </conditionalFormatting>
  <conditionalFormatting sqref="AA296:AI296">
    <cfRule type="expression" dxfId="213" priority="46">
      <formula>AA296&lt;AA291</formula>
    </cfRule>
  </conditionalFormatting>
  <conditionalFormatting sqref="AA298:AI298">
    <cfRule type="expression" dxfId="212" priority="39">
      <formula>AND(AA298&lt;&gt;"nvt",AA298&gt;AA297)</formula>
    </cfRule>
    <cfRule type="expression" dxfId="211" priority="40">
      <formula>AND(AA298&lt;&gt;"nvt",AA298&lt;=AA297)</formula>
    </cfRule>
  </conditionalFormatting>
  <conditionalFormatting sqref="AA301:AI301">
    <cfRule type="expression" dxfId="210" priority="38">
      <formula>AND(AA301&lt;&gt;"nvt",AA301&lt;=AA300)</formula>
    </cfRule>
    <cfRule type="expression" dxfId="209" priority="37">
      <formula>AND(AA301&lt;&gt;"nvt",AA301&gt;AA300)</formula>
    </cfRule>
  </conditionalFormatting>
  <conditionalFormatting sqref="AA306:AI314 AA316:AI318 AA320:AI320 AA322:AI322">
    <cfRule type="expression" dxfId="208" priority="84">
      <formula>AA$24=0</formula>
    </cfRule>
  </conditionalFormatting>
  <conditionalFormatting sqref="AA290:AU291">
    <cfRule type="expression" dxfId="207" priority="140">
      <formula>AA290&gt;AA285</formula>
    </cfRule>
  </conditionalFormatting>
  <conditionalFormatting sqref="AA299:AX299">
    <cfRule type="expression" dxfId="206" priority="32">
      <formula>AA299&lt;AA294</formula>
    </cfRule>
  </conditionalFormatting>
  <conditionalFormatting sqref="AF189:AF191">
    <cfRule type="expression" dxfId="205" priority="98">
      <formula>AF$29=0</formula>
    </cfRule>
  </conditionalFormatting>
  <conditionalFormatting sqref="AF224:AF225">
    <cfRule type="expression" dxfId="204" priority="99">
      <formula>AF$29=0</formula>
    </cfRule>
  </conditionalFormatting>
  <conditionalFormatting sqref="AF212:AI219 AK212:AK219 AM212:AU219 AW212:AW219 AY212:BD219">
    <cfRule type="expression" dxfId="203" priority="86">
      <formula>AF$29=0</formula>
    </cfRule>
  </conditionalFormatting>
  <conditionalFormatting sqref="AM190">
    <cfRule type="expression" dxfId="202" priority="109">
      <formula>AM$29=0</formula>
    </cfRule>
  </conditionalFormatting>
  <conditionalFormatting sqref="AM212:AO212">
    <cfRule type="expression" dxfId="201" priority="48">
      <formula>AM$29=0</formula>
    </cfRule>
  </conditionalFormatting>
  <conditionalFormatting sqref="AM22:AU22">
    <cfRule type="expression" dxfId="200" priority="64">
      <formula>OR(AM$19="",AND(AM$21&lt;&gt;woning,AM$21&lt;&gt;woongebouw))</formula>
    </cfRule>
  </conditionalFormatting>
  <conditionalFormatting sqref="AM73:AU73">
    <cfRule type="expression" dxfId="199" priority="54">
      <formula>AND(AM$19&lt;&gt;"",AM73="")</formula>
    </cfRule>
    <cfRule type="expression" dxfId="198" priority="53">
      <formula>OR(AM$19="",AM$24=0)</formula>
    </cfRule>
  </conditionalFormatting>
  <conditionalFormatting sqref="AM232:AU232">
    <cfRule type="expression" dxfId="197" priority="93">
      <formula>AM$24=0</formula>
    </cfRule>
  </conditionalFormatting>
  <conditionalFormatting sqref="AM260:AU260">
    <cfRule type="expression" dxfId="196" priority="94">
      <formula>AM$24=0</formula>
    </cfRule>
  </conditionalFormatting>
  <conditionalFormatting sqref="AM294:AU294">
    <cfRule type="expression" dxfId="195" priority="25">
      <formula>AM$24=0</formula>
    </cfRule>
  </conditionalFormatting>
  <conditionalFormatting sqref="AM296:AU296">
    <cfRule type="expression" dxfId="194" priority="45">
      <formula>AM296&lt;AM291</formula>
    </cfRule>
  </conditionalFormatting>
  <conditionalFormatting sqref="AM298:AU298">
    <cfRule type="expression" dxfId="193" priority="35">
      <formula>AND(AM298&lt;&gt;"nvt",AM298&gt;AM297)</formula>
    </cfRule>
    <cfRule type="expression" dxfId="192" priority="36">
      <formula>AND(AM298&lt;&gt;"nvt",AM298&lt;=AM297)</formula>
    </cfRule>
  </conditionalFormatting>
  <conditionalFormatting sqref="AM301:AU301">
    <cfRule type="expression" dxfId="191" priority="33">
      <formula>AND(AM301&lt;&gt;"nvt",AM301&gt;AM300)</formula>
    </cfRule>
    <cfRule type="expression" dxfId="190" priority="34">
      <formula>AND(AM301&lt;&gt;"nvt",AM301&lt;=AM300)</formula>
    </cfRule>
  </conditionalFormatting>
  <conditionalFormatting sqref="AM306:AU314 AM316:AU318 AM320:AU320 AM322:AU322">
    <cfRule type="expression" dxfId="189" priority="83">
      <formula>AM$24=0</formula>
    </cfRule>
  </conditionalFormatting>
  <conditionalFormatting sqref="AR189:AR191">
    <cfRule type="expression" dxfId="188" priority="95">
      <formula>AR$29=0</formula>
    </cfRule>
  </conditionalFormatting>
  <conditionalFormatting sqref="AR224:AR225">
    <cfRule type="expression" dxfId="187" priority="96">
      <formula>AR$29=0</formula>
    </cfRule>
  </conditionalFormatting>
  <conditionalFormatting sqref="AR293">
    <cfRule type="expression" dxfId="186" priority="97">
      <formula>AR293&lt;AR288</formula>
    </cfRule>
  </conditionalFormatting>
  <conditionalFormatting sqref="AY190">
    <cfRule type="expression" dxfId="185" priority="108">
      <formula>AY$29=0</formula>
    </cfRule>
  </conditionalFormatting>
  <conditionalFormatting sqref="AY109:BA109">
    <cfRule type="expression" dxfId="184" priority="155">
      <formula>AND(AY$78&gt;0,AY109="")</formula>
    </cfRule>
  </conditionalFormatting>
  <conditionalFormatting sqref="AY212:BA212">
    <cfRule type="expression" dxfId="183" priority="47">
      <formula>AY$29=0</formula>
    </cfRule>
  </conditionalFormatting>
  <conditionalFormatting sqref="AY189:BC189">
    <cfRule type="expression" dxfId="182" priority="111">
      <formula>AY$29=0</formula>
    </cfRule>
  </conditionalFormatting>
  <conditionalFormatting sqref="AY22:BG22">
    <cfRule type="expression" dxfId="181" priority="63">
      <formula>OR(AY$19="",AND(AY$21&lt;&gt;woning,AY$21&lt;&gt;woongebouw))</formula>
    </cfRule>
  </conditionalFormatting>
  <conditionalFormatting sqref="AY73:BG73">
    <cfRule type="expression" dxfId="180" priority="51">
      <formula>OR(AY$19="",AY$24=0)</formula>
    </cfRule>
    <cfRule type="expression" dxfId="179" priority="52">
      <formula>AND(AY$19&lt;&gt;"",AY73="")</formula>
    </cfRule>
  </conditionalFormatting>
  <conditionalFormatting sqref="AY232:BG232">
    <cfRule type="expression" dxfId="178" priority="85">
      <formula>AY$24=0</formula>
    </cfRule>
  </conditionalFormatting>
  <conditionalFormatting sqref="AY290:BG291">
    <cfRule type="expression" dxfId="177" priority="139">
      <formula>AY290&gt;AY285</formula>
    </cfRule>
  </conditionalFormatting>
  <conditionalFormatting sqref="AY294:BG295">
    <cfRule type="expression" dxfId="176" priority="24">
      <formula>AY$24=0</formula>
    </cfRule>
  </conditionalFormatting>
  <conditionalFormatting sqref="AY297:BG298 AY300:BG301 AY290:BG292 AY254:BG256 AY258:BG258 AY260:BG260 AY265:BG265 AY267:BG272 AY274:BG274 AY276:BG276 AY278:BG278 AY283:BG283 AY285:BG287 AY306:BG314">
    <cfRule type="expression" dxfId="175" priority="81">
      <formula>AY$24=0</formula>
    </cfRule>
  </conditionalFormatting>
  <conditionalFormatting sqref="AY298:BG298">
    <cfRule type="expression" dxfId="174" priority="31">
      <formula>AND(AY298&lt;&gt;"nvt",AY298&lt;=AY297)</formula>
    </cfRule>
    <cfRule type="expression" dxfId="173" priority="30">
      <formula>AND(AY298&lt;&gt;"nvt",AY298&gt;AY297)</formula>
    </cfRule>
  </conditionalFormatting>
  <conditionalFormatting sqref="AY301:BG301">
    <cfRule type="expression" dxfId="172" priority="28">
      <formula>AND(AY301&lt;&gt;"nvt",AY301&gt;AY300)</formula>
    </cfRule>
    <cfRule type="expression" dxfId="171" priority="29">
      <formula>AND(AY301&lt;&gt;"nvt",AY301&lt;=AY300)</formula>
    </cfRule>
  </conditionalFormatting>
  <conditionalFormatting sqref="AY316:BG318 AY320:BG320">
    <cfRule type="expression" dxfId="170" priority="88">
      <formula>AY$24=0</formula>
    </cfRule>
  </conditionalFormatting>
  <conditionalFormatting sqref="AY322:BG322">
    <cfRule type="expression" dxfId="169" priority="87">
      <formula>AY$24=0</formula>
    </cfRule>
  </conditionalFormatting>
  <conditionalFormatting sqref="BD164:BD165">
    <cfRule type="expression" dxfId="168" priority="78">
      <formula>BD$29=0</formula>
    </cfRule>
  </conditionalFormatting>
  <conditionalFormatting sqref="BD189:BD191">
    <cfRule type="expression" dxfId="167" priority="89">
      <formula>BD$29=0</formula>
    </cfRule>
  </conditionalFormatting>
  <conditionalFormatting sqref="BD224:BD225">
    <cfRule type="expression" dxfId="166" priority="90">
      <formula>BD$29=0</formula>
    </cfRule>
  </conditionalFormatting>
  <conditionalFormatting sqref="BD292">
    <cfRule type="expression" dxfId="165" priority="91">
      <formula>BD292&lt;BD287</formula>
    </cfRule>
  </conditionalFormatting>
  <conditionalFormatting sqref="BH189:BH191 BH193:BH195">
    <cfRule type="expression" dxfId="164" priority="143">
      <formula>AND(BH189&lt;&gt;"-",BH189&gt;BH190)</formula>
    </cfRule>
  </conditionalFormatting>
  <conditionalFormatting sqref="BH230">
    <cfRule type="expression" dxfId="163" priority="153">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2B680314-5878-40F1-BFC9-DE6B38C4A36B}">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3940A8B-858C-43CF-BC6F-516AB0110BCE}"/>
    <dataValidation allowBlank="1" showInputMessage="1" showErrorMessage="1" promptTitle="Energiepakket / energiebehoefte" sqref="O40:BG40" xr:uid="{3C41842E-3579-49E6-B7DA-E3E46B4BB4B9}"/>
    <dataValidation type="list" allowBlank="1" showInputMessage="1" showErrorMessage="1" promptTitle="Energiepakket / energiebehoefte" sqref="AY41:BG41 AA41:AI41 AM41:AU41 O41:W41" xr:uid="{79358264-15A3-4BDD-BAA8-7C281414AB83}">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19ADC9E4-BF47-46E8-B88E-B86BE0665FD4}"/>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77E283D8-DE1A-44AE-BC4C-D477A17B4578}"/>
    <dataValidation allowBlank="1" showInputMessage="1" showErrorMessage="1" promptTitle="Standaardwaarde" prompt="Deze standaard geeft aan wanneer een woning goed genoeg is geïsoleerd om aardgasvrij te worden. Hij is ontstaan uit het Klimaatakkoord._x000a_" sqref="D296" xr:uid="{E5102699-7028-4051-9645-DA6B8C35ED69}"/>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332755F1-D93E-4180-B5F7-89D00AE283C8}"/>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8FDA75ED-313A-42A0-A298-B54289A87888}"/>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8BACBDA7-317D-4722-BE90-18F7794CB5BF}"/>
    <dataValidation type="textLength" allowBlank="1" showInputMessage="1" showErrorMessage="1" errorTitle="Maximaal 65 karakters" error="Maximaal 65 karakters." sqref="F4" xr:uid="{80E0AA8A-8A2D-4047-ACFC-0A6C47DD03CE}">
      <formula1>0</formula1>
      <formula2>65</formula2>
    </dataValidation>
    <dataValidation type="textLength" errorStyle="warning" allowBlank="1" showInputMessage="1" showErrorMessage="1" errorTitle="Maximaal 30 karakters" error="Maximaal 30 karakters" sqref="H3" xr:uid="{09CCB0C6-E222-4DC5-B385-CF824CB718C7}">
      <formula1>0</formula1>
      <formula2>40</formula2>
    </dataValidation>
    <dataValidation type="textLength" errorStyle="warning" allowBlank="1" showInputMessage="1" showErrorMessage="1" errorTitle="Maximaal 30 karakters" error="Maximaal 30 karakters" sqref="E3 F4" xr:uid="{26AA351F-B1A3-4A94-A32B-A0FF5BFB6437}">
      <formula1>0</formula1>
      <formula2>30</formula2>
    </dataValidation>
    <dataValidation type="decimal" allowBlank="1" showInputMessage="1" showErrorMessage="1" errorTitle="Bereik 0%-100%" error="De ingevoerde waarde valt buiten het bereik." sqref="O44:W44 AA44:AI44 AY44:BG44 AM44:AU44" xr:uid="{FD53F6E5-B5A8-4220-B1E3-E47E3F3A964D}">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230005BF-0B5C-4211-B023-251A170272DE}"/>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3218A6C-4B56-4667-8918-0950E885A21B}"/>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273A75EB-6BEB-4318-B42C-923F351149A5}"/>
    <dataValidation allowBlank="1" showInputMessage="1" showErrorMessage="1" promptTitle="Aandeel hernieuwbare energie" prompt="Aandeel hernieuwbare energie._x000a__x000a_RERPrenTOT = EPrenTot / (EPTot + EPrenTot) * 100%_x000a__x000a_Cf. NTA8800 par. 5.3.1.3, formule 5.3" sqref="D292" xr:uid="{26C7C1EE-DCEF-4022-875F-CCA1B4EF58C7}"/>
    <dataValidation type="list" allowBlank="1" showInputMessage="1" showErrorMessage="1" sqref="O47:W47 AA47:AI47 AY47:BG47 AM47:AU47" xr:uid="{2302629F-3403-4F28-B9DA-41E1D13E1563}">
      <formula1>"elektriciteit,aardgas"</formula1>
    </dataValidation>
    <dataValidation allowBlank="1" showInputMessage="1" showErrorMessage="1" promptTitle="Kookgas" prompt="Gasverbruik voor kookgas." sqref="D68" xr:uid="{9F24CCB1-12BD-4E16-9844-8EF2A601B987}"/>
    <dataValidation allowBlank="1" showInputMessage="1" showErrorMessage="1" promptTitle="Hernieuwbare 'primaire' energie" prompt="De totale hernieuwbare 'primaire' energie voor GEBOUWGEBONDEN energiegebruik is berekend cf. NTA8800._x000a__x000a_NTA8800 par. 5.6." sqref="D263" xr:uid="{AC911D56-BC8E-4119-B1AE-1F72B2F1AAF2}"/>
    <dataValidation allowBlank="1" showInputMessage="1" showErrorMessage="1" promptTitle="Energieprestatie indicatoren" prompt="De energieprestatie indicatoren gaan alleen over GEBOUWGEBONDEN energiegebruik en zijn bepaald cf. paragraaf 5.3.1 van NTA 8800._x000a__x000a_" sqref="D281" xr:uid="{8C4EAE9D-340A-42C7-9669-F2B844BEBD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38008079-2243-4D20-8585-8DD048D1E756}"/>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DC53DD6-98BF-4E52-B96F-1667FDDE5B04}"/>
    <dataValidation allowBlank="1" showInputMessage="1" showErrorMessage="1" promptTitle="Woningen|utiliteitsgebouwen" prompt="De tabel geeft een terugkoppeling van de ingevoerde woningen en utileitsgebouwen in" sqref="D17" xr:uid="{433B0D21-412D-4EEB-8FE2-78EA82432FB7}"/>
    <dataValidation allowBlank="1" showInputMessage="1" showErrorMessage="1" promptTitle="Resultaten" prompt="De tabel geeft een samenvatting van het primair energiegebruik, de CO2 emissie en het gasverbruik van de locatie(s) als gevolg van energetische keuzes in deze variant." sqref="D10" xr:uid="{C33CAC18-CB55-41AB-9AC9-DDE5444B9A68}"/>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D5D5AE17-FADD-4179-B51C-86B55444DE21}"/>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C11F22D5-CC88-4D3D-821A-F4A381C0399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D4B5890F-3C53-4CF5-907F-524838AA0F4F}"/>
    <dataValidation allowBlank="1" showInputMessage="1" showErrorMessage="1" promptTitle="Keuze preferent toestel" prompt="De keuze van het preferente toestel bepaalt welke forfaitaire waarden voor warmtedistributie, energiedragers en rendementen uit de bibliotheek worden opgehaald." sqref="D82" xr:uid="{BCFF0377-1966-4246-9EDD-207CB7E6BB6D}"/>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C80D1244-1F31-46B5-BF54-0882ED0F364F}"/>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58ED30E9-2BC8-4ABC-BF0D-F9DB0AE7B330}"/>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800D11F2-71A2-4CFF-9096-C4527931B350}"/>
    <dataValidation type="decimal" allowBlank="1" showInputMessage="1" showErrorMessage="1" errorTitle="Bereik 0,0-0,5" error="De ingevoerde waarde valt buiten het bereik." sqref="O129:Q129 AA129:AC129 AY129:BA129 AM129:AO129" xr:uid="{91C667E3-99A6-4841-9EFA-719D3E3AA9F0}">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881FA629-CE90-4F7E-9FDE-FCF4001FC98D}">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A89C4F9B-633D-490C-879F-94D8E88B1F20}">
      <formula1>0</formula1>
      <formula2>2</formula2>
    </dataValidation>
    <dataValidation type="decimal" allowBlank="1" showInputMessage="1" showErrorMessage="1" errorTitle="Bereik 0,10-1,00" error="De ingevoerde waarde valt buiten het bereik." sqref="O87 Q87 AA87 AC87 AY87 BA87 AM87 AO87" xr:uid="{391C3B08-5F1C-469C-8FF6-B49C77FF75FF}">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3A72A02D-3175-49BD-AFF1-C09A3B922A3A}">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907A4451-3297-40D0-8AB4-A352BE0B2203}">
      <formula1>0</formula1>
    </dataValidation>
    <dataValidation type="decimal" allowBlank="1" showInputMessage="1" showErrorMessage="1" errorTitle="Bereik 0-30" error="De ingevoerde waarde valt buiten het bereik." sqref="O45:W45 AA45:AI45 AY45:BG45 AM45:AU45" xr:uid="{E611C823-8FBB-47FA-B552-9A377B734CA2}">
      <formula1>0</formula1>
      <formula2>30</formula2>
    </dataValidation>
    <dataValidation type="decimal" operator="greaterThanOrEqual" allowBlank="1" showInputMessage="1" showErrorMessage="1" errorTitle="Bereik ≥0" error="De ingevulde waarde valt buiten het bereik." sqref="O25:W25 AA25:AI25 AY25:BG25 AM25:AU25" xr:uid="{6D0D64B5-4B72-4878-BD4E-546832393445}">
      <formula1>0</formula1>
    </dataValidation>
    <dataValidation type="decimal" allowBlank="1" showInputMessage="1" showErrorMessage="1" errorTitle="Bereik 0%-100%" error="De ingevoerde waarde valt buiten het bereik." sqref="AA48:AI48 AY48:BG48 AM48:AU48 O48:W48" xr:uid="{8A4970DE-F6EF-49C8-A2AF-04D93C313223}">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82D85312-16C0-45AD-8E02-C3DE001080CE}">
      <formula1>0.1</formula1>
      <formula2>15</formula2>
    </dataValidation>
    <dataValidation type="decimal" allowBlank="1" showInputMessage="1" showErrorMessage="1" errorTitle="Bereik 0%-100%" error="De ingevoerde waarde is buiten het bereik." sqref="AY109:BA109 AA109:AC109 O109:Q109 AM109:AO109" xr:uid="{ACAA97A8-B7EC-4B4A-953E-D9E587118B90}">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A1747D8B-3524-4050-8E52-37C52B1C7CF4}"/>
    <dataValidation allowBlank="1" showInputMessage="1" showErrorMessage="1" promptTitle="primaire energie indicator" prompt="Het totale gebouwgebonden primaire (vermeden) energiegebruik (voor woningen ZONDER verlichting) in kWh/m2._x000a__x000a_NTA8800, par. 5.3.1.2_x000a__x000a_" sqref="D291" xr:uid="{29541170-EE78-462A-AA02-00C05441B124}"/>
    <dataValidation allowBlank="1" showInputMessage="1" showErrorMessage="1" promptTitle="energiebehoefte-indicator" prompt="Warmtebehoefte ruimteverwarming + koudebehoefte voor koeling, berekend met ventilatiesysteem C1, in kWh/m2._x000a__x000a_NTA8800, par. 5.3.1.1_x000a__x000a_" sqref="D290" xr:uid="{7AB65200-708C-4240-B25A-F264121E1C0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B003FF93-EED2-48B0-9B27-4B9F4414011A}"/>
    <dataValidation allowBlank="1" showInputMessage="1" showErrorMessage="1" promptTitle="BENG eisen 2021" prompt="De BENG eisen zijn overgenomen van:_x000a__x000a_https://zoek.officielebekendmakingen.nl/stb-2019-501.html_x000a__x000a_" sqref="D284" xr:uid="{C88BBCFC-2E69-4F80-99AF-7781EDB4DD9B}"/>
    <dataValidation allowBlank="1" showInputMessage="1" showErrorMessage="1" promptTitle="Energiegebruik per energiepost" prompt="Per deellocatie is de energiebehoefte van alle woningen en gebouwen per energiepost gesommeerd." sqref="D78" xr:uid="{DFC6761E-66B6-43E9-A200-61054010EF22}"/>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23B1114C-E325-43C0-9B2A-EBCCB33A954F}"/>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6E4FC5F2-02AB-46BA-8D12-C56D004204F1}"/>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C0A44A14-10A6-44CB-B777-31118103BF3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273056A8-E1D5-4466-BEC6-040F5FB0B6D8}"/>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59D0C749-BC4A-4B0F-98EE-C6F7BFE28C3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29CB3B7F-66EC-4F6B-BE87-062D95371A89}"/>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832AA52A-7F9C-490C-955C-80F158000952}"/>
    <dataValidation allowBlank="1" showInputMessage="1" showErrorMessage="1" promptTitle="Aandeel hernieuwb. prim energie" prompt="Aandeel hernieuwbare energie._x000a__x000a_RERPrenTOT = EPrenTot / (EPTot + EPrenTot) * 100%_x000a__x000a_Cf. NTA8800 par. 5.3.1.3, formule 5.3" sqref="D278" xr:uid="{349DFEC3-A9C1-4783-BA38-DDB696A857F5}"/>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1AF973A8-6AC1-4190-B893-34ACDFC7FB0B}"/>
    <dataValidation allowBlank="1" showInputMessage="1" showErrorMessage="1" promptTitle="Totaal hernieuwbare prim energie" prompt="Hernieuwbare 'primaire' energie van de woning of het gebouw." sqref="D276" xr:uid="{FF1D372C-D621-4EDE-9FA4-49EC7A04997F}"/>
    <dataValidation allowBlank="1" showInputMessage="1" showErrorMessage="1" promptTitle="Hernieuwbaar opgewekte elek." prompt="Op het eigen perceel opgewekte primaire hernieuwbare elektriciteit._x000a__x000a_EPren;el = Eel;PV/PVT/wind * fPren;renelect_x000a__x000a_Cf. NTA8800 par. 5.6.2.4." sqref="D274 D218" xr:uid="{26BA2020-E712-44C4-BD12-30F37DD658A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6D7E969-BB58-49BA-A459-2EA05103DD6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CA73F30D-D1F8-4251-A8EA-DB340B0BD416}"/>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201B8E7E-64E5-4B12-A841-F0FC558F8C2F}"/>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14CBBEFD-EC07-4716-A0FC-0F4720F6BF96}"/>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499EAD71-6E4C-435F-9503-C4FCDEC4F8EC}"/>
    <dataValidation allowBlank="1" showInputMessage="1" showErrorMessage="1" promptTitle="Vermogen verwarming &amp; koeling" prompt="Een indicatie van het verwarmings- en koelvermogen op basis van formules NTA8800. Zie 'bibliotheek' voor meer details." sqref="D99" xr:uid="{5FE304A7-F24B-4A1C-A04A-BF502145CEA6}"/>
    <dataValidation type="list" allowBlank="1" showInputMessage="1" showErrorMessage="1" sqref="O46:W46 AA46:AI46 AY46:BG46 AM46:AU46" xr:uid="{DD68433B-8B91-4037-839D-8989EAEB978F}">
      <formula1>verlichtingsregeling_namen</formula1>
    </dataValidation>
    <dataValidation type="list" allowBlank="1" showInputMessage="1" showErrorMessage="1" sqref="O43:W43 AA43:AI43 AY43:BG43 AM43:AU43" xr:uid="{2256B216-BDA5-4620-B91D-FB81C319DCDB}">
      <formula1>ventilatoren_typen</formula1>
    </dataValidation>
    <dataValidation type="list" allowBlank="1" showInputMessage="1" showErrorMessage="1" sqref="O42:W42 AY42:BG42 AA42:AI42 AM42:AU42" xr:uid="{4E15EFD2-1C2F-4DD4-8698-A4FF5916FC17}">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BC65CEB3-45C2-467F-8C35-56BB1C65D921}"/>
    <dataValidation type="list" allowBlank="1" showInputMessage="1" showErrorMessage="1" errorTitle="Toestel RV" error="Kies een beschikbaar toestel." sqref="Q90 AA90 AC90 AM90 AO90 AY90 BA90 O90" xr:uid="{54B6A94D-6B3A-4802-9BC8-3ACB4EB61039}">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1E251B2C-CA43-4774-8728-A5EE84478D11}"/>
    <dataValidation allowBlank="1" showInputMessage="1" showErrorMessage="1" promptTitle="Warmtebehoefte warmtapwater" prompt="De energiebehoefte voor warmtapwatergebruik wordt berekend op basis van rekenregels in NTA8800 (paragraaf 13.2)." sqref="D65" xr:uid="{D6BB228D-314A-4AA0-9A13-657343E81379}"/>
    <dataValidation allowBlank="1" showInputMessage="1" showErrorMessage="1" promptTitle="Gegevensfilter en navigatie" prompt="&lt;-_x000a_Het gegevensfilter biedt de mogelijkheid om (delen van) tabellen in de UMGO te filteren._x000a__x000a_-&gt;_x000a_Navigatieknoppen naar andere tabbladen." sqref="D8" xr:uid="{0C1A49D3-B164-4037-BA02-E8EFC1E92274}"/>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6BB49B9A-1656-436B-9665-DC2D8F68577E}"/>
    <dataValidation type="list" allowBlank="1" showInputMessage="1" showErrorMessage="1" sqref="Q83 AC83 BA83 AO83" xr:uid="{4BA72876-FB63-4E2A-8FDD-FAD1AF2C2184}">
      <formula1>toestellen_TAP_invoer</formula1>
    </dataValidation>
    <dataValidation type="list" allowBlank="1" showInputMessage="1" showErrorMessage="1" sqref="P83 AB83 AZ83 AN83" xr:uid="{02E77A46-6FC6-4BAF-A732-C34386A4A11F}">
      <formula1>toestellen_KOEL_invoer</formula1>
    </dataValidation>
    <dataValidation type="list" allowBlank="1" showInputMessage="1" showErrorMessage="1" sqref="AY83" xr:uid="{E54486C8-1BCF-4C21-8CD6-27BBFC602A4C}">
      <formula1>toestellen_RV_invoer</formula1>
    </dataValidation>
    <dataValidation type="list" allowBlank="1" showInputMessage="1" showErrorMessage="1" sqref="F5" xr:uid="{990DDE03-3405-477E-B566-404F6D1185C3}">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D1A01966-E279-4A97-BC74-C291C718F6AB}"/>
    <dataValidation allowBlank="1" showInputMessage="1" showErrorMessage="1" promptTitle="Primair energiegebruik" prompt="De Uniforme Maatlat rekent op onderwaarde. De EPG rekent echter op bovenwaarde. De berekende primaire energiebruiken in de EPG zijn daarom hoger." sqref="D162" xr:uid="{A78B9C59-7023-4260-BA29-ADB5E1E2FEBD}"/>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F17031EF-A8E4-4F1C-8E8D-8A78F5C99E10}"/>
    <dataValidation type="whole" allowBlank="1" showInputMessage="1" showErrorMessage="1" sqref="AN142:AO142 AN145:AO146 AB145:AC146 P145:Q146 AB142:AC142 AZ145:BA145" xr:uid="{26EF1422-0A0F-4E4C-92DD-2E7451E11BFF}">
      <formula1>0</formula1>
      <formula2>1</formula2>
    </dataValidation>
    <dataValidation type="decimal" allowBlank="1" showInputMessage="1" showErrorMessage="1" sqref="AM142 AM145:AM146 AA145:AA146 O145:O146 AA142 AY145" xr:uid="{A55394B4-B0FE-4535-947A-61D24E38B9B1}">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D042A57F-4D21-4745-97A9-4DF43ADF7484}"/>
    <dataValidation allowBlank="1" showInputMessage="1" showErrorMessage="1" promptTitle="Opwekkingsrendement" prompt="Binnen de Uniforme Maatlat wordt het opwekkingsrendement op bovenwaarde gebruikt." sqref="D111" xr:uid="{0FD662F8-0BE1-4944-9A2C-53745A132FCF}"/>
    <dataValidation allowBlank="1" showInputMessage="1" showErrorMessage="1" promptTitle="Forfaitaire waarden PV" prompt="Forfaitaire waarde voor opbrengst van PV: 875 kWh/kWp._x000a_" sqref="D171" xr:uid="{1B2FAB8E-5717-4D0A-9F18-FB6FDB88D201}"/>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AC781ACF-49E9-4215-9CA5-B8B0C56D2F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B747058F-3F4A-44FB-AD83-8A2D74C80F0F}"/>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3DC9F558-1EFA-4635-A546-C86F7D04B058}"/>
    <dataValidation allowBlank="1" showInputMessage="1" showErrorMessage="1" promptTitle="PV" prompt="Opbrengst PV op gevel en dak in kWh per woning | utiliteitsgebouw." sqref="D73" xr:uid="{7F0C921F-769B-4D17-894C-00E69AE2F0A2}"/>
    <dataValidation allowBlank="1" showInputMessage="1" showErrorMessage="1" promptTitle="Mobiliteit" prompt="Het geschatte elektriciteitsgebruik voor mobiliteit, bijvoorbeeld door elektrische auto's, kan worden ingevuld in kWh per woning of per utiliteitsgebouw." sqref="D71" xr:uid="{BCD56891-FFD8-4367-A3B9-BFB5578E3F99}"/>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14518B19-577A-4CF7-A6B2-E87DB6FC1C3A}"/>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E97FA28A-DE82-410D-A3D7-C153C0FA1AE7}"/>
    <dataValidation type="list" allowBlank="1" showInputMessage="1" showErrorMessage="1" errorTitle="Toestel RV" error="Kies een beschikbaar toestel." sqref="AA83 O83 AM83" xr:uid="{EC39CA34-F487-411C-BD1B-7D646BEF7192}">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88AD6A87-3FB5-420D-A8A0-4214E00D877A}"/>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5CC7EF18-346C-4BD8-A8B8-CB65C70612D3}"/>
    <dataValidation type="list" allowBlank="1" showInputMessage="1" showErrorMessage="1" sqref="AY49:BG49 AA49:AI49 AM49:AU49 O49:W49" xr:uid="{9422DA21-DE00-45D3-8CFD-CADB8C930BF2}">
      <formula1>specifieke_interne_warmtecapaciteit</formula1>
    </dataValidation>
    <dataValidation type="list" showInputMessage="1" showErrorMessage="1" sqref="G61 G63 G289" xr:uid="{2F9276F5-39B5-4C20-A3F1-1FB3A30D1BBF}">
      <formula1>beschikbare_fitformules_NTA8800</formula1>
    </dataValidation>
  </dataValidations>
  <hyperlinks>
    <hyperlink ref="D284" r:id="rId1" tooltip="verwijzing naar Staatsblad 2019, 501 met BENG-eisen" xr:uid="{1123BD04-B014-4231-AECB-A02160E69093}"/>
  </hyperlinks>
  <pageMargins left="0.23622047244094491" right="0.23622047244094491" top="0.74803149606299213" bottom="0.74803149606299213" header="0.31496062992125984" footer="0.31496062992125984"/>
  <pageSetup paperSize="9" scale="25" fitToHeight="0" orientation="landscape" r:id="rId2"/>
  <headerFooter alignWithMargins="0">
    <oddFooter>&amp;L_x000D_&amp;1#&amp;"Calibri"&amp;10&amp;K000000 Intern gebruik</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4225"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85" id="{0C196CB2-4285-46F3-B964-F216333C8608}">
            <xm:f>OR(O$19="",O$24=0,IFERROR(INDEX(bibliotheek!#REF!,MATCH(IF(O$19="",bibliotheek!#REF!,O$42),ventilatiesystemen_namen,0))="A",0))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F2A12B231D194687A739496578220B" ma:contentTypeVersion="18" ma:contentTypeDescription="Een nieuw document maken." ma:contentTypeScope="" ma:versionID="e344b9a0c7ba73da8917767bf81928aa">
  <xsd:schema xmlns:xsd="http://www.w3.org/2001/XMLSchema" xmlns:xs="http://www.w3.org/2001/XMLSchema" xmlns:p="http://schemas.microsoft.com/office/2006/metadata/properties" xmlns:ns2="0e89882f-b914-43a4-b7a7-3a7891b2d616" xmlns:ns3="44012b7d-02f8-43e6-8cac-d569919209ad" targetNamespace="http://schemas.microsoft.com/office/2006/metadata/properties" ma:root="true" ma:fieldsID="43691187caa2269d0f4f1bdcb9ffe0e2" ns2:_="" ns3:_="">
    <xsd:import namespace="0e89882f-b914-43a4-b7a7-3a7891b2d616"/>
    <xsd:import namespace="44012b7d-02f8-43e6-8cac-d569919209a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9882f-b914-43a4-b7a7-3a7891b2d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761fd13a-52b1-485b-ba5b-ae6febacd0fb"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012b7d-02f8-43e6-8cac-d569919209ad"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25a019e8-9d59-40d8-9bb2-aef4ef6df99b}" ma:internalName="TaxCatchAll" ma:showField="CatchAllData" ma:web="44012b7d-02f8-43e6-8cac-d569919209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e89882f-b914-43a4-b7a7-3a7891b2d616">
      <Terms xmlns="http://schemas.microsoft.com/office/infopath/2007/PartnerControls"/>
    </lcf76f155ced4ddcb4097134ff3c332f>
    <TaxCatchAll xmlns="44012b7d-02f8-43e6-8cac-d569919209ad" xsi:nil="true"/>
    <SharedWithUsers xmlns="44012b7d-02f8-43e6-8cac-d569919209ad">
      <UserInfo>
        <DisplayName>Pieter Nuiten</DisplayName>
        <AccountId>6</AccountId>
        <AccountType/>
      </UserInfo>
    </SharedWithUsers>
  </documentManagement>
</p:properties>
</file>

<file path=customXml/item4.xml>��< ? x m l   v e r s i o n = " 1 . 0 "   e n c o d i n g = " u t f - 1 6 " ? > < S w i f t T o k e n s   x m l n s : x s d = " h t t p : / / w w w . w 3 . o r g / 2 0 0 1 / X M L S c h e m a "   x m l n s : x s i = " h t t p : / / w w w . w 3 . o r g / 2 0 0 1 / X M L S c h e m a - i n s t a n c e " > < T o k e n s / > < / S w i f t T o k e n s > 
</file>

<file path=customXml/itemProps1.xml><?xml version="1.0" encoding="utf-8"?>
<ds:datastoreItem xmlns:ds="http://schemas.openxmlformats.org/officeDocument/2006/customXml" ds:itemID="{CD6B2299-62C4-44D2-9B23-9A4BF54DA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9882f-b914-43a4-b7a7-3a7891b2d616"/>
    <ds:schemaRef ds:uri="44012b7d-02f8-43e6-8cac-d569919209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8EBBA5-ACF5-425F-B7D1-18FA57CEA823}">
  <ds:schemaRefs>
    <ds:schemaRef ds:uri="http://schemas.microsoft.com/sharepoint/v3/contenttype/forms"/>
  </ds:schemaRefs>
</ds:datastoreItem>
</file>

<file path=customXml/itemProps3.xml><?xml version="1.0" encoding="utf-8"?>
<ds:datastoreItem xmlns:ds="http://schemas.openxmlformats.org/officeDocument/2006/customXml" ds:itemID="{3BE224CA-4CAB-45D4-BC85-B82B067F4C87}">
  <ds:schemaRefs>
    <ds:schemaRef ds:uri="http://purl.org/dc/terms/"/>
    <ds:schemaRef ds:uri="http://schemas.microsoft.com/office/2006/documentManagement/types"/>
    <ds:schemaRef ds:uri="http://schemas.openxmlformats.org/package/2006/metadata/core-properties"/>
    <ds:schemaRef ds:uri="44012b7d-02f8-43e6-8cac-d569919209ad"/>
    <ds:schemaRef ds:uri="http://purl.org/dc/elements/1.1/"/>
    <ds:schemaRef ds:uri="http://schemas.microsoft.com/office/infopath/2007/PartnerControls"/>
    <ds:schemaRef ds:uri="http://schemas.microsoft.com/office/2006/metadata/properties"/>
    <ds:schemaRef ds:uri="0e89882f-b914-43a4-b7a7-3a7891b2d616"/>
    <ds:schemaRef ds:uri="http://www.w3.org/XML/1998/namespace"/>
    <ds:schemaRef ds:uri="http://purl.org/dc/dcmitype/"/>
  </ds:schemaRefs>
</ds:datastoreItem>
</file>

<file path=customXml/itemProps4.xml><?xml version="1.0" encoding="utf-8"?>
<ds:datastoreItem xmlns:ds="http://schemas.openxmlformats.org/officeDocument/2006/customXml" ds:itemID="{B0341734-D860-4056-91A4-E648D6BFDAFF}">
  <ds:schemaRefs>
    <ds:schemaRef ds:uri="http://www.w3.org/2001/XMLSchema"/>
  </ds:schemaRefs>
</ds:datastoreItem>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155</vt:i4>
      </vt:variant>
    </vt:vector>
  </HeadingPairs>
  <TitlesOfParts>
    <vt:vector size="168" baseType="lpstr">
      <vt:lpstr>disclaimer</vt:lpstr>
      <vt:lpstr>handleiding</vt:lpstr>
      <vt:lpstr>woningen|utiliteit</vt:lpstr>
      <vt:lpstr>variant 1</vt:lpstr>
      <vt:lpstr>variant 2</vt:lpstr>
      <vt:lpstr>variant 3</vt:lpstr>
      <vt:lpstr>variant 4</vt:lpstr>
      <vt:lpstr>variant 5</vt:lpstr>
      <vt:lpstr>variant 6</vt:lpstr>
      <vt:lpstr>resultaten</vt:lpstr>
      <vt:lpstr>bibliotheek</vt:lpstr>
      <vt:lpstr>wijzigingen 5.0</vt:lpstr>
      <vt:lpstr>Energiebehoefte algemeen</vt:lpstr>
      <vt:lpstr>aardgas</vt:lpstr>
      <vt:lpstr>bibliotheek!Afdrukbereik</vt:lpstr>
      <vt:lpstr>disclaimer!Afdrukbereik</vt:lpstr>
      <vt:lpstr>handleiding!Afdrukbereik</vt:lpstr>
      <vt:lpstr>resultaten!Afdrukbereik</vt:lpstr>
      <vt:lpstr>'variant 1'!Afdrukbereik</vt:lpstr>
      <vt:lpstr>'variant 2'!Afdrukbereik</vt:lpstr>
      <vt:lpstr>'variant 3'!Afdrukbereik</vt:lpstr>
      <vt:lpstr>'variant 4'!Afdrukbereik</vt:lpstr>
      <vt:lpstr>'variant 5'!Afdrukbereik</vt:lpstr>
      <vt:lpstr>'variant 6'!Afdrukbereik</vt:lpstr>
      <vt:lpstr>'wijzigingen 5.0'!Afdrukbereik</vt:lpstr>
      <vt:lpstr>bibliotheek!Afdruktitels</vt:lpstr>
      <vt:lpstr>handleiding!Afdruktitels</vt:lpstr>
      <vt:lpstr>'wijzigingen 5.0'!Afdruktitels</vt:lpstr>
      <vt:lpstr>aftapwarmte</vt:lpstr>
      <vt:lpstr>BENG_gebruiksfuncties</vt:lpstr>
      <vt:lpstr>BENG1_eis_Als_deeldoor_Ag_kleiner_dan_grenswaarde_1</vt:lpstr>
      <vt:lpstr>BENG1_eis_C1</vt:lpstr>
      <vt:lpstr>BENG1_eis_C2</vt:lpstr>
      <vt:lpstr>BENG1_eis_C3</vt:lpstr>
      <vt:lpstr>BENG1_eis_C4</vt:lpstr>
      <vt:lpstr>BENG1_eis_C5</vt:lpstr>
      <vt:lpstr>BENG1_eis_C6</vt:lpstr>
      <vt:lpstr>BENG1_eis_grenswaarde_1</vt:lpstr>
      <vt:lpstr>BENG1_eis_grenswaarde_2</vt:lpstr>
      <vt:lpstr>BENG2_eis</vt:lpstr>
      <vt:lpstr>BENG3_eis</vt:lpstr>
      <vt:lpstr>beschikbare_fitformules_NTA8800</vt:lpstr>
      <vt:lpstr>bestaand</vt:lpstr>
      <vt:lpstr>bestaand_nieuw</vt:lpstr>
      <vt:lpstr>bijdrage_thermische_zonne_energie_RV</vt:lpstr>
      <vt:lpstr>bijdrage_thermische_zonne_energie_TAP</vt:lpstr>
      <vt:lpstr>biomassa</vt:lpstr>
      <vt:lpstr>bioolie</vt:lpstr>
      <vt:lpstr>centraal</vt:lpstr>
      <vt:lpstr>correctiefactor_C1</vt:lpstr>
      <vt:lpstr>correctiefactor_C2</vt:lpstr>
      <vt:lpstr>Correctiefactoren</vt:lpstr>
      <vt:lpstr>eindnorm_utiliteit_energielabel</vt:lpstr>
      <vt:lpstr>elektriciteit</vt:lpstr>
      <vt:lpstr>elektriciteit_primaire_energiefactor</vt:lpstr>
      <vt:lpstr>energiedrager_elektriciteit_CO2_emissiecoëfficiënt</vt:lpstr>
      <vt:lpstr>energiedrager_elektriciteit_CO2_emissiecoëfficiënt_export</vt:lpstr>
      <vt:lpstr>energiedrager_elektriciteit_kopregel</vt:lpstr>
      <vt:lpstr>ENERGIEDRAGERS</vt:lpstr>
      <vt:lpstr>energiedragers_CO2_emissiefactor</vt:lpstr>
      <vt:lpstr>energiedragers_fPren</vt:lpstr>
      <vt:lpstr>energiedragers_gebouwaansluiting</vt:lpstr>
      <vt:lpstr>energiedragers_geschikt_voor_KOEL</vt:lpstr>
      <vt:lpstr>energiedragers_geschikt_voor_RV</vt:lpstr>
      <vt:lpstr>energiedragers_geschikt_voor_TAP</vt:lpstr>
      <vt:lpstr>energiedragers_index_fPren</vt:lpstr>
      <vt:lpstr>energiedragers_kopregel</vt:lpstr>
      <vt:lpstr>energiedragers_namen</vt:lpstr>
      <vt:lpstr>energiedragers_primaire_energiefactor</vt:lpstr>
      <vt:lpstr>energielabels_grenswaarden</vt:lpstr>
      <vt:lpstr>energielabels_labelnamen</vt:lpstr>
      <vt:lpstr>energieprestatie_werkelijk</vt:lpstr>
      <vt:lpstr>f_P_rencold</vt:lpstr>
      <vt:lpstr>f_P_renelect</vt:lpstr>
      <vt:lpstr>f_P_renheat</vt:lpstr>
      <vt:lpstr>fit_a0</vt:lpstr>
      <vt:lpstr>fit_a1</vt:lpstr>
      <vt:lpstr>fit_a2</vt:lpstr>
      <vt:lpstr>fit_a3</vt:lpstr>
      <vt:lpstr>fit_a4</vt:lpstr>
      <vt:lpstr>fit_n1</vt:lpstr>
      <vt:lpstr>fit_n2</vt:lpstr>
      <vt:lpstr>fit_n3</vt:lpstr>
      <vt:lpstr>fit_n4</vt:lpstr>
      <vt:lpstr>fitcurves_NTA8800</vt:lpstr>
      <vt:lpstr>gebied</vt:lpstr>
      <vt:lpstr>gebouw</vt:lpstr>
      <vt:lpstr>gebruiksfuncties_fitcurve_NTA8800</vt:lpstr>
      <vt:lpstr>gebruiksfuncties_namen</vt:lpstr>
      <vt:lpstr>gederfde_elektriciteit</vt:lpstr>
      <vt:lpstr>geen</vt:lpstr>
      <vt:lpstr>geografische_niveaus_installaties</vt:lpstr>
      <vt:lpstr>GJ</vt:lpstr>
      <vt:lpstr>hernieuwbare_energiebron_getalswaarde</vt:lpstr>
      <vt:lpstr>hernieuwbare_energiebron_getalswaarde_bij_toestellen</vt:lpstr>
      <vt:lpstr>hernieuwbare_energiebron_index</vt:lpstr>
      <vt:lpstr>hernieuwbare_energiebron_namen</vt:lpstr>
      <vt:lpstr>hoog_laag</vt:lpstr>
      <vt:lpstr>installaties_RV_verlies_elek_prod_aftapwarmte</vt:lpstr>
      <vt:lpstr>installaties_TAP_verlies_elek_prod_aftapwarmte</vt:lpstr>
      <vt:lpstr>isolatiepakketten_gebouwschil_namen</vt:lpstr>
      <vt:lpstr>koken_aardgas_per_m2</vt:lpstr>
      <vt:lpstr>koken_elektriciteit</vt:lpstr>
      <vt:lpstr>koken_elektriciteit_per_m2</vt:lpstr>
      <vt:lpstr>koken_gas</vt:lpstr>
      <vt:lpstr>koudebehoefte_koeling_ondergrens</vt:lpstr>
      <vt:lpstr>kWh</vt:lpstr>
      <vt:lpstr>m3gas</vt:lpstr>
      <vt:lpstr>niet_gebouwgebonden_elektriciteitgebruik_woningen_per_m2</vt:lpstr>
      <vt:lpstr>nieuw</vt:lpstr>
      <vt:lpstr>NulEen</vt:lpstr>
      <vt:lpstr>nvt</vt:lpstr>
      <vt:lpstr>opwekking_elektriciteit</vt:lpstr>
      <vt:lpstr>parameters_fitformule</vt:lpstr>
      <vt:lpstr>referentie_koeling</vt:lpstr>
      <vt:lpstr>referentie_verwarming</vt:lpstr>
      <vt:lpstr>referentie_warmtapwater</vt:lpstr>
      <vt:lpstr>referentiepakketten_bij_gebouwen</vt:lpstr>
      <vt:lpstr>restwarmte</vt:lpstr>
      <vt:lpstr>specifiek_niet_gebouwgebonden_elektriciteitsgebruik_gebruiksfuncties</vt:lpstr>
      <vt:lpstr>specifiek_niet_gebouwgebonden_elektriciteitsgebruik_waarden</vt:lpstr>
      <vt:lpstr>specifieke_interne_warmtecapaciteit</vt:lpstr>
      <vt:lpstr>standaardwaarde_basis</vt:lpstr>
      <vt:lpstr>standaardwaarde_extra_vraag_boven_grenswaarde_vormfactor</vt:lpstr>
      <vt:lpstr>standaardwaarde_grens_vormfactor</vt:lpstr>
      <vt:lpstr>standaardwaarden_gebruiksfuncties</vt:lpstr>
      <vt:lpstr>toestellen_KOEL</vt:lpstr>
      <vt:lpstr>toestellen_KOEL_invoer</vt:lpstr>
      <vt:lpstr>toestellen_KOEL_kopregel</vt:lpstr>
      <vt:lpstr>toestellen_RV</vt:lpstr>
      <vt:lpstr>toestellen_RV_invoer</vt:lpstr>
      <vt:lpstr>toestellen_RV_kopregel</vt:lpstr>
      <vt:lpstr>toestellen_TAP</vt:lpstr>
      <vt:lpstr>toestellen_TAP_invoer</vt:lpstr>
      <vt:lpstr>toestellen_TAP_kopregel</vt:lpstr>
      <vt:lpstr>ventilatie_A</vt:lpstr>
      <vt:lpstr>ventilatiesystemen_code</vt:lpstr>
      <vt:lpstr>ventilatiesystemen_kenmerken</vt:lpstr>
      <vt:lpstr>ventilatiesystemen_kenmerken_kopregel</vt:lpstr>
      <vt:lpstr>ventilatiesystemen_namen</vt:lpstr>
      <vt:lpstr>ventilatoren_typen</vt:lpstr>
      <vt:lpstr>ventilatorenergie_ventilatiesysteem_B_C</vt:lpstr>
      <vt:lpstr>ventilatorenergie_ventilatiesysteem_B_C_kopregel</vt:lpstr>
      <vt:lpstr>ventilatorenergie_ventilatiesysteem_D</vt:lpstr>
      <vt:lpstr>ventilatorenergie_ventilatiesysteem_D_kopregel</vt:lpstr>
      <vt:lpstr>verlichting_parameters_a</vt:lpstr>
      <vt:lpstr>verlichting_parameters_b</vt:lpstr>
      <vt:lpstr>verlichting_parameters_gebruiksfuncties</vt:lpstr>
      <vt:lpstr>verlichting_vermogen_forfaitair</vt:lpstr>
      <vt:lpstr>verlichtingsregeling_kopregel</vt:lpstr>
      <vt:lpstr>verlichtingsregeling_namen</vt:lpstr>
      <vt:lpstr>verlichtingsregeling_waarden</vt:lpstr>
      <vt:lpstr>WaarOnwaar</vt:lpstr>
      <vt:lpstr>warmtapwater_specifieke_warmtebehoefte_gebruiksfuncties</vt:lpstr>
      <vt:lpstr>warmtapwater_specifieke_warmtebehoefte_waarden</vt:lpstr>
      <vt:lpstr>warmtebehoefte_verwarming_ondergrens</vt:lpstr>
      <vt:lpstr>warmtenetten_NL_CO2_emissiecoefficient</vt:lpstr>
      <vt:lpstr>warmtenetten_NL_codes</vt:lpstr>
      <vt:lpstr>warmtenetten_NL_fp_del</vt:lpstr>
      <vt:lpstr>warmtenetten_NL_fp_ren</vt:lpstr>
      <vt:lpstr>warmtenetten_NL_namen</vt:lpstr>
      <vt:lpstr>warmtenetten_NL_voor_KOEL</vt:lpstr>
      <vt:lpstr>warmtenetten_NL_voor_RV</vt:lpstr>
      <vt:lpstr>warmtenetten_NL_voor_TAP</vt:lpstr>
      <vt:lpstr>woning</vt:lpstr>
      <vt:lpstr>woningen_gebouwen_gegevens</vt:lpstr>
      <vt:lpstr>woningen_gebouwen_namen</vt:lpstr>
      <vt:lpstr>woongebouw</vt:lpstr>
    </vt:vector>
  </TitlesOfParts>
  <Manager/>
  <Company>W/E adviseurs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 Maatlat Rekenmodel 5.1</dc:title>
  <dc:subject/>
  <dc:creator>Rijksdienst voor Ondernemend Nederland</dc:creator>
  <cp:keywords/>
  <dc:description>Versie 24 mei 2013</dc:description>
  <cp:lastModifiedBy>Rijksdienst voor Ondernemend Nederland</cp:lastModifiedBy>
  <cp:revision/>
  <dcterms:created xsi:type="dcterms:W3CDTF">2010-01-26T11:04:21Z</dcterms:created>
  <dcterms:modified xsi:type="dcterms:W3CDTF">2025-05-06T07:13:25Z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0x0101001EF2A12B231D194687A739496578220B</vt:lpwstr>
  </property>
  <property fmtid="{D5CDD505-2E9C-101B-9397-08002B2CF9AE}" pid="3" name="MediaServiceImageTags">
    <vt:lpwstr/>
  </property>
  <property fmtid="{D5CDD505-2E9C-101B-9397-08002B2CF9AE}" pid="4" name="PlanSwiftJobName">
    <vt:lpwstr/>
  </property>
  <property fmtid="{D5CDD505-2E9C-101B-9397-08002B2CF9AE}" pid="5" name="PlanSwiftJobGuid">
    <vt:lpwstr/>
  </property>
  <property fmtid="{D5CDD505-2E9C-101B-9397-08002B2CF9AE}" pid="6" name="LinkedDataId">
    <vt:lpwstr>{B0341734-D860-4056-91A4-E648D6BFDAFF}</vt:lpwstr>
  </property>
</Properties>
</file>