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T:\KD4\NVLG\nb_wet\Cluster Mobiliteit en Infrastructuur\Dossiers\Rijkswaterstaat - KRW Tranche 3 IJsselmeergebied - ZKnrSIRIS\Eemmeer - ZK0000098968\2025 aanvraag\UOV-procedure\Ontwerp besluit\Geanonimiseerd\"/>
    </mc:Choice>
  </mc:AlternateContent>
  <xr:revisionPtr revIDLastSave="0" documentId="13_ncr:1_{4B27A435-A80F-49F8-8229-201EDEF21BE0}" xr6:coauthVersionLast="47" xr6:coauthVersionMax="47" xr10:uidLastSave="{00000000-0000-0000-0000-000000000000}"/>
  <bookViews>
    <workbookView xWindow="2895" yWindow="2895" windowWidth="21600" windowHeight="11325" xr2:uid="{BF473974-7AB8-48B3-B4A8-9B0FFE426352}"/>
  </bookViews>
  <sheets>
    <sheet name="Hoeveelheden ontwerp" sheetId="1" r:id="rId1"/>
    <sheet name="Blad1" sheetId="5" state="hidden" r:id="rId2"/>
    <sheet name="Cyclustijden" sheetId="2" r:id="rId3"/>
    <sheet name="Materieelinzet" sheetId="4" r:id="rId4"/>
    <sheet name="Kaartjes met locaties en routes"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4" l="1"/>
  <c r="O9" i="4"/>
  <c r="O10" i="4"/>
  <c r="O11" i="4"/>
  <c r="O6" i="4"/>
  <c r="O7" i="4"/>
  <c r="O8" i="4"/>
  <c r="O5" i="4"/>
  <c r="O4" i="4"/>
  <c r="O3" i="4"/>
  <c r="N10" i="4"/>
  <c r="N11" i="4"/>
  <c r="N9" i="4"/>
  <c r="N7" i="4"/>
  <c r="N8" i="4"/>
  <c r="N6" i="4"/>
  <c r="N4" i="4"/>
  <c r="N5" i="4"/>
  <c r="N3" i="4"/>
  <c r="F68" i="4" l="1"/>
  <c r="F67" i="4"/>
  <c r="L50" i="4"/>
  <c r="P50" i="4" s="1"/>
  <c r="G9" i="4" s="1"/>
  <c r="B50" i="4"/>
  <c r="N50" i="4" l="1"/>
  <c r="E9" i="4" s="1"/>
  <c r="O50" i="4"/>
  <c r="B68" i="4"/>
  <c r="L69" i="4"/>
  <c r="L67" i="4"/>
  <c r="F69" i="4"/>
  <c r="B70" i="4"/>
  <c r="B69" i="4" s="1"/>
  <c r="O70" i="4"/>
  <c r="R51" i="4"/>
  <c r="S51" i="4"/>
  <c r="G12" i="4" s="1"/>
  <c r="Q51" i="4"/>
  <c r="E12" i="4" s="1"/>
  <c r="B51" i="4"/>
  <c r="G25" i="2"/>
  <c r="L30" i="4"/>
  <c r="B26" i="2"/>
  <c r="R69" i="4" l="1"/>
  <c r="F12" i="4" s="1"/>
  <c r="O69" i="4"/>
  <c r="O67" i="4"/>
  <c r="L68" i="4"/>
  <c r="O68" i="4" s="1"/>
  <c r="F9" i="4" s="1"/>
  <c r="R67" i="4"/>
  <c r="B67" i="4"/>
  <c r="G46" i="4"/>
  <c r="E46" i="4"/>
  <c r="P44" i="4"/>
  <c r="O44" i="4"/>
  <c r="N44" i="4"/>
  <c r="B44" i="4"/>
  <c r="Q49" i="4" l="1"/>
  <c r="B53" i="4" l="1"/>
  <c r="N46" i="4"/>
  <c r="O46" i="4"/>
  <c r="P46" i="4"/>
  <c r="B46" i="4"/>
  <c r="B64" i="4"/>
  <c r="B63" i="4"/>
  <c r="B62" i="4"/>
  <c r="B61" i="4"/>
  <c r="S49" i="4"/>
  <c r="F58" i="4"/>
  <c r="F56" i="4"/>
  <c r="R56" i="4" s="1"/>
  <c r="E23" i="4"/>
  <c r="E24" i="4" s="1"/>
  <c r="P57" i="4"/>
  <c r="O57" i="4"/>
  <c r="N57" i="4"/>
  <c r="O45" i="4"/>
  <c r="O43" i="4"/>
  <c r="P34" i="4"/>
  <c r="O34" i="4"/>
  <c r="N34" i="4"/>
  <c r="P33" i="4"/>
  <c r="O33" i="4"/>
  <c r="P19" i="4"/>
  <c r="O19" i="4"/>
  <c r="N19" i="4"/>
  <c r="S56" i="4"/>
  <c r="Q56" i="4"/>
  <c r="E13" i="4" s="1"/>
  <c r="L23" i="4"/>
  <c r="P23" i="4" s="1"/>
  <c r="F4" i="4" l="1"/>
  <c r="Q6" i="4" s="1"/>
  <c r="G13" i="4"/>
  <c r="N52" i="4"/>
  <c r="O52" i="4"/>
  <c r="P52" i="4"/>
  <c r="O23" i="4"/>
  <c r="S6" i="4" l="1"/>
  <c r="R6" i="4"/>
  <c r="L28" i="2"/>
  <c r="L26" i="2"/>
  <c r="L25" i="2"/>
  <c r="L29" i="2" s="1"/>
  <c r="R49" i="4"/>
  <c r="F13" i="4" s="1"/>
  <c r="B56" i="4"/>
  <c r="B52" i="4"/>
  <c r="P45" i="4"/>
  <c r="N45" i="4"/>
  <c r="P43" i="4"/>
  <c r="G4" i="4" s="1"/>
  <c r="Q9" i="4" s="1"/>
  <c r="N43" i="4"/>
  <c r="B19" i="4"/>
  <c r="G28" i="2"/>
  <c r="G26" i="2"/>
  <c r="B28" i="2"/>
  <c r="B29" i="2" s="1"/>
  <c r="R9" i="4" l="1"/>
  <c r="S9" i="4"/>
  <c r="B49" i="4"/>
  <c r="B33" i="4"/>
  <c r="N33" i="4"/>
  <c r="E4" i="4" s="1"/>
  <c r="Q3" i="4" s="1"/>
  <c r="B58" i="4"/>
  <c r="B43" i="4"/>
  <c r="B45" i="4"/>
  <c r="B57" i="4"/>
  <c r="N23" i="4"/>
  <c r="G29" i="2"/>
  <c r="L24" i="4" s="1"/>
  <c r="R3" i="4" l="1"/>
  <c r="S3" i="4"/>
  <c r="P24" i="4"/>
  <c r="O24" i="4"/>
  <c r="B23" i="4"/>
  <c r="B24" i="4" l="1"/>
  <c r="N24" i="4"/>
  <c r="D11" i="1" l="1"/>
  <c r="B11" i="1" s="1"/>
  <c r="B7" i="1"/>
  <c r="D12" i="1" l="1"/>
  <c r="B12" i="1" s="1"/>
  <c r="B28" i="4" l="1"/>
  <c r="G29" i="4"/>
  <c r="G30" i="4" s="1"/>
  <c r="E29" i="4"/>
  <c r="E30" i="4" s="1"/>
  <c r="N30" i="4" l="1"/>
  <c r="E6" i="4" s="1"/>
  <c r="Q5" i="4" s="1"/>
  <c r="O30" i="4"/>
  <c r="F6" i="4" s="1"/>
  <c r="Q8" i="4" s="1"/>
  <c r="B30" i="4"/>
  <c r="P30" i="4"/>
  <c r="G6" i="4" s="1"/>
  <c r="N29" i="4"/>
  <c r="E7" i="4" s="1"/>
  <c r="N38" i="4"/>
  <c r="E5" i="4" s="1"/>
  <c r="Q4" i="4" s="1"/>
  <c r="O29" i="4"/>
  <c r="F7" i="4" s="1"/>
  <c r="O38" i="4"/>
  <c r="F5" i="4" s="1"/>
  <c r="Q7" i="4" s="1"/>
  <c r="P29" i="4"/>
  <c r="G7" i="4" s="1"/>
  <c r="Q11" i="4" s="1"/>
  <c r="P38" i="4"/>
  <c r="G5" i="4" s="1"/>
  <c r="Q10" i="4" s="1"/>
  <c r="B29" i="4"/>
  <c r="S7" i="4" l="1"/>
  <c r="R7" i="4"/>
  <c r="S10" i="4"/>
  <c r="R10" i="4"/>
  <c r="S4" i="4"/>
  <c r="R4" i="4"/>
  <c r="S5" i="4"/>
  <c r="R5" i="4"/>
  <c r="R11" i="4"/>
  <c r="V5" i="4" s="1"/>
  <c r="S11" i="4"/>
  <c r="Q12" i="4"/>
  <c r="R8" i="4"/>
  <c r="S8" i="4"/>
  <c r="B38" i="4"/>
  <c r="W5" i="4" l="1"/>
  <c r="V3" i="4"/>
  <c r="W3" i="4"/>
  <c r="S12" i="4"/>
  <c r="W4" i="4"/>
  <c r="R12" i="4"/>
  <c r="V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tc={15DBD781-AFD9-467F-9821-24B0BDF937DF}</author>
  </authors>
  <commentList>
    <comment ref="O8" authorId="0" shapeId="0" xr:uid="{15DBD781-AFD9-467F-9821-24B0BDF937DF}">
      <text>
        <t>[Opmerkingenthread]
U kunt deze opmerkingenthread lezen in uw versie van Excel. Eventuele wijzigingen aan de thread gaan echter verloren als het bestand wordt geopend in een nieuwere versie van Excel. Meer informatie: https://go.microsoft.com/fwlink/?linkid=870924
Opmerking:
    Niet nodig in verband met bevaarbaarheid</t>
      </text>
    </comment>
  </commentList>
</comments>
</file>

<file path=xl/sharedStrings.xml><?xml version="1.0" encoding="utf-8"?>
<sst xmlns="http://schemas.openxmlformats.org/spreadsheetml/2006/main" count="370" uniqueCount="186">
  <si>
    <t>Totaal</t>
  </si>
  <si>
    <t>m³</t>
  </si>
  <si>
    <t>ton</t>
  </si>
  <si>
    <t>st</t>
  </si>
  <si>
    <t>Grond ontgraven</t>
  </si>
  <si>
    <t>Laden en vervoeren van grond per as</t>
  </si>
  <si>
    <t>Grond laden in dumper</t>
  </si>
  <si>
    <t>Grond vervoeren van overslag naar plaats van verwerking</t>
  </si>
  <si>
    <t>Grond overslaan naar de wal</t>
  </si>
  <si>
    <t>Leveren en storten breuksteen</t>
  </si>
  <si>
    <t>Rijshoutdammen</t>
  </si>
  <si>
    <t>Aanbrengen rijshout (excl. leverantie)</t>
  </si>
  <si>
    <t>Beplanting</t>
  </si>
  <si>
    <t>Leveren en aanbrengen perkoenpalen t.b.v. verankering dood hout</t>
  </si>
  <si>
    <t>Grond verwerken in oever</t>
  </si>
  <si>
    <t>Verwerken van grond vanaf land (onder water)</t>
  </si>
  <si>
    <t>Laden en vervoeren van grond over het water</t>
  </si>
  <si>
    <t>Verwerken van grond vanaf schip (onder water)</t>
  </si>
  <si>
    <t>Aanbrengen bomen(dood hout) op bodem</t>
  </si>
  <si>
    <t>Breuksteen bestaande oeverbescherming opnemen</t>
  </si>
  <si>
    <t>Oever- en golfbescherming van breuksteen</t>
  </si>
  <si>
    <t>Oever- en golfbescherming</t>
  </si>
  <si>
    <t>Breuksteen verwerken</t>
  </si>
  <si>
    <t>Grond ontgraven (strand)</t>
  </si>
  <si>
    <t>Grond laden in een schip (op nader te bepalen locatie)</t>
  </si>
  <si>
    <t>Grond verwerken in verondieping</t>
  </si>
  <si>
    <t>Aanbrengen grind op golfbreker t.b.v. broedplaatsen</t>
  </si>
  <si>
    <t>m3</t>
  </si>
  <si>
    <t>Grond verwerken in eilandjes/verondieping waterbodem</t>
  </si>
  <si>
    <t>Uitgangspunten/opmerkingen</t>
  </si>
  <si>
    <t>Grond tb.v. aanleg natuurvriendelijke oever vanaf land</t>
  </si>
  <si>
    <t>Grond vervoeren naar project (uitgangspunt 5 km)</t>
  </si>
  <si>
    <t>Uitgangspunt is winning in zelfde meer als verwerking</t>
  </si>
  <si>
    <t>1,5 ton mer m3</t>
  </si>
  <si>
    <t>0,25 m laagdikte</t>
  </si>
  <si>
    <t>Vrijgekomen zandzover mogelijk van de oever af in het water zetten</t>
  </si>
  <si>
    <t>Eemmeer eilandjes (ZG4)</t>
  </si>
  <si>
    <t>Ketelmeer oost (ZG11)</t>
  </si>
  <si>
    <t>Zwarte Meer (ZG14)</t>
  </si>
  <si>
    <t>Verwijderen zand op het bestaande strandje t.b.v. leeflaag riet, dikte 1 m, breedte 10 m, lengte 100 m</t>
  </si>
  <si>
    <t>Grond tb.v. aanleg natuurvriendelijke oever vanaf land, circa 2m3 per strekkende meter om flauw talud aan te leggen</t>
  </si>
  <si>
    <t xml:space="preserve">Grond komt vrij bij baggeren van de vaarwegen die toch al uitgebaggerd moeten worden, of andere ondieptes die voor schepen onwenselijk zijn. In ieder meer zijn winlocaties aanwezig. Vanwege het verschil tussen "vaste grond" die ontgraven wordt en "losse grond" is een percentage toegepast van 20% extra m3 voor vervoeren en aanbrengen. (https://www.bodemrichtlijn.nl/Bibliotheek/bodemsaneringstechnieken/g-baggeren-en-transporteren/g1-algemene-aspecten-van-bag9351/baggeren-en-transporteren-projectomvang)  </t>
  </si>
  <si>
    <t xml:space="preserve">In plaggen, afplaggen van riet op andere locaties in of direct rondom het meer. Plaggen vervoeren en aanbrengen op de eilanden. </t>
  </si>
  <si>
    <t xml:space="preserve">Richtprijs RWS 3.000 EUR per boom </t>
  </si>
  <si>
    <t>uitgangspunt bestaande laagdikte 0,3 m</t>
  </si>
  <si>
    <t>bovenzijde stortsteen op 0,3 m NAP (wijziging t.o.v. ontwerp). Hierdoor ontstaat er luwte, maar wordt niet alle dynamiek weggenomen. Voor de broedplaatsten is NAP + 1 m meegenomen, dezelfde hoogte als de bestaande eilanden waar de vogels nu zitten. Het is een grondlichaam, afgedekt met een halve meter stortsteen</t>
  </si>
  <si>
    <t>Motorvermogen</t>
  </si>
  <si>
    <t>Laadvermogen</t>
  </si>
  <si>
    <t>kW</t>
  </si>
  <si>
    <t>m3/uur</t>
  </si>
  <si>
    <t>Laadproductie</t>
  </si>
  <si>
    <t xml:space="preserve">Bakinhoud </t>
  </si>
  <si>
    <t>Inhoud</t>
  </si>
  <si>
    <t>Productiematerieel</t>
  </si>
  <si>
    <t>Transportmaterieel</t>
  </si>
  <si>
    <t>Vervoersvolume</t>
  </si>
  <si>
    <t>Inschatting baggerwerk vaargeul (buiten projectsope)</t>
  </si>
  <si>
    <t>Losproductie</t>
  </si>
  <si>
    <t>Wiellader, 120 kW, bak 2 m³</t>
  </si>
  <si>
    <t>Hydraulische graafmachine, 160 kW, bak 1,5 m³</t>
  </si>
  <si>
    <t>Dumper 3-as 18,5 m³, 40 ton, 350 kW</t>
  </si>
  <si>
    <t>Elevatorbak 500 m³, 1000 ton</t>
  </si>
  <si>
    <t>Duwboot 275 kW</t>
  </si>
  <si>
    <t>km</t>
  </si>
  <si>
    <t>Vaartafstand enkel</t>
  </si>
  <si>
    <t>Vaarsnelheid</t>
  </si>
  <si>
    <t>km/uur</t>
  </si>
  <si>
    <t>Noot: in zowel de cyclusberekening als in de hoeveelhedenlijst zijn de volumes uitgedrukt in uitgeleverde m3 baggerspecie</t>
  </si>
  <si>
    <t>Laadtijd elevatorbak</t>
  </si>
  <si>
    <t>uur</t>
  </si>
  <si>
    <t>Vaartijd heen</t>
  </si>
  <si>
    <t>Lostijd</t>
  </si>
  <si>
    <t>Vaartijd terug</t>
  </si>
  <si>
    <t>Hydraulische kraan op overslagponton, 200 kW, bak 2m²</t>
  </si>
  <si>
    <t>Cyclustijd</t>
  </si>
  <si>
    <t>Aantal elevatorbakken</t>
  </si>
  <si>
    <t>Aantal duwboten</t>
  </si>
  <si>
    <t>Grond laden in dumper en vervoeren binnen het werk</t>
  </si>
  <si>
    <t>Rijafstand enkel</t>
  </si>
  <si>
    <t>Rijsnelheid (op het werk)</t>
  </si>
  <si>
    <t>Laadtijd dumper</t>
  </si>
  <si>
    <t>Rijtijd heen</t>
  </si>
  <si>
    <t>Rijtijd terug</t>
  </si>
  <si>
    <t>n.v.t. (kippen)</t>
  </si>
  <si>
    <t>Met wiellader</t>
  </si>
  <si>
    <t>Buiten scope</t>
  </si>
  <si>
    <t>Leveren dood hout incl perkoenpalen</t>
  </si>
  <si>
    <t>Aanbrengen perkoenpalen t.b.v. verankering dood hout</t>
  </si>
  <si>
    <t>Rijsnelheid</t>
  </si>
  <si>
    <t>Materieeltype</t>
  </si>
  <si>
    <t>st/h</t>
  </si>
  <si>
    <t>m³/h</t>
  </si>
  <si>
    <t>Wegtransport per as (vrachtwagen groot)</t>
  </si>
  <si>
    <t>m³/uur</t>
  </si>
  <si>
    <t>Handmatig (n.v.t.)</t>
  </si>
  <si>
    <t>Duwboot 275 kW - vaartijd</t>
  </si>
  <si>
    <t>Dumper 3-as 18,5 m³, 40 ton, 350 kW - transport binnen werkterrein</t>
  </si>
  <si>
    <t>st/keer</t>
  </si>
  <si>
    <t>Materieel Uren</t>
  </si>
  <si>
    <t>Transporten Keer</t>
  </si>
  <si>
    <t>keer</t>
  </si>
  <si>
    <t>Transport</t>
  </si>
  <si>
    <t>Materieelinzet</t>
  </si>
  <si>
    <t>Totale</t>
  </si>
  <si>
    <t>Opmerking: Duwboot is 50% toe te schrijven aan baggerwerk en 50% KRW randmeren</t>
  </si>
  <si>
    <t>Duwboot 275 kW - vaartijd*</t>
  </si>
  <si>
    <t>1 transport = heen &amp; weer</t>
  </si>
  <si>
    <t>Wachttijd bij lossen = 1 uur/transport</t>
  </si>
  <si>
    <t>Aanbrengen gordingen hout</t>
  </si>
  <si>
    <t>m</t>
  </si>
  <si>
    <t>Lossen breuksteen</t>
  </si>
  <si>
    <t>m2/keer</t>
  </si>
  <si>
    <t>m2</t>
  </si>
  <si>
    <t>Leveren dood hout</t>
  </si>
  <si>
    <t>hebben we dit nog? Wordt toch een ponton?</t>
  </si>
  <si>
    <t>is niet te herleiden. Het helpt als de berekning erin staat. Eerder is h.o.h 0,25 gebruikt. Palen zijn niet lang genoeg voor Ketelmeer</t>
  </si>
  <si>
    <t>lijkt wenig, wat is de breedte? Hoger dan 0 NAP</t>
  </si>
  <si>
    <t>Plaatsen rietplaggen, bedekking 40% van oppervlak dat is aangegeven op tekening</t>
  </si>
  <si>
    <t>Eemmeer (ZG4)</t>
  </si>
  <si>
    <t>Ketelmeer (ZG11)</t>
  </si>
  <si>
    <t>Toepassen slibscherm</t>
  </si>
  <si>
    <t>Lengte Rijshoutdam Eemmeer 1230 m, Ketelmeer 1700 m en Zwarte Meer 2770 m</t>
  </si>
  <si>
    <t xml:space="preserve">Dubbele palenrij met beide een h.o.h. 0,5 m, totaal 4 palen per meter. </t>
  </si>
  <si>
    <t xml:space="preserve">Beide palenrijen voorzien van gordingen </t>
  </si>
  <si>
    <t>Hoogte dam van bodem tot bovenkant Eemmeer 1,5 m, Ketelmeer 3 m en Zwarte Meer 2 m</t>
  </si>
  <si>
    <t xml:space="preserve">Uitgangspunt is winning in zelfde meer als verwerking. Vanwege het verschil tussen "vaste grond" die ontgraven wordt en "losse grond" is een percentage toegepast van 20% extra m3 voor vervoeren en aanbrengen. Hoeveelheid grond bepaald op basis van 3d model.  (https://www.bodemrichtlijn.nl/Bibliotheek/bodemsaneringstechnieken/g-baggeren-en-transporteren/g1-algemene-aspecten-van-bag9351/baggeren-en-transporteren-projectomvang)  </t>
  </si>
  <si>
    <t>Rietzone</t>
  </si>
  <si>
    <t>Aanbrengen rietplaggen</t>
  </si>
  <si>
    <t>Zone waar rietplaggen aangebracht worden (uiteindelijk wel slecht 40% bedekt met plaggen)</t>
  </si>
  <si>
    <t>Rasters rondom rietplaggen</t>
  </si>
  <si>
    <t>Dood hout t.b.v. onderwaterbos</t>
  </si>
  <si>
    <t>Objecten t.b.v. B&amp;O</t>
  </si>
  <si>
    <t>Leveren en aanbrengen aanmeerpaal</t>
  </si>
  <si>
    <t>Leveren en aanbrengen sperlijn</t>
  </si>
  <si>
    <t>Leveren en aanbrengen verbodsbord</t>
  </si>
  <si>
    <t>Verplaatsen rood witte betonning</t>
  </si>
  <si>
    <t xml:space="preserve">1 paal per richel </t>
  </si>
  <si>
    <t>Sperlijn voor de opening bij de Ketelplaat</t>
  </si>
  <si>
    <t>Verbodsbord aan beide kanten Ketelplaat</t>
  </si>
  <si>
    <t>Bestaande betonning verplaatsen voor Ketelplaat</t>
  </si>
  <si>
    <t>m/h</t>
  </si>
  <si>
    <t>m2/uur</t>
  </si>
  <si>
    <t>Plaatsen vraatraster</t>
  </si>
  <si>
    <t>Leveren en aanbrengen palen Ø10-12 cm x 5 m</t>
  </si>
  <si>
    <t>Leveren en aanbrengen stalen buispalen Ø30 cm x 10 m</t>
  </si>
  <si>
    <t>Leveren en aanbrengen rijshout</t>
  </si>
  <si>
    <t>Leveren en aanbrengen gordingen</t>
  </si>
  <si>
    <t>Grond verpompen van bakkenzuiger naar projectlocatie</t>
  </si>
  <si>
    <t>Perspomp met drijvende leiding 525 kW</t>
  </si>
  <si>
    <t>Baggerspecie wordt door bakkenzuiger uit duwbak gezogen en dmv drijvende leiding richting project verpompt</t>
  </si>
  <si>
    <t>Productie 2 elevator bakken + duwboot</t>
  </si>
  <si>
    <t xml:space="preserve">Baggerspecie vervoeren en verwerken in oever/eilandjes </t>
  </si>
  <si>
    <t>Eemmeer  (ZG4)</t>
  </si>
  <si>
    <t>Hydraulische kraan (amfibisch), 200 kW, bak 2m²</t>
  </si>
  <si>
    <t>Grond profileren in eilandjes/verondieping waterbodem</t>
  </si>
  <si>
    <r>
      <t>m</t>
    </r>
    <r>
      <rPr>
        <vertAlign val="superscript"/>
        <sz val="10"/>
        <color theme="1"/>
        <rFont val="Segoe UI"/>
        <family val="2"/>
      </rPr>
      <t>2</t>
    </r>
  </si>
  <si>
    <r>
      <t>m</t>
    </r>
    <r>
      <rPr>
        <vertAlign val="superscript"/>
        <sz val="9"/>
        <color theme="1"/>
        <rFont val="Segoe UI"/>
        <family val="2"/>
      </rPr>
      <t>2</t>
    </r>
    <r>
      <rPr>
        <sz val="9"/>
        <color theme="1"/>
        <rFont val="Segoe UI"/>
        <family val="2"/>
      </rPr>
      <t>/uur</t>
    </r>
  </si>
  <si>
    <t>Vervoeren afgeplagd riet naar het werk per schip/ponton</t>
  </si>
  <si>
    <t>Vervoeren afgeplagde riet per as</t>
  </si>
  <si>
    <t>Vervoeren afgeplagde riet per schip</t>
  </si>
  <si>
    <t>Transport vanaf loskade naar werk per ponton/schip 125 kW</t>
  </si>
  <si>
    <t>Wegtransport per as naar loskade (vrachtwagen groot)</t>
  </si>
  <si>
    <t>Compensatie N2000</t>
  </si>
  <si>
    <t>Vervoeren mosselkorven per as</t>
  </si>
  <si>
    <t>Vervoeren mosselkorven per  schip</t>
  </si>
  <si>
    <t>Hydraulische kraan, 200 kW, bak 2m²</t>
  </si>
  <si>
    <t>Overslaan mosselkorven van vrachtwagen naar schip</t>
  </si>
  <si>
    <t>Overslaan afgeplagde riet  van vrachtwagen naar schip</t>
  </si>
  <si>
    <t>Aanbrengen mosselbank</t>
  </si>
  <si>
    <t>Eemmeer</t>
  </si>
  <si>
    <t>Ketelmeer</t>
  </si>
  <si>
    <t>Zwarte Meer</t>
  </si>
  <si>
    <t>Eem</t>
  </si>
  <si>
    <t>Gebied</t>
  </si>
  <si>
    <t>Naam</t>
  </si>
  <si>
    <t>Uur</t>
  </si>
  <si>
    <t>NOx</t>
  </si>
  <si>
    <t>NH3</t>
  </si>
  <si>
    <t>per gebied</t>
  </si>
  <si>
    <t>Ketel</t>
  </si>
  <si>
    <t>zwart</t>
  </si>
  <si>
    <t>Grond vervoeren naar bakkenzuiger (uitgangspunt 5 km) ME SCHIP  NAAR LOCATIE IPV BAKKENZUIGER</t>
  </si>
  <si>
    <t>In aerius als 2 uur gezien de twee duwbakken</t>
  </si>
  <si>
    <t>Ingetekend afwijking van heersende verkeersbeeld conform handreiking</t>
  </si>
  <si>
    <t>Getallen conform peletonaanpak:</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</si>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</sst>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_-;_-* #,##0\-;_-* &quot;-&quot;??_-;_-@_-"/>
    <numFmt numFmtId="165" formatCode="0.0"/>
  </numFmts>
  <fonts count="14" x14ac:knownFonts="1">
    <font>
      <sz val="9"/>
      <color theme="1"/>
      <name val="Segoe UI"/>
      <family val="2"/>
    </font>
    <font>
      <sz val="9"/>
      <color theme="1"/>
      <name val="Segoe UI"/>
      <family val="2"/>
    </font>
    <font>
      <b/>
      <sz val="9"/>
      <color theme="1"/>
      <name val="Segoe UI"/>
      <family val="2"/>
    </font>
    <font>
      <sz val="10"/>
      <color theme="1"/>
      <name val="Segoe UI"/>
      <family val="2"/>
    </font>
    <font>
      <b/>
      <sz val="10"/>
      <color theme="1"/>
      <name val="Segoe UI"/>
      <family val="2"/>
    </font>
    <font>
      <sz val="9"/>
      <name val="Segoe UI"/>
      <family val="2"/>
    </font>
    <font>
      <b/>
      <sz val="9"/>
      <name val="Segoe UI"/>
      <family val="2"/>
    </font>
    <font>
      <i/>
      <sz val="9"/>
      <name val="Segoe UI"/>
      <family val="2"/>
    </font>
    <font>
      <b/>
      <sz val="12"/>
      <color theme="1"/>
      <name val="Segoe UI"/>
      <family val="2"/>
    </font>
    <font>
      <sz val="12"/>
      <color theme="1"/>
      <name val="Segoe UI"/>
      <family val="2"/>
    </font>
    <font>
      <sz val="8"/>
      <name val="Segoe UI"/>
      <family val="2"/>
    </font>
    <font>
      <vertAlign val="superscript"/>
      <sz val="10"/>
      <color theme="1"/>
      <name val="Segoe UI"/>
      <family val="2"/>
    </font>
    <font>
      <vertAlign val="superscript"/>
      <sz val="9"/>
      <color theme="1"/>
      <name val="Segoe UI"/>
      <family val="2"/>
    </font>
    <font>
      <b/>
      <sz val="11"/>
      <color theme="1"/>
      <name val="Segoe UI"/>
      <family val="2"/>
    </font>
  </fonts>
  <fills count="7">
    <fill>
      <patternFill patternType="none"/>
    </fill>
    <fill>
      <patternFill patternType="gray125"/>
    </fill>
    <fill>
      <patternFill patternType="solid">
        <fgColor theme="5"/>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9"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08">
    <xf numFmtId="0" fontId="0" fillId="0" borderId="0" xfId="0"/>
    <xf numFmtId="0" fontId="3" fillId="0" borderId="0" xfId="0" applyFont="1" applyAlignment="1">
      <alignment horizontal="left" vertical="top"/>
    </xf>
    <xf numFmtId="0" fontId="0" fillId="0" borderId="0" xfId="0" applyAlignment="1">
      <alignment horizontal="left"/>
    </xf>
    <xf numFmtId="0" fontId="0" fillId="0" borderId="0" xfId="0" applyAlignment="1">
      <alignment horizontal="left" vertical="top"/>
    </xf>
    <xf numFmtId="0" fontId="4" fillId="0" borderId="1" xfId="0" applyFont="1" applyBorder="1" applyAlignment="1">
      <alignment horizontal="left" vertical="top"/>
    </xf>
    <xf numFmtId="0" fontId="3" fillId="0" borderId="1" xfId="0" applyFont="1" applyBorder="1" applyAlignment="1">
      <alignment horizontal="left" vertical="top"/>
    </xf>
    <xf numFmtId="0" fontId="0" fillId="0" borderId="1" xfId="0" applyBorder="1" applyAlignment="1">
      <alignment horizontal="left"/>
    </xf>
    <xf numFmtId="0" fontId="2" fillId="2" borderId="1" xfId="0" applyFont="1" applyFill="1" applyBorder="1" applyAlignment="1">
      <alignment vertical="top"/>
    </xf>
    <xf numFmtId="0" fontId="5" fillId="0" borderId="1" xfId="1" applyNumberFormat="1" applyFont="1" applyFill="1" applyBorder="1" applyAlignment="1">
      <alignment vertical="top"/>
    </xf>
    <xf numFmtId="0" fontId="4" fillId="0" borderId="1" xfId="0" applyFont="1" applyBorder="1" applyAlignment="1">
      <alignment vertical="top"/>
    </xf>
    <xf numFmtId="0" fontId="3" fillId="0" borderId="1" xfId="0" applyFont="1" applyBorder="1" applyAlignment="1">
      <alignment vertical="top"/>
    </xf>
    <xf numFmtId="0" fontId="6" fillId="0" borderId="1" xfId="1" applyNumberFormat="1" applyFont="1" applyFill="1" applyBorder="1" applyAlignment="1">
      <alignment vertical="top"/>
    </xf>
    <xf numFmtId="0" fontId="5" fillId="0" borderId="1" xfId="1" applyNumberFormat="1" applyFont="1" applyFill="1" applyBorder="1" applyAlignment="1">
      <alignment horizontal="left" vertical="top" indent="2"/>
    </xf>
    <xf numFmtId="164" fontId="3" fillId="0" borderId="1" xfId="0" applyNumberFormat="1" applyFont="1" applyBorder="1" applyAlignment="1">
      <alignment vertical="top"/>
    </xf>
    <xf numFmtId="0" fontId="3" fillId="0" borderId="1" xfId="1" applyNumberFormat="1" applyFont="1" applyFill="1" applyBorder="1" applyAlignment="1">
      <alignment vertical="top"/>
    </xf>
    <xf numFmtId="0" fontId="6" fillId="0" borderId="1" xfId="1" applyNumberFormat="1" applyFont="1" applyFill="1" applyBorder="1" applyAlignment="1">
      <alignment horizontal="left" vertical="top"/>
    </xf>
    <xf numFmtId="0" fontId="5" fillId="0" borderId="1" xfId="0" applyFont="1" applyBorder="1" applyAlignment="1">
      <alignment vertical="top"/>
    </xf>
    <xf numFmtId="0" fontId="2" fillId="0" borderId="1" xfId="0" applyFont="1" applyBorder="1" applyAlignment="1">
      <alignment vertical="top"/>
    </xf>
    <xf numFmtId="0" fontId="1" fillId="0" borderId="1" xfId="0" applyFont="1" applyBorder="1" applyAlignment="1">
      <alignment vertical="top"/>
    </xf>
    <xf numFmtId="0" fontId="7" fillId="0" borderId="1" xfId="1" applyNumberFormat="1" applyFont="1" applyFill="1" applyBorder="1" applyAlignment="1">
      <alignment horizontal="left" vertical="top" indent="1"/>
    </xf>
    <xf numFmtId="0" fontId="0" fillId="0" borderId="1" xfId="0" applyBorder="1" applyAlignment="1">
      <alignment vertical="top"/>
    </xf>
    <xf numFmtId="0" fontId="2" fillId="0" borderId="1" xfId="0" applyFont="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3" fillId="0" borderId="1" xfId="1" applyNumberFormat="1" applyFont="1" applyFill="1" applyBorder="1" applyAlignment="1">
      <alignment vertical="top" wrapText="1"/>
    </xf>
    <xf numFmtId="0" fontId="1" fillId="0" borderId="1" xfId="0" applyFont="1" applyBorder="1" applyAlignment="1">
      <alignment vertical="top" wrapText="1"/>
    </xf>
    <xf numFmtId="0" fontId="0" fillId="0" borderId="1" xfId="0" applyBorder="1" applyAlignment="1">
      <alignment vertical="top" wrapText="1"/>
    </xf>
    <xf numFmtId="0" fontId="3"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9" fontId="0" fillId="0" borderId="0" xfId="2" applyFont="1"/>
    <xf numFmtId="0" fontId="0" fillId="0" borderId="0" xfId="0" applyAlignment="1">
      <alignment wrapText="1"/>
    </xf>
    <xf numFmtId="0" fontId="2" fillId="0" borderId="0" xfId="0" applyFont="1"/>
    <xf numFmtId="0" fontId="2" fillId="0" borderId="0" xfId="0" applyFont="1" applyAlignment="1">
      <alignment horizontal="left"/>
    </xf>
    <xf numFmtId="0" fontId="0" fillId="0" borderId="2" xfId="0" applyBorder="1" applyAlignment="1">
      <alignment horizontal="left"/>
    </xf>
    <xf numFmtId="1" fontId="0" fillId="0" borderId="0" xfId="0" applyNumberFormat="1"/>
    <xf numFmtId="0" fontId="2" fillId="4" borderId="3" xfId="0" applyFont="1" applyFill="1" applyBorder="1" applyAlignment="1">
      <alignment vertical="top"/>
    </xf>
    <xf numFmtId="0" fontId="2" fillId="3" borderId="3" xfId="0" applyFont="1" applyFill="1" applyBorder="1" applyAlignment="1">
      <alignment vertical="top"/>
    </xf>
    <xf numFmtId="0" fontId="8" fillId="4" borderId="4" xfId="0" applyFont="1" applyFill="1" applyBorder="1" applyAlignment="1">
      <alignment vertical="top"/>
    </xf>
    <xf numFmtId="0" fontId="9" fillId="4" borderId="5" xfId="0" applyFont="1" applyFill="1" applyBorder="1"/>
    <xf numFmtId="0" fontId="9" fillId="4" borderId="6" xfId="0" applyFont="1" applyFill="1" applyBorder="1"/>
    <xf numFmtId="0" fontId="8" fillId="3" borderId="4" xfId="0" applyFont="1" applyFill="1" applyBorder="1" applyAlignment="1">
      <alignment vertical="top"/>
    </xf>
    <xf numFmtId="0" fontId="0" fillId="3" borderId="5" xfId="0" applyFill="1" applyBorder="1"/>
    <xf numFmtId="0" fontId="0" fillId="3" borderId="6" xfId="0" applyFill="1" applyBorder="1"/>
    <xf numFmtId="0" fontId="0" fillId="0" borderId="2" xfId="0" applyBorder="1"/>
    <xf numFmtId="0" fontId="0" fillId="0" borderId="10" xfId="0" applyBorder="1"/>
    <xf numFmtId="0" fontId="0" fillId="0" borderId="11" xfId="0" applyBorder="1"/>
    <xf numFmtId="0" fontId="0" fillId="0" borderId="12" xfId="0" applyBorder="1"/>
    <xf numFmtId="0" fontId="0" fillId="0" borderId="13" xfId="0" applyBorder="1"/>
    <xf numFmtId="0" fontId="2" fillId="2" borderId="8" xfId="0" applyFont="1" applyFill="1" applyBorder="1" applyAlignment="1">
      <alignment vertical="top"/>
    </xf>
    <xf numFmtId="0" fontId="2" fillId="2" borderId="12" xfId="0" applyFont="1" applyFill="1" applyBorder="1" applyAlignment="1">
      <alignment vertical="top"/>
    </xf>
    <xf numFmtId="0" fontId="2" fillId="2" borderId="8" xfId="0" applyFont="1" applyFill="1" applyBorder="1" applyAlignment="1">
      <alignment vertical="top" wrapText="1"/>
    </xf>
    <xf numFmtId="0" fontId="2" fillId="2" borderId="9" xfId="0" applyFont="1" applyFill="1" applyBorder="1" applyAlignment="1">
      <alignment vertical="top" wrapText="1"/>
    </xf>
    <xf numFmtId="0" fontId="2" fillId="2" borderId="12" xfId="0" applyFont="1" applyFill="1" applyBorder="1" applyAlignment="1">
      <alignment vertical="top" wrapText="1"/>
    </xf>
    <xf numFmtId="0" fontId="2" fillId="2" borderId="13" xfId="0" applyFont="1" applyFill="1" applyBorder="1" applyAlignment="1">
      <alignment vertical="top" wrapText="1"/>
    </xf>
    <xf numFmtId="0" fontId="8" fillId="2" borderId="7" xfId="0" applyFont="1" applyFill="1" applyBorder="1" applyAlignment="1">
      <alignment vertical="top"/>
    </xf>
    <xf numFmtId="0" fontId="8" fillId="2" borderId="11" xfId="0" applyFont="1" applyFill="1" applyBorder="1" applyAlignment="1">
      <alignment vertical="top"/>
    </xf>
    <xf numFmtId="0" fontId="2" fillId="0" borderId="10" xfId="0" applyFont="1" applyBorder="1"/>
    <xf numFmtId="0" fontId="0" fillId="0" borderId="10" xfId="0" applyBorder="1" applyAlignment="1">
      <alignment horizontal="left"/>
    </xf>
    <xf numFmtId="0" fontId="0" fillId="0" borderId="2" xfId="0" applyBorder="1" applyAlignment="1">
      <alignment horizontal="left" vertical="top"/>
    </xf>
    <xf numFmtId="0" fontId="0" fillId="0" borderId="0" xfId="0" applyAlignment="1">
      <alignment vertical="top"/>
    </xf>
    <xf numFmtId="0" fontId="0" fillId="0" borderId="12" xfId="0" applyBorder="1" applyAlignment="1">
      <alignment horizontal="left"/>
    </xf>
    <xf numFmtId="0" fontId="0" fillId="0" borderId="13" xfId="0" applyBorder="1" applyAlignment="1">
      <alignment horizontal="left"/>
    </xf>
    <xf numFmtId="0" fontId="0" fillId="0" borderId="0" xfId="0" quotePrefix="1" applyAlignment="1">
      <alignment horizontal="left"/>
    </xf>
    <xf numFmtId="0" fontId="0" fillId="0" borderId="11" xfId="0" applyBorder="1" applyAlignment="1">
      <alignment horizontal="left"/>
    </xf>
    <xf numFmtId="2" fontId="0" fillId="0" borderId="0" xfId="0" applyNumberFormat="1" applyAlignment="1">
      <alignment horizontal="left"/>
    </xf>
    <xf numFmtId="0" fontId="2" fillId="3" borderId="7" xfId="0" applyFont="1" applyFill="1" applyBorder="1"/>
    <xf numFmtId="0" fontId="2" fillId="3" borderId="8" xfId="0" applyFont="1" applyFill="1" applyBorder="1"/>
    <xf numFmtId="0" fontId="2" fillId="3" borderId="9" xfId="0" applyFont="1" applyFill="1" applyBorder="1"/>
    <xf numFmtId="0" fontId="0" fillId="3" borderId="8" xfId="0" applyFill="1" applyBorder="1"/>
    <xf numFmtId="0" fontId="0" fillId="3" borderId="9" xfId="0" applyFill="1" applyBorder="1"/>
    <xf numFmtId="0" fontId="0" fillId="3" borderId="2" xfId="0" applyFill="1" applyBorder="1"/>
    <xf numFmtId="0" fontId="0" fillId="3" borderId="0" xfId="0" applyFill="1"/>
    <xf numFmtId="0" fontId="0" fillId="3" borderId="0" xfId="0" applyFill="1" applyAlignment="1">
      <alignment horizontal="left" wrapText="1"/>
    </xf>
    <xf numFmtId="0" fontId="0" fillId="5" borderId="0" xfId="0" applyFill="1"/>
    <xf numFmtId="0" fontId="2" fillId="2" borderId="1" xfId="0" applyFont="1" applyFill="1" applyBorder="1" applyAlignment="1">
      <alignment vertical="top" wrapText="1"/>
    </xf>
    <xf numFmtId="0" fontId="5" fillId="0" borderId="1" xfId="1" applyNumberFormat="1" applyFont="1" applyFill="1" applyBorder="1" applyAlignment="1">
      <alignment vertical="top" wrapText="1"/>
    </xf>
    <xf numFmtId="0" fontId="6" fillId="0" borderId="1" xfId="1" applyNumberFormat="1" applyFont="1" applyFill="1" applyBorder="1" applyAlignment="1">
      <alignment horizontal="left" vertical="top" wrapText="1"/>
    </xf>
    <xf numFmtId="0" fontId="5" fillId="0" borderId="1" xfId="1" applyNumberFormat="1" applyFont="1" applyFill="1" applyBorder="1" applyAlignment="1">
      <alignment horizontal="left" vertical="top" wrapText="1"/>
    </xf>
    <xf numFmtId="0" fontId="6" fillId="0" borderId="1" xfId="1" applyNumberFormat="1" applyFont="1" applyFill="1" applyBorder="1" applyAlignment="1">
      <alignment vertical="top" wrapText="1"/>
    </xf>
    <xf numFmtId="0" fontId="5" fillId="0" borderId="1" xfId="0" applyFont="1" applyBorder="1" applyAlignment="1">
      <alignment vertical="top" wrapText="1"/>
    </xf>
    <xf numFmtId="0" fontId="7" fillId="0" borderId="1" xfId="1" applyNumberFormat="1" applyFont="1" applyFill="1" applyBorder="1" applyAlignment="1">
      <alignment horizontal="left" vertical="top" wrapText="1"/>
    </xf>
    <xf numFmtId="0" fontId="2" fillId="2" borderId="1" xfId="0" applyFont="1" applyFill="1" applyBorder="1" applyAlignment="1">
      <alignment horizontal="right" vertical="top"/>
    </xf>
    <xf numFmtId="0" fontId="4" fillId="0" borderId="1" xfId="0" applyFont="1" applyBorder="1" applyAlignment="1">
      <alignment horizontal="right" vertical="top"/>
    </xf>
    <xf numFmtId="0" fontId="2" fillId="0" borderId="1" xfId="0" applyFont="1" applyBorder="1" applyAlignment="1">
      <alignment horizontal="right" vertical="top"/>
    </xf>
    <xf numFmtId="0" fontId="0" fillId="0" borderId="0" xfId="0" applyAlignment="1">
      <alignment horizontal="right"/>
    </xf>
    <xf numFmtId="0" fontId="3" fillId="0" borderId="1" xfId="0" applyFont="1" applyBorder="1" applyAlignment="1">
      <alignment horizontal="right" vertical="top"/>
    </xf>
    <xf numFmtId="0" fontId="5" fillId="0" borderId="1" xfId="1" applyNumberFormat="1" applyFont="1" applyFill="1" applyBorder="1" applyAlignment="1">
      <alignment horizontal="left" vertical="top" wrapText="1" indent="2"/>
    </xf>
    <xf numFmtId="165" fontId="0" fillId="0" borderId="0" xfId="0" applyNumberFormat="1"/>
    <xf numFmtId="0" fontId="3" fillId="6" borderId="1" xfId="1" applyNumberFormat="1" applyFont="1" applyFill="1" applyBorder="1" applyAlignment="1">
      <alignment vertical="top"/>
    </xf>
    <xf numFmtId="0" fontId="3" fillId="6" borderId="1" xfId="0" applyFont="1" applyFill="1" applyBorder="1" applyAlignment="1">
      <alignment vertical="top"/>
    </xf>
    <xf numFmtId="0" fontId="0" fillId="6" borderId="1" xfId="0" applyFill="1" applyBorder="1" applyAlignment="1">
      <alignment vertical="top"/>
    </xf>
    <xf numFmtId="0" fontId="3" fillId="6" borderId="1" xfId="0" applyFont="1" applyFill="1" applyBorder="1" applyAlignment="1">
      <alignment horizontal="left" vertical="top"/>
    </xf>
    <xf numFmtId="0" fontId="0" fillId="6" borderId="0" xfId="0" applyFill="1"/>
    <xf numFmtId="1" fontId="0" fillId="6" borderId="0" xfId="0" applyNumberFormat="1" applyFill="1"/>
    <xf numFmtId="165" fontId="0" fillId="6" borderId="0" xfId="0" applyNumberFormat="1" applyFill="1"/>
    <xf numFmtId="0" fontId="0" fillId="6" borderId="2" xfId="0" applyFill="1" applyBorder="1" applyAlignment="1">
      <alignment vertical="top"/>
    </xf>
    <xf numFmtId="0" fontId="0" fillId="6" borderId="0" xfId="0" applyFill="1" applyAlignment="1">
      <alignment horizontal="left" vertical="top"/>
    </xf>
    <xf numFmtId="0" fontId="0" fillId="6" borderId="0" xfId="0" applyFill="1" applyAlignment="1">
      <alignment vertical="top"/>
    </xf>
    <xf numFmtId="0" fontId="0" fillId="6" borderId="10" xfId="0" applyFill="1" applyBorder="1" applyAlignment="1">
      <alignment wrapText="1"/>
    </xf>
    <xf numFmtId="0" fontId="0" fillId="6" borderId="2" xfId="0" applyFill="1" applyBorder="1" applyAlignment="1">
      <alignment horizontal="left"/>
    </xf>
    <xf numFmtId="0" fontId="0" fillId="6" borderId="0" xfId="0" applyFill="1" applyAlignment="1">
      <alignment horizontal="left"/>
    </xf>
    <xf numFmtId="0" fontId="0" fillId="6" borderId="10" xfId="0" applyFill="1" applyBorder="1" applyAlignment="1">
      <alignment horizontal="left"/>
    </xf>
    <xf numFmtId="0" fontId="0" fillId="6" borderId="2" xfId="0" applyFill="1" applyBorder="1" applyAlignment="1">
      <alignment horizontal="left" vertical="top"/>
    </xf>
    <xf numFmtId="0" fontId="0" fillId="6" borderId="10" xfId="0" applyFill="1" applyBorder="1" applyAlignment="1">
      <alignment horizontal="left" wrapText="1"/>
    </xf>
    <xf numFmtId="0" fontId="0" fillId="6" borderId="2" xfId="0" applyFill="1" applyBorder="1"/>
    <xf numFmtId="0" fontId="0" fillId="6" borderId="10" xfId="0" applyFill="1" applyBorder="1"/>
    <xf numFmtId="0" fontId="13" fillId="0" borderId="0" xfId="0" applyFont="1"/>
  </cellXfs>
  <cellStyles count="3">
    <cellStyle name="Komma" xfId="1" builtinId="3"/>
    <cellStyle name="Procent" xfId="2" builtinId="5"/>
    <cellStyle name="Standaard" xfId="0" builtinId="0"/>
  </cellStyles>
  <dxfs count="36">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152400</xdr:rowOff>
    </xdr:from>
    <xdr:to>
      <xdr:col>11</xdr:col>
      <xdr:colOff>393093</xdr:colOff>
      <xdr:row>22</xdr:row>
      <xdr:rowOff>106680</xdr:rowOff>
    </xdr:to>
    <xdr:pic>
      <xdr:nvPicPr>
        <xdr:cNvPr id="2" name="Afbeelding 1">
          <a:extLst>
            <a:ext uri="{FF2B5EF4-FFF2-40B4-BE49-F238E27FC236}">
              <a16:creationId xmlns:a16="http://schemas.microsoft.com/office/drawing/2014/main" id="{95418BEB-BEA7-EFD7-A782-D03F9EB9C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620" y="152400"/>
          <a:ext cx="6420513" cy="364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158763</xdr:colOff>
      <xdr:row>25</xdr:row>
      <xdr:rowOff>76201</xdr:rowOff>
    </xdr:from>
    <xdr:to>
      <xdr:col>11</xdr:col>
      <xdr:colOff>102919</xdr:colOff>
      <xdr:row>42</xdr:row>
      <xdr:rowOff>152401</xdr:rowOff>
    </xdr:to>
    <xdr:pic>
      <xdr:nvPicPr>
        <xdr:cNvPr id="3" name="Afbeelding 2">
          <a:extLst>
            <a:ext uri="{FF2B5EF4-FFF2-40B4-BE49-F238E27FC236}">
              <a16:creationId xmlns:a16="http://schemas.microsoft.com/office/drawing/2014/main" id="{1556B4BB-21AE-0BC1-A40C-640F792286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58763" y="4267201"/>
          <a:ext cx="5979196" cy="2926080"/>
        </a:xfrm>
        <a:prstGeom prst="rect">
          <a:avLst/>
        </a:prstGeom>
      </xdr:spPr>
    </xdr:pic>
    <xdr:clientData/>
  </xdr:twoCellAnchor>
  <xdr:twoCellAnchor editAs="oneCell">
    <xdr:from>
      <xdr:col>0</xdr:col>
      <xdr:colOff>0</xdr:colOff>
      <xdr:row>45</xdr:row>
      <xdr:rowOff>38100</xdr:rowOff>
    </xdr:from>
    <xdr:to>
      <xdr:col>12</xdr:col>
      <xdr:colOff>114300</xdr:colOff>
      <xdr:row>59</xdr:row>
      <xdr:rowOff>14151</xdr:rowOff>
    </xdr:to>
    <xdr:pic>
      <xdr:nvPicPr>
        <xdr:cNvPr id="4" name="Afbeelding 3">
          <a:extLst>
            <a:ext uri="{FF2B5EF4-FFF2-40B4-BE49-F238E27FC236}">
              <a16:creationId xmlns:a16="http://schemas.microsoft.com/office/drawing/2014/main" id="{6CD8FA7D-8155-B3BC-0078-073696C131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53350"/>
          <a:ext cx="6743700" cy="2376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eselot Alers- van Teeffelen" id="{0EEC8BAA-5900-4522-922D-8412EC778B28}" userId="fbecf75a68f45846" providerId="Windows Live"/>
</personList>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8" dT="2025-05-21T08:59:15.98" personId="{0EEC8BAA-5900-4522-922D-8412EC778B28}" id="{15DBD781-AFD9-467F-9821-24B0BDF937DF}">
    <text>Niet nodig in verband met bevaarbaarheid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DE3A-0C2D-4624-899C-6C0A8A0ED5BD}">
  <sheetPr>
    <pageSetUpPr fitToPage="1"/>
  </sheetPr>
  <dimension ref="A4:H67"/>
  <sheetViews>
    <sheetView tabSelected="1" zoomScale="85" zoomScaleNormal="85" workbookViewId="0">
      <selection activeCell="E51" sqref="E51"/>
    </sheetView>
  </sheetViews>
  <sheetFormatPr defaultRowHeight="12" x14ac:dyDescent="0.2"/>
  <cols>
    <col min="1" max="1" width="47.1640625" style="31" customWidth="1"/>
    <col min="2" max="2" width="11.1640625" style="85" bestFit="1" customWidth="1"/>
    <col min="4" max="4" width="24.1640625" style="2" customWidth="1"/>
    <col min="5" max="6" width="20.5" style="2" customWidth="1"/>
    <col min="7" max="7" width="46.6640625" hidden="1" customWidth="1"/>
    <col min="8" max="8" width="89.83203125" style="29" customWidth="1"/>
  </cols>
  <sheetData>
    <row r="4" spans="1:8" x14ac:dyDescent="0.2">
      <c r="A4" s="75"/>
      <c r="B4" s="82" t="s">
        <v>0</v>
      </c>
      <c r="C4" s="7"/>
      <c r="D4" s="7" t="s">
        <v>118</v>
      </c>
      <c r="E4" s="7" t="s">
        <v>119</v>
      </c>
      <c r="F4" s="7" t="s">
        <v>38</v>
      </c>
      <c r="H4" s="21" t="s">
        <v>29</v>
      </c>
    </row>
    <row r="5" spans="1:8" ht="14.25" hidden="1" x14ac:dyDescent="0.2">
      <c r="A5" s="76"/>
      <c r="B5" s="83"/>
      <c r="C5" s="10"/>
      <c r="D5" s="10"/>
      <c r="E5" s="10"/>
      <c r="F5" s="10"/>
      <c r="H5" s="22"/>
    </row>
    <row r="6" spans="1:8" ht="14.25" hidden="1" x14ac:dyDescent="0.2">
      <c r="A6" s="77" t="s">
        <v>4</v>
      </c>
      <c r="B6" s="83"/>
      <c r="C6" s="5"/>
      <c r="D6" s="5"/>
      <c r="E6" s="5"/>
      <c r="F6" s="5"/>
      <c r="H6" s="23"/>
    </row>
    <row r="7" spans="1:8" ht="28.5" hidden="1" x14ac:dyDescent="0.2">
      <c r="A7" s="78" t="s">
        <v>23</v>
      </c>
      <c r="B7" s="83">
        <f>SUM(D7:F7)</f>
        <v>0</v>
      </c>
      <c r="C7" s="13" t="s">
        <v>1</v>
      </c>
      <c r="D7" s="14"/>
      <c r="E7" s="14"/>
      <c r="F7" s="14"/>
      <c r="H7" s="24" t="s">
        <v>39</v>
      </c>
    </row>
    <row r="8" spans="1:8" ht="14.25" hidden="1" x14ac:dyDescent="0.2">
      <c r="A8" s="79"/>
      <c r="B8" s="83"/>
      <c r="C8" s="10"/>
      <c r="D8" s="10"/>
      <c r="E8" s="10"/>
      <c r="F8" s="10"/>
      <c r="H8" s="22"/>
    </row>
    <row r="9" spans="1:8" hidden="1" x14ac:dyDescent="0.2">
      <c r="A9" s="80"/>
      <c r="B9" s="84"/>
      <c r="C9" s="18"/>
      <c r="D9" s="18"/>
      <c r="E9" s="18"/>
      <c r="F9" s="18"/>
      <c r="H9" s="25"/>
    </row>
    <row r="10" spans="1:8" ht="14.25" hidden="1" x14ac:dyDescent="0.2">
      <c r="A10" s="77" t="s">
        <v>5</v>
      </c>
      <c r="B10" s="83"/>
      <c r="C10" s="5"/>
      <c r="D10" s="5"/>
      <c r="E10" s="5"/>
      <c r="F10" s="5"/>
      <c r="H10" s="23"/>
    </row>
    <row r="11" spans="1:8" ht="28.5" hidden="1" x14ac:dyDescent="0.2">
      <c r="A11" s="78" t="s">
        <v>6</v>
      </c>
      <c r="B11" s="83">
        <f>SUM(D11:F11)</f>
        <v>0</v>
      </c>
      <c r="C11" s="13" t="s">
        <v>1</v>
      </c>
      <c r="D11" s="10">
        <f>D22</f>
        <v>0</v>
      </c>
      <c r="E11" s="10"/>
      <c r="F11" s="10"/>
      <c r="H11" s="22" t="s">
        <v>40</v>
      </c>
    </row>
    <row r="12" spans="1:8" ht="24" hidden="1" x14ac:dyDescent="0.2">
      <c r="A12" s="78" t="s">
        <v>7</v>
      </c>
      <c r="B12" s="83">
        <f>SUM(D12:F12)</f>
        <v>0</v>
      </c>
      <c r="C12" s="13" t="s">
        <v>1</v>
      </c>
      <c r="D12" s="14">
        <f>D11</f>
        <v>0</v>
      </c>
      <c r="E12" s="14"/>
      <c r="F12" s="14"/>
      <c r="H12" s="22" t="s">
        <v>30</v>
      </c>
    </row>
    <row r="13" spans="1:8" ht="14.25" hidden="1" x14ac:dyDescent="0.2">
      <c r="A13" s="79"/>
      <c r="B13" s="83"/>
      <c r="C13" s="10"/>
      <c r="D13" s="10"/>
      <c r="E13" s="10"/>
      <c r="F13" s="10"/>
      <c r="H13" s="22"/>
    </row>
    <row r="14" spans="1:8" ht="14.25" hidden="1" x14ac:dyDescent="0.2">
      <c r="A14" s="80"/>
      <c r="B14" s="84"/>
      <c r="C14" s="18"/>
      <c r="D14" s="10"/>
      <c r="E14" s="10"/>
      <c r="F14" s="10"/>
      <c r="H14" s="22"/>
    </row>
    <row r="15" spans="1:8" ht="14.25" x14ac:dyDescent="0.2">
      <c r="A15" s="77" t="s">
        <v>16</v>
      </c>
      <c r="B15" s="83"/>
      <c r="C15" s="5"/>
      <c r="D15" s="10"/>
      <c r="E15" s="10"/>
      <c r="F15" s="10"/>
      <c r="H15" s="22"/>
    </row>
    <row r="16" spans="1:8" ht="76.150000000000006" customHeight="1" x14ac:dyDescent="0.2">
      <c r="A16" s="78" t="s">
        <v>24</v>
      </c>
      <c r="B16" s="83">
        <v>1020000</v>
      </c>
      <c r="C16" s="13" t="s">
        <v>1</v>
      </c>
      <c r="D16" s="83">
        <v>160000</v>
      </c>
      <c r="E16" s="83">
        <v>700000</v>
      </c>
      <c r="F16" s="83">
        <v>160000</v>
      </c>
      <c r="H16" s="22" t="s">
        <v>125</v>
      </c>
    </row>
    <row r="17" spans="1:8" ht="14.25" x14ac:dyDescent="0.2">
      <c r="A17" s="78" t="s">
        <v>31</v>
      </c>
      <c r="B17" s="83">
        <v>1020000</v>
      </c>
      <c r="C17" s="13" t="s">
        <v>1</v>
      </c>
      <c r="D17" s="83">
        <v>160000</v>
      </c>
      <c r="E17" s="83">
        <v>700000</v>
      </c>
      <c r="F17" s="83">
        <v>160000</v>
      </c>
      <c r="H17" s="24"/>
    </row>
    <row r="18" spans="1:8" ht="14.25" hidden="1" x14ac:dyDescent="0.2">
      <c r="A18" s="78"/>
      <c r="B18" s="83"/>
      <c r="C18" s="13"/>
      <c r="D18" s="14"/>
      <c r="E18" s="83">
        <v>700000</v>
      </c>
      <c r="F18" s="14"/>
      <c r="H18" s="24"/>
    </row>
    <row r="19" spans="1:8" ht="14.25" hidden="1" x14ac:dyDescent="0.2">
      <c r="A19" s="78" t="s">
        <v>8</v>
      </c>
      <c r="B19" s="83">
        <v>700000</v>
      </c>
      <c r="C19" s="13" t="s">
        <v>1</v>
      </c>
      <c r="D19" s="10">
        <v>0</v>
      </c>
      <c r="E19" s="83">
        <v>700000</v>
      </c>
      <c r="F19" s="10"/>
      <c r="H19" s="22" t="s">
        <v>30</v>
      </c>
    </row>
    <row r="20" spans="1:8" ht="14.25" hidden="1" x14ac:dyDescent="0.2">
      <c r="A20" s="78"/>
      <c r="B20" s="83"/>
      <c r="C20" s="13"/>
      <c r="D20" s="14"/>
      <c r="E20" s="83">
        <v>700000</v>
      </c>
      <c r="F20" s="14"/>
      <c r="H20" s="24"/>
    </row>
    <row r="21" spans="1:8" ht="14.25" hidden="1" x14ac:dyDescent="0.2">
      <c r="A21" s="77" t="s">
        <v>15</v>
      </c>
      <c r="B21" s="83"/>
      <c r="C21" s="5"/>
      <c r="D21" s="10"/>
      <c r="E21" s="83">
        <v>700000</v>
      </c>
      <c r="F21" s="10"/>
      <c r="H21" s="22"/>
    </row>
    <row r="22" spans="1:8" ht="14.25" hidden="1" x14ac:dyDescent="0.2">
      <c r="A22" s="78" t="s">
        <v>14</v>
      </c>
      <c r="B22" s="83">
        <v>700000</v>
      </c>
      <c r="C22" s="13" t="s">
        <v>1</v>
      </c>
      <c r="D22" s="14">
        <v>0</v>
      </c>
      <c r="E22" s="83">
        <v>700000</v>
      </c>
      <c r="F22" s="14"/>
      <c r="H22" s="22"/>
    </row>
    <row r="23" spans="1:8" ht="14.25" hidden="1" x14ac:dyDescent="0.2">
      <c r="A23" s="78" t="s">
        <v>25</v>
      </c>
      <c r="B23" s="83"/>
      <c r="C23" s="13"/>
      <c r="D23" s="14"/>
      <c r="E23" s="83">
        <v>700000</v>
      </c>
      <c r="F23" s="14"/>
      <c r="H23" s="24" t="s">
        <v>35</v>
      </c>
    </row>
    <row r="24" spans="1:8" ht="14.25" hidden="1" x14ac:dyDescent="0.2">
      <c r="A24" s="78"/>
      <c r="B24" s="83"/>
      <c r="C24" s="13"/>
      <c r="D24" s="14"/>
      <c r="E24" s="83">
        <v>700000</v>
      </c>
      <c r="F24" s="14"/>
      <c r="H24" s="24"/>
    </row>
    <row r="25" spans="1:8" ht="14.25" x14ac:dyDescent="0.2">
      <c r="A25" s="78"/>
      <c r="B25" s="83"/>
      <c r="C25" s="13"/>
      <c r="D25" s="14"/>
      <c r="E25" s="83"/>
      <c r="F25" s="14"/>
      <c r="H25" s="24"/>
    </row>
    <row r="26" spans="1:8" ht="14.25" x14ac:dyDescent="0.2">
      <c r="A26" s="77" t="s">
        <v>17</v>
      </c>
      <c r="B26" s="83"/>
      <c r="C26" s="5"/>
      <c r="D26" s="10"/>
      <c r="E26" s="83"/>
      <c r="F26" s="10"/>
      <c r="H26" s="22"/>
    </row>
    <row r="27" spans="1:8" ht="24" x14ac:dyDescent="0.2">
      <c r="A27" s="78" t="s">
        <v>28</v>
      </c>
      <c r="B27" s="83">
        <v>1020000</v>
      </c>
      <c r="C27" s="13" t="s">
        <v>1</v>
      </c>
      <c r="D27" s="14">
        <v>160000</v>
      </c>
      <c r="E27" s="83">
        <v>700000</v>
      </c>
      <c r="F27" s="83">
        <v>160000</v>
      </c>
      <c r="H27" s="24"/>
    </row>
    <row r="28" spans="1:8" ht="14.25" x14ac:dyDescent="0.2">
      <c r="A28" s="78" t="s">
        <v>120</v>
      </c>
      <c r="B28" s="83"/>
      <c r="C28" s="13" t="s">
        <v>1</v>
      </c>
      <c r="D28" s="14"/>
      <c r="E28" s="14"/>
      <c r="F28" s="14"/>
      <c r="H28" s="24"/>
    </row>
    <row r="29" spans="1:8" ht="14.25" x14ac:dyDescent="0.2">
      <c r="A29" s="78"/>
      <c r="B29" s="83"/>
      <c r="C29" s="13"/>
      <c r="D29" s="14"/>
      <c r="E29" s="14"/>
      <c r="F29" s="14"/>
      <c r="H29" s="24"/>
    </row>
    <row r="30" spans="1:8" ht="14.25" x14ac:dyDescent="0.2">
      <c r="A30" s="77" t="s">
        <v>21</v>
      </c>
      <c r="B30" s="83"/>
      <c r="C30" s="5"/>
      <c r="D30" s="5"/>
      <c r="E30" s="5"/>
      <c r="F30" s="5"/>
      <c r="H30" s="23"/>
    </row>
    <row r="31" spans="1:8" ht="14.25" hidden="1" x14ac:dyDescent="0.2">
      <c r="A31" s="81" t="s">
        <v>20</v>
      </c>
      <c r="B31" s="83"/>
      <c r="C31" s="13"/>
      <c r="D31" s="5"/>
      <c r="E31" s="5"/>
      <c r="F31" s="5"/>
      <c r="H31" s="23"/>
    </row>
    <row r="32" spans="1:8" ht="14.25" hidden="1" x14ac:dyDescent="0.2">
      <c r="A32" s="78" t="s">
        <v>9</v>
      </c>
      <c r="B32" s="83">
        <v>0</v>
      </c>
      <c r="C32" s="13" t="s">
        <v>2</v>
      </c>
      <c r="D32" s="14"/>
      <c r="E32" s="14">
        <v>0</v>
      </c>
      <c r="F32" s="14"/>
      <c r="H32" s="24" t="s">
        <v>33</v>
      </c>
    </row>
    <row r="33" spans="1:8" ht="14.25" hidden="1" x14ac:dyDescent="0.2">
      <c r="A33" s="78" t="s">
        <v>110</v>
      </c>
      <c r="B33" s="83"/>
      <c r="C33" s="13"/>
      <c r="D33" s="14"/>
      <c r="E33" s="14"/>
      <c r="F33" s="14"/>
      <c r="H33" s="24"/>
    </row>
    <row r="34" spans="1:8" ht="24" hidden="1" x14ac:dyDescent="0.2">
      <c r="A34" s="78" t="s">
        <v>19</v>
      </c>
      <c r="B34" s="83">
        <v>0</v>
      </c>
      <c r="C34" s="13" t="s">
        <v>2</v>
      </c>
      <c r="D34" s="14"/>
      <c r="E34" s="14">
        <v>0</v>
      </c>
      <c r="F34" s="14"/>
      <c r="G34" s="74" t="s">
        <v>114</v>
      </c>
      <c r="H34" s="24" t="s">
        <v>44</v>
      </c>
    </row>
    <row r="35" spans="1:8" ht="57" hidden="1" x14ac:dyDescent="0.2">
      <c r="A35" s="78" t="s">
        <v>22</v>
      </c>
      <c r="B35" s="83">
        <v>0</v>
      </c>
      <c r="C35" s="13" t="s">
        <v>2</v>
      </c>
      <c r="D35" s="14"/>
      <c r="E35" s="14">
        <v>0</v>
      </c>
      <c r="F35" s="14"/>
      <c r="H35" s="24" t="s">
        <v>45</v>
      </c>
    </row>
    <row r="36" spans="1:8" ht="24" hidden="1" x14ac:dyDescent="0.2">
      <c r="A36" s="78" t="s">
        <v>26</v>
      </c>
      <c r="B36" s="83">
        <v>675</v>
      </c>
      <c r="C36" s="13" t="s">
        <v>27</v>
      </c>
      <c r="D36" s="14"/>
      <c r="E36" s="14">
        <v>675</v>
      </c>
      <c r="F36" s="14"/>
      <c r="H36" s="24" t="s">
        <v>34</v>
      </c>
    </row>
    <row r="37" spans="1:8" ht="14.25" x14ac:dyDescent="0.2">
      <c r="A37" s="81" t="s">
        <v>10</v>
      </c>
      <c r="B37" s="83"/>
      <c r="C37" s="10"/>
      <c r="D37" s="10"/>
      <c r="E37" s="10"/>
      <c r="F37" s="10"/>
      <c r="H37" s="22" t="s">
        <v>121</v>
      </c>
    </row>
    <row r="38" spans="1:8" ht="14.25" x14ac:dyDescent="0.2">
      <c r="A38" s="78" t="s">
        <v>143</v>
      </c>
      <c r="B38" s="83">
        <v>16680</v>
      </c>
      <c r="C38" s="13" t="s">
        <v>3</v>
      </c>
      <c r="D38" s="83">
        <v>5600</v>
      </c>
      <c r="E38" s="83"/>
      <c r="F38" s="83">
        <v>11080</v>
      </c>
      <c r="G38" s="74" t="s">
        <v>115</v>
      </c>
      <c r="H38" s="24" t="s">
        <v>122</v>
      </c>
    </row>
    <row r="39" spans="1:8" ht="28.5" x14ac:dyDescent="0.2">
      <c r="A39" s="78" t="s">
        <v>11</v>
      </c>
      <c r="B39" s="83">
        <v>12740</v>
      </c>
      <c r="C39" s="13" t="s">
        <v>1</v>
      </c>
      <c r="D39" s="14">
        <v>2100</v>
      </c>
      <c r="E39" s="14">
        <v>5100</v>
      </c>
      <c r="F39" s="14">
        <v>5540</v>
      </c>
      <c r="G39" t="s">
        <v>116</v>
      </c>
      <c r="H39" s="24" t="s">
        <v>124</v>
      </c>
    </row>
    <row r="40" spans="1:8" ht="14.25" x14ac:dyDescent="0.2">
      <c r="A40" s="78" t="s">
        <v>108</v>
      </c>
      <c r="B40" s="83">
        <v>8340</v>
      </c>
      <c r="C40" s="13" t="s">
        <v>109</v>
      </c>
      <c r="D40" s="83">
        <v>2800</v>
      </c>
      <c r="E40" s="10">
        <v>0</v>
      </c>
      <c r="F40" s="83">
        <v>5540</v>
      </c>
      <c r="H40" s="22" t="s">
        <v>123</v>
      </c>
    </row>
    <row r="41" spans="1:8" ht="14.25" x14ac:dyDescent="0.2">
      <c r="A41" s="80"/>
      <c r="B41" s="83"/>
      <c r="C41" s="13"/>
      <c r="D41" s="20"/>
      <c r="E41" s="20"/>
      <c r="F41" s="20"/>
      <c r="H41" s="26"/>
    </row>
    <row r="42" spans="1:8" ht="14.25" x14ac:dyDescent="0.2">
      <c r="A42" s="77" t="s">
        <v>126</v>
      </c>
      <c r="B42" s="83"/>
      <c r="C42" s="5"/>
      <c r="D42" s="5"/>
      <c r="E42" s="5"/>
      <c r="F42" s="5"/>
      <c r="H42" s="23"/>
    </row>
    <row r="43" spans="1:8" ht="22.15" customHeight="1" x14ac:dyDescent="0.2">
      <c r="A43" s="78" t="s">
        <v>127</v>
      </c>
      <c r="B43" s="83">
        <v>14800</v>
      </c>
      <c r="C43" s="5" t="s">
        <v>112</v>
      </c>
      <c r="D43" s="86">
        <v>6400</v>
      </c>
      <c r="E43" s="86">
        <v>3400</v>
      </c>
      <c r="F43" s="86">
        <v>5000</v>
      </c>
      <c r="H43" s="23" t="s">
        <v>128</v>
      </c>
    </row>
    <row r="44" spans="1:8" ht="14.25" x14ac:dyDescent="0.2">
      <c r="A44" s="78" t="s">
        <v>129</v>
      </c>
      <c r="B44" s="83">
        <v>8750</v>
      </c>
      <c r="C44" s="5" t="s">
        <v>109</v>
      </c>
      <c r="D44" s="10">
        <v>4000</v>
      </c>
      <c r="E44" s="10">
        <v>2750</v>
      </c>
      <c r="F44" s="10">
        <v>2000</v>
      </c>
      <c r="H44" s="23"/>
    </row>
    <row r="45" spans="1:8" ht="14.25" x14ac:dyDescent="0.2">
      <c r="A45" s="78"/>
      <c r="B45" s="83"/>
      <c r="C45" s="5"/>
      <c r="D45" s="10"/>
      <c r="E45" s="10"/>
      <c r="F45" s="10"/>
      <c r="H45" s="22"/>
    </row>
    <row r="46" spans="1:8" ht="14.25" x14ac:dyDescent="0.2">
      <c r="A46" s="77" t="s">
        <v>130</v>
      </c>
      <c r="B46" s="83"/>
      <c r="C46" s="5"/>
      <c r="D46" s="10"/>
      <c r="E46" s="10"/>
      <c r="F46" s="10"/>
      <c r="H46" s="22"/>
    </row>
    <row r="47" spans="1:8" ht="14.25" x14ac:dyDescent="0.2">
      <c r="A47" s="78" t="s">
        <v>113</v>
      </c>
      <c r="B47" s="83">
        <v>50</v>
      </c>
      <c r="C47" s="13"/>
      <c r="D47" s="10"/>
      <c r="E47" s="10">
        <v>50</v>
      </c>
      <c r="F47" s="10"/>
      <c r="H47" s="22"/>
    </row>
    <row r="48" spans="1:8" ht="14.25" x14ac:dyDescent="0.2">
      <c r="A48" s="78" t="s">
        <v>18</v>
      </c>
      <c r="B48" s="83">
        <v>50</v>
      </c>
      <c r="C48" s="13" t="s">
        <v>3</v>
      </c>
      <c r="D48" s="10"/>
      <c r="E48" s="10">
        <v>50</v>
      </c>
      <c r="F48" s="10"/>
      <c r="H48" s="22" t="s">
        <v>43</v>
      </c>
    </row>
    <row r="49" spans="1:8" ht="24" x14ac:dyDescent="0.2">
      <c r="A49" s="78" t="s">
        <v>13</v>
      </c>
      <c r="B49" s="83">
        <v>100</v>
      </c>
      <c r="C49" s="13"/>
      <c r="D49" s="10"/>
      <c r="E49" s="10">
        <v>100</v>
      </c>
      <c r="F49" s="10"/>
      <c r="H49" s="22"/>
    </row>
    <row r="50" spans="1:8" ht="14.25" x14ac:dyDescent="0.2">
      <c r="A50" s="78"/>
      <c r="B50" s="83"/>
      <c r="C50" s="13"/>
      <c r="D50" s="10"/>
      <c r="E50" s="10"/>
      <c r="F50" s="10"/>
      <c r="H50" s="22"/>
    </row>
    <row r="51" spans="1:8" ht="14.25" x14ac:dyDescent="0.2">
      <c r="A51" s="77" t="s">
        <v>131</v>
      </c>
      <c r="B51" s="83"/>
      <c r="C51" s="13"/>
      <c r="D51" s="10"/>
      <c r="E51" s="10"/>
      <c r="F51" s="10"/>
      <c r="H51" s="22"/>
    </row>
    <row r="52" spans="1:8" ht="14.25" x14ac:dyDescent="0.2">
      <c r="A52" s="78" t="s">
        <v>132</v>
      </c>
      <c r="B52" s="83">
        <v>19</v>
      </c>
      <c r="C52" s="13" t="s">
        <v>3</v>
      </c>
      <c r="D52" s="10">
        <v>6</v>
      </c>
      <c r="E52" s="10">
        <v>2</v>
      </c>
      <c r="F52" s="10">
        <v>11</v>
      </c>
      <c r="H52" s="22" t="s">
        <v>136</v>
      </c>
    </row>
    <row r="53" spans="1:8" ht="14.25" x14ac:dyDescent="0.2">
      <c r="A53" s="78" t="s">
        <v>133</v>
      </c>
      <c r="B53" s="83">
        <v>200</v>
      </c>
      <c r="C53" s="13" t="s">
        <v>109</v>
      </c>
      <c r="D53" s="10"/>
      <c r="E53" s="10">
        <v>200</v>
      </c>
      <c r="F53" s="10"/>
      <c r="H53" s="22" t="s">
        <v>137</v>
      </c>
    </row>
    <row r="54" spans="1:8" ht="14.25" x14ac:dyDescent="0.2">
      <c r="A54" s="78" t="s">
        <v>134</v>
      </c>
      <c r="B54" s="83">
        <v>2</v>
      </c>
      <c r="C54" s="13" t="s">
        <v>3</v>
      </c>
      <c r="D54" s="10"/>
      <c r="E54" s="10">
        <v>2</v>
      </c>
      <c r="F54" s="10"/>
      <c r="H54" s="22" t="s">
        <v>138</v>
      </c>
    </row>
    <row r="55" spans="1:8" ht="14.25" x14ac:dyDescent="0.2">
      <c r="A55" s="78" t="s">
        <v>135</v>
      </c>
      <c r="B55" s="83">
        <v>1700</v>
      </c>
      <c r="C55" s="13" t="s">
        <v>109</v>
      </c>
      <c r="D55" s="10"/>
      <c r="E55" s="10">
        <v>1700</v>
      </c>
      <c r="F55" s="10"/>
      <c r="H55" s="22" t="s">
        <v>139</v>
      </c>
    </row>
    <row r="56" spans="1:8" ht="14.25" x14ac:dyDescent="0.2">
      <c r="D56" s="1"/>
      <c r="E56" s="1"/>
      <c r="F56" s="1"/>
      <c r="H56" s="27"/>
    </row>
    <row r="57" spans="1:8" ht="14.25" x14ac:dyDescent="0.2">
      <c r="D57" s="1"/>
      <c r="E57" s="1"/>
      <c r="F57" s="1"/>
      <c r="H57" s="27"/>
    </row>
    <row r="58" spans="1:8" ht="14.25" x14ac:dyDescent="0.2">
      <c r="D58" s="1"/>
      <c r="E58" s="1"/>
      <c r="F58" s="1"/>
      <c r="H58" s="27"/>
    </row>
    <row r="59" spans="1:8" ht="14.25" x14ac:dyDescent="0.2">
      <c r="D59" s="1"/>
      <c r="E59" s="1"/>
      <c r="F59" s="1"/>
      <c r="H59" s="27"/>
    </row>
    <row r="60" spans="1:8" ht="14.25" x14ac:dyDescent="0.2">
      <c r="D60" s="1"/>
      <c r="E60" s="1"/>
      <c r="F60" s="1"/>
      <c r="H60" s="27"/>
    </row>
    <row r="61" spans="1:8" ht="14.25" x14ac:dyDescent="0.2">
      <c r="D61" s="1"/>
      <c r="E61" s="1"/>
      <c r="F61" s="1" t="s">
        <v>185</v>
      </c>
      <c r="H61" s="27"/>
    </row>
    <row r="62" spans="1:8" ht="14.25" x14ac:dyDescent="0.2">
      <c r="D62" s="1"/>
      <c r="E62" s="1"/>
      <c r="F62" s="1"/>
      <c r="H62" s="27"/>
    </row>
    <row r="63" spans="1:8" x14ac:dyDescent="0.2">
      <c r="D63" s="3"/>
      <c r="E63" s="3"/>
      <c r="F63" s="3"/>
      <c r="H63" s="28"/>
    </row>
    <row r="64" spans="1:8" ht="14.25" x14ac:dyDescent="0.2">
      <c r="D64" s="1"/>
      <c r="E64" s="1"/>
      <c r="F64" s="1"/>
      <c r="H64" s="27"/>
    </row>
    <row r="65" spans="4:8" ht="14.25" x14ac:dyDescent="0.2">
      <c r="D65" s="1"/>
      <c r="E65" s="1"/>
      <c r="F65" s="1"/>
      <c r="H65" s="27"/>
    </row>
    <row r="66" spans="4:8" ht="14.25" x14ac:dyDescent="0.2">
      <c r="D66" s="1"/>
      <c r="E66" s="1"/>
      <c r="F66" s="1"/>
      <c r="H66" s="27"/>
    </row>
    <row r="67" spans="4:8" ht="14.25" x14ac:dyDescent="0.2">
      <c r="D67" s="1"/>
      <c r="E67" s="1"/>
      <c r="F67" s="1"/>
      <c r="H67" s="27"/>
    </row>
  </sheetData>
  <phoneticPr fontId="10" type="noConversion"/>
  <conditionalFormatting sqref="A7 A11:A12 A16:A20 A22:A25 A27:A29 A31:A40 A47:A55">
    <cfRule type="expression" dxfId="35" priority="67">
      <formula>G7="Kopje"</formula>
    </cfRule>
  </conditionalFormatting>
  <conditionalFormatting sqref="A44:A46">
    <cfRule type="expression" dxfId="34" priority="133">
      <formula>#REF!="Kopje"</formula>
    </cfRule>
  </conditionalFormatting>
  <conditionalFormatting sqref="D7 D12 D18">
    <cfRule type="expression" dxfId="33" priority="112">
      <formula>J9="Kopje"</formula>
    </cfRule>
  </conditionalFormatting>
  <conditionalFormatting sqref="D20 D22:D25 D27:D29 D32:D33">
    <cfRule type="expression" dxfId="32" priority="127">
      <formula>J21="Kopje"</formula>
    </cfRule>
  </conditionalFormatting>
  <conditionalFormatting sqref="D39:F39">
    <cfRule type="expression" dxfId="31" priority="5">
      <formula>J39="Kopje"</formula>
    </cfRule>
  </conditionalFormatting>
  <conditionalFormatting sqref="E28:E29 D34:D36">
    <cfRule type="expression" dxfId="30" priority="8">
      <formula>J28="Kopje"</formula>
    </cfRule>
  </conditionalFormatting>
  <conditionalFormatting sqref="E32:E36">
    <cfRule type="expression" dxfId="29" priority="6">
      <formula>K32="Kopje"</formula>
    </cfRule>
  </conditionalFormatting>
  <conditionalFormatting sqref="E7:F7 E12:F12 F18 F20 H20 F22:F25 H27:H29 F28:F29 F32:F36">
    <cfRule type="expression" dxfId="28" priority="40">
      <formula>M7="Kopje"</formula>
    </cfRule>
  </conditionalFormatting>
  <conditionalFormatting sqref="H7">
    <cfRule type="expression" dxfId="27" priority="24">
      <formula>P7="Kopje"</formula>
    </cfRule>
  </conditionalFormatting>
  <conditionalFormatting sqref="H17:H18">
    <cfRule type="expression" dxfId="26" priority="25">
      <formula>P17="Kopje"</formula>
    </cfRule>
  </conditionalFormatting>
  <conditionalFormatting sqref="H23:H25">
    <cfRule type="expression" dxfId="25" priority="22">
      <formula>P23="Kopje"</formula>
    </cfRule>
  </conditionalFormatting>
  <conditionalFormatting sqref="H32:H36">
    <cfRule type="expression" dxfId="24" priority="21">
      <formula>P32="Kopje"</formula>
    </cfRule>
  </conditionalFormatting>
  <conditionalFormatting sqref="H38:H39">
    <cfRule type="expression" dxfId="23" priority="2">
      <formula>N38="Kopje"</formula>
    </cfRule>
  </conditionalFormatting>
  <pageMargins left="0.7" right="0.7" top="0.75" bottom="0.75" header="0.3" footer="0.3"/>
  <pageSetup paperSize="9" scale="69" orientation="landscape" r:id="rId1"/>
  <headerFoot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F6F2-1D86-4DB2-BB0E-08E31D3F22AE}">
  <dimension ref="A1"/>
  <sheetViews>
    <sheetView workbookViewId="0"/>
  </sheetViews>
  <sheetFormatPr defaultRowHeight="12" x14ac:dyDescent="0.2"/>
  <sheetData/>
  <pageMargins left="0.7" right="0.7" top="0.75" bottom="0.75" header="0.3" footer="0.3"/>
  <headerFoot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2D76D-911B-482C-8F1A-60130518B01A}">
  <dimension ref="A2:O43"/>
  <sheetViews>
    <sheetView topLeftCell="A10" workbookViewId="0">
      <selection activeCell="C42" sqref="C42"/>
    </sheetView>
  </sheetViews>
  <sheetFormatPr defaultRowHeight="12" x14ac:dyDescent="0.2"/>
  <cols>
    <col min="1" max="1" width="46.6640625" bestFit="1" customWidth="1"/>
    <col min="2" max="2" width="20.1640625" customWidth="1"/>
    <col min="3" max="3" width="14.33203125" customWidth="1"/>
    <col min="4" max="4" width="36.6640625" customWidth="1"/>
    <col min="5" max="5" width="11.1640625" customWidth="1"/>
    <col min="6" max="6" width="52.6640625" customWidth="1"/>
    <col min="9" max="9" width="21.6640625" customWidth="1"/>
    <col min="11" max="11" width="35.33203125" bestFit="1" customWidth="1"/>
    <col min="16" max="16" width="29.33203125" bestFit="1" customWidth="1"/>
    <col min="17" max="17" width="14.1640625" bestFit="1" customWidth="1"/>
    <col min="18" max="18" width="13" bestFit="1" customWidth="1"/>
    <col min="19" max="19" width="24" bestFit="1" customWidth="1"/>
  </cols>
  <sheetData>
    <row r="2" spans="1:5" x14ac:dyDescent="0.2">
      <c r="A2" s="32" t="s">
        <v>53</v>
      </c>
      <c r="B2" s="32" t="s">
        <v>46</v>
      </c>
      <c r="C2" s="32" t="s">
        <v>51</v>
      </c>
    </row>
    <row r="3" spans="1:5" x14ac:dyDescent="0.2">
      <c r="A3" s="32"/>
      <c r="B3" s="33" t="s">
        <v>48</v>
      </c>
      <c r="C3" s="33" t="s">
        <v>1</v>
      </c>
      <c r="D3" s="2"/>
      <c r="E3" s="2"/>
    </row>
    <row r="4" spans="1:5" x14ac:dyDescent="0.2">
      <c r="A4" t="s">
        <v>59</v>
      </c>
      <c r="B4" s="2">
        <v>160</v>
      </c>
      <c r="C4" s="2">
        <v>1.5</v>
      </c>
      <c r="D4" s="2"/>
      <c r="E4" s="2"/>
    </row>
    <row r="5" spans="1:5" x14ac:dyDescent="0.2">
      <c r="A5" t="s">
        <v>58</v>
      </c>
      <c r="B5" s="2">
        <v>120</v>
      </c>
      <c r="C5" s="2">
        <v>2</v>
      </c>
      <c r="D5" s="2"/>
      <c r="E5" s="2"/>
    </row>
    <row r="6" spans="1:5" x14ac:dyDescent="0.2">
      <c r="A6" t="s">
        <v>73</v>
      </c>
      <c r="B6" s="2">
        <v>200</v>
      </c>
      <c r="C6" s="2">
        <v>2</v>
      </c>
      <c r="D6" s="2"/>
      <c r="E6" s="2"/>
    </row>
    <row r="7" spans="1:5" x14ac:dyDescent="0.2">
      <c r="A7" t="s">
        <v>153</v>
      </c>
      <c r="B7" s="2">
        <v>200</v>
      </c>
      <c r="C7" s="2">
        <v>2</v>
      </c>
      <c r="D7" s="2"/>
      <c r="E7" s="2"/>
    </row>
    <row r="8" spans="1:5" x14ac:dyDescent="0.2">
      <c r="B8" s="2"/>
      <c r="C8" s="2"/>
      <c r="D8" s="2"/>
      <c r="E8" s="2"/>
    </row>
    <row r="9" spans="1:5" x14ac:dyDescent="0.2">
      <c r="B9" s="2"/>
      <c r="C9" s="2"/>
      <c r="D9" s="2"/>
      <c r="E9" s="2"/>
    </row>
    <row r="10" spans="1:5" x14ac:dyDescent="0.2">
      <c r="A10" s="32" t="s">
        <v>54</v>
      </c>
      <c r="B10" s="33" t="s">
        <v>46</v>
      </c>
      <c r="C10" s="33" t="s">
        <v>52</v>
      </c>
      <c r="D10" s="33" t="s">
        <v>47</v>
      </c>
      <c r="E10" s="33"/>
    </row>
    <row r="11" spans="1:5" x14ac:dyDescent="0.2">
      <c r="A11" s="32"/>
      <c r="B11" s="33" t="s">
        <v>48</v>
      </c>
      <c r="C11" s="33" t="s">
        <v>1</v>
      </c>
      <c r="D11" s="33" t="s">
        <v>2</v>
      </c>
      <c r="E11" s="33"/>
    </row>
    <row r="12" spans="1:5" x14ac:dyDescent="0.2">
      <c r="A12" t="s">
        <v>60</v>
      </c>
      <c r="B12" s="2">
        <v>350</v>
      </c>
      <c r="C12" s="2">
        <v>18.5</v>
      </c>
      <c r="D12" s="2">
        <v>40</v>
      </c>
      <c r="E12" s="2"/>
    </row>
    <row r="13" spans="1:5" x14ac:dyDescent="0.2">
      <c r="A13" t="s">
        <v>61</v>
      </c>
      <c r="B13" s="2"/>
      <c r="C13" s="2">
        <v>500</v>
      </c>
      <c r="D13" s="2">
        <v>1000</v>
      </c>
      <c r="E13" s="2"/>
    </row>
    <row r="14" spans="1:5" x14ac:dyDescent="0.2">
      <c r="A14" t="s">
        <v>62</v>
      </c>
      <c r="B14" s="2">
        <v>275</v>
      </c>
      <c r="C14" s="2"/>
      <c r="D14" s="2"/>
      <c r="E14" s="2"/>
    </row>
    <row r="15" spans="1:5" x14ac:dyDescent="0.2">
      <c r="A15" t="s">
        <v>148</v>
      </c>
      <c r="B15" s="2">
        <v>525</v>
      </c>
      <c r="C15" s="2"/>
      <c r="D15" s="2"/>
      <c r="E15" s="2"/>
    </row>
    <row r="17" spans="1:15" x14ac:dyDescent="0.2">
      <c r="A17" s="66" t="s">
        <v>151</v>
      </c>
      <c r="B17" s="67"/>
      <c r="C17" s="67"/>
      <c r="D17" s="68"/>
      <c r="E17" s="32"/>
      <c r="F17" s="66" t="s">
        <v>77</v>
      </c>
      <c r="G17" s="69"/>
      <c r="H17" s="69"/>
      <c r="I17" s="70"/>
      <c r="K17" s="66" t="s">
        <v>157</v>
      </c>
      <c r="L17" s="69"/>
      <c r="M17" s="69"/>
      <c r="N17" s="69"/>
      <c r="O17" s="70"/>
    </row>
    <row r="18" spans="1:15" x14ac:dyDescent="0.2">
      <c r="A18" s="44" t="s">
        <v>67</v>
      </c>
      <c r="B18" s="32"/>
      <c r="C18" s="32"/>
      <c r="D18" s="57"/>
      <c r="E18" s="32"/>
      <c r="F18" s="44"/>
      <c r="I18" s="45"/>
      <c r="K18" s="44"/>
      <c r="O18" s="45"/>
    </row>
    <row r="19" spans="1:15" x14ac:dyDescent="0.2">
      <c r="A19" s="100" t="s">
        <v>55</v>
      </c>
      <c r="B19" s="101">
        <v>500</v>
      </c>
      <c r="C19" s="101" t="s">
        <v>27</v>
      </c>
      <c r="D19" s="102"/>
      <c r="E19" s="2"/>
      <c r="F19" s="34" t="s">
        <v>55</v>
      </c>
      <c r="G19" s="2">
        <v>18.5</v>
      </c>
      <c r="H19" s="2" t="s">
        <v>27</v>
      </c>
      <c r="I19" s="58"/>
      <c r="J19" s="2"/>
      <c r="K19" s="34" t="s">
        <v>55</v>
      </c>
      <c r="L19" s="2">
        <v>18.5</v>
      </c>
      <c r="M19" s="2" t="s">
        <v>27</v>
      </c>
      <c r="N19" s="2"/>
      <c r="O19" s="45"/>
    </row>
    <row r="20" spans="1:15" ht="24" x14ac:dyDescent="0.2">
      <c r="A20" s="103" t="s">
        <v>50</v>
      </c>
      <c r="B20" s="97">
        <v>500</v>
      </c>
      <c r="C20" s="97" t="s">
        <v>49</v>
      </c>
      <c r="D20" s="104" t="s">
        <v>56</v>
      </c>
      <c r="E20" s="29"/>
      <c r="F20" s="59" t="s">
        <v>50</v>
      </c>
      <c r="G20" s="2">
        <v>120</v>
      </c>
      <c r="H20" s="3" t="s">
        <v>49</v>
      </c>
      <c r="I20" s="58" t="s">
        <v>84</v>
      </c>
      <c r="J20" s="2"/>
      <c r="K20" s="59" t="s">
        <v>50</v>
      </c>
      <c r="L20" s="2">
        <v>120</v>
      </c>
      <c r="M20" s="3" t="s">
        <v>49</v>
      </c>
      <c r="N20" s="2" t="s">
        <v>84</v>
      </c>
      <c r="O20" s="45"/>
    </row>
    <row r="21" spans="1:15" ht="36" x14ac:dyDescent="0.2">
      <c r="A21" s="96" t="s">
        <v>57</v>
      </c>
      <c r="B21" s="97">
        <v>500</v>
      </c>
      <c r="C21" s="98" t="s">
        <v>49</v>
      </c>
      <c r="D21" s="99" t="s">
        <v>149</v>
      </c>
      <c r="E21" s="31"/>
      <c r="F21" s="59" t="s">
        <v>57</v>
      </c>
      <c r="G21" s="63">
        <v>0</v>
      </c>
      <c r="H21" s="60" t="s">
        <v>49</v>
      </c>
      <c r="I21" s="58"/>
      <c r="J21" s="2"/>
      <c r="K21" s="59" t="s">
        <v>57</v>
      </c>
      <c r="L21" s="63">
        <v>0</v>
      </c>
      <c r="M21" s="60" t="s">
        <v>49</v>
      </c>
      <c r="N21" s="2"/>
      <c r="O21" s="45"/>
    </row>
    <row r="22" spans="1:15" ht="24" x14ac:dyDescent="0.2">
      <c r="A22" s="96" t="s">
        <v>64</v>
      </c>
      <c r="B22" s="97">
        <v>5</v>
      </c>
      <c r="C22" s="98" t="s">
        <v>63</v>
      </c>
      <c r="D22" s="99" t="s">
        <v>183</v>
      </c>
      <c r="E22" s="31"/>
      <c r="F22" s="59" t="s">
        <v>78</v>
      </c>
      <c r="G22" s="2">
        <v>2</v>
      </c>
      <c r="H22" s="60" t="s">
        <v>63</v>
      </c>
      <c r="I22" s="58"/>
      <c r="J22" s="2"/>
      <c r="K22" s="59" t="s">
        <v>78</v>
      </c>
      <c r="L22" s="2">
        <v>10</v>
      </c>
      <c r="M22" s="60" t="s">
        <v>63</v>
      </c>
      <c r="N22" s="2"/>
      <c r="O22" s="45"/>
    </row>
    <row r="23" spans="1:15" x14ac:dyDescent="0.2">
      <c r="A23" s="96" t="s">
        <v>65</v>
      </c>
      <c r="B23" s="97">
        <v>10</v>
      </c>
      <c r="C23" s="98" t="s">
        <v>66</v>
      </c>
      <c r="D23" s="45"/>
      <c r="F23" s="59" t="s">
        <v>79</v>
      </c>
      <c r="G23" s="2">
        <v>20</v>
      </c>
      <c r="H23" s="60" t="s">
        <v>66</v>
      </c>
      <c r="I23" s="58"/>
      <c r="J23" s="2"/>
      <c r="K23" s="59" t="s">
        <v>88</v>
      </c>
      <c r="L23" s="2">
        <v>30</v>
      </c>
      <c r="M23" s="60" t="s">
        <v>66</v>
      </c>
      <c r="N23" s="2"/>
      <c r="O23" s="45"/>
    </row>
    <row r="24" spans="1:15" x14ac:dyDescent="0.2">
      <c r="A24" s="44"/>
      <c r="D24" s="45"/>
      <c r="F24" s="34"/>
      <c r="G24" s="2"/>
      <c r="I24" s="58"/>
      <c r="J24" s="2"/>
      <c r="K24" s="34"/>
      <c r="L24" s="2"/>
      <c r="N24" s="2"/>
      <c r="O24" s="45"/>
    </row>
    <row r="25" spans="1:15" x14ac:dyDescent="0.2">
      <c r="A25" s="105" t="s">
        <v>68</v>
      </c>
      <c r="B25" s="101">
        <v>2</v>
      </c>
      <c r="C25" s="98" t="s">
        <v>69</v>
      </c>
      <c r="D25" s="106" t="s">
        <v>182</v>
      </c>
      <c r="F25" s="59" t="s">
        <v>80</v>
      </c>
      <c r="G25" s="2">
        <f>MROUND(G19/G20,0.1)</f>
        <v>0.2</v>
      </c>
      <c r="H25" s="60" t="s">
        <v>69</v>
      </c>
      <c r="I25" s="58"/>
      <c r="J25" s="2"/>
      <c r="K25" s="59" t="s">
        <v>80</v>
      </c>
      <c r="L25" s="65">
        <f>MROUND(L19/L20,0.1)</f>
        <v>0.2</v>
      </c>
      <c r="M25" s="60" t="s">
        <v>69</v>
      </c>
      <c r="N25" s="2"/>
      <c r="O25" s="45"/>
    </row>
    <row r="26" spans="1:15" x14ac:dyDescent="0.2">
      <c r="A26" s="105" t="s">
        <v>70</v>
      </c>
      <c r="B26" s="101">
        <f>B22/B23</f>
        <v>0.5</v>
      </c>
      <c r="C26" s="98" t="s">
        <v>69</v>
      </c>
      <c r="D26" s="106"/>
      <c r="F26" s="59" t="s">
        <v>81</v>
      </c>
      <c r="G26" s="2">
        <f>G22/G23</f>
        <v>0.1</v>
      </c>
      <c r="H26" s="60" t="s">
        <v>69</v>
      </c>
      <c r="I26" s="58"/>
      <c r="J26" s="2"/>
      <c r="K26" s="59" t="s">
        <v>81</v>
      </c>
      <c r="L26" s="65">
        <f>L22/L23</f>
        <v>0.33333333333333331</v>
      </c>
      <c r="M26" s="60" t="s">
        <v>69</v>
      </c>
      <c r="N26" s="2"/>
      <c r="O26" s="45"/>
    </row>
    <row r="27" spans="1:15" x14ac:dyDescent="0.2">
      <c r="A27" s="105" t="s">
        <v>71</v>
      </c>
      <c r="B27" s="101">
        <v>2</v>
      </c>
      <c r="C27" s="98" t="s">
        <v>69</v>
      </c>
      <c r="D27" s="106" t="s">
        <v>182</v>
      </c>
      <c r="E27" s="30"/>
      <c r="F27" s="59" t="s">
        <v>71</v>
      </c>
      <c r="G27" s="2">
        <v>0</v>
      </c>
      <c r="H27" s="60" t="s">
        <v>69</v>
      </c>
      <c r="I27" s="58" t="s">
        <v>83</v>
      </c>
      <c r="J27" s="2"/>
      <c r="K27" s="59" t="s">
        <v>71</v>
      </c>
      <c r="L27" s="65">
        <v>0</v>
      </c>
      <c r="M27" s="60" t="s">
        <v>69</v>
      </c>
      <c r="N27" s="2" t="s">
        <v>83</v>
      </c>
      <c r="O27" s="45"/>
    </row>
    <row r="28" spans="1:15" x14ac:dyDescent="0.2">
      <c r="A28" s="105" t="s">
        <v>72</v>
      </c>
      <c r="B28" s="101">
        <f>B22/B23</f>
        <v>0.5</v>
      </c>
      <c r="C28" s="98" t="s">
        <v>69</v>
      </c>
      <c r="D28" s="106"/>
      <c r="F28" s="59" t="s">
        <v>82</v>
      </c>
      <c r="G28" s="2">
        <f>G22/G23</f>
        <v>0.1</v>
      </c>
      <c r="H28" s="60" t="s">
        <v>69</v>
      </c>
      <c r="I28" s="58"/>
      <c r="J28" s="2"/>
      <c r="K28" s="59" t="s">
        <v>82</v>
      </c>
      <c r="L28" s="65">
        <f>L22/L23</f>
        <v>0.33333333333333331</v>
      </c>
      <c r="M28" s="60" t="s">
        <v>69</v>
      </c>
      <c r="N28" s="2"/>
      <c r="O28" s="45"/>
    </row>
    <row r="29" spans="1:15" x14ac:dyDescent="0.2">
      <c r="A29" s="105" t="s">
        <v>74</v>
      </c>
      <c r="B29" s="101">
        <f>SUM(B25:B28)</f>
        <v>5</v>
      </c>
      <c r="C29" s="98" t="s">
        <v>69</v>
      </c>
      <c r="D29" s="106"/>
      <c r="F29" s="59" t="s">
        <v>74</v>
      </c>
      <c r="G29" s="2">
        <f>SUM(G25:G28)</f>
        <v>0.4</v>
      </c>
      <c r="H29" s="60" t="s">
        <v>69</v>
      </c>
      <c r="I29" s="58"/>
      <c r="J29" s="2"/>
      <c r="K29" s="59" t="s">
        <v>74</v>
      </c>
      <c r="L29" s="65">
        <f>SUM(L25:L28)</f>
        <v>0.8666666666666667</v>
      </c>
      <c r="M29" s="60" t="s">
        <v>69</v>
      </c>
      <c r="N29" s="2"/>
      <c r="O29" s="45"/>
    </row>
    <row r="30" spans="1:15" x14ac:dyDescent="0.2">
      <c r="A30" s="44"/>
      <c r="D30" s="45"/>
      <c r="F30" s="34"/>
      <c r="G30" s="2"/>
      <c r="I30" s="58"/>
      <c r="J30" s="2"/>
      <c r="K30" s="34"/>
      <c r="L30" s="2"/>
      <c r="N30" s="2"/>
      <c r="O30" s="45"/>
    </row>
    <row r="31" spans="1:15" x14ac:dyDescent="0.2">
      <c r="A31" s="105" t="s">
        <v>75</v>
      </c>
      <c r="B31" s="101">
        <v>6</v>
      </c>
      <c r="C31" s="101" t="s">
        <v>3</v>
      </c>
      <c r="D31" s="102"/>
      <c r="E31" s="2"/>
      <c r="F31" s="34"/>
      <c r="G31" s="2"/>
      <c r="H31" s="2"/>
      <c r="I31" s="58"/>
      <c r="J31" s="2"/>
      <c r="K31" s="34"/>
      <c r="L31" s="2"/>
      <c r="M31" s="2"/>
      <c r="N31" s="2"/>
      <c r="O31" s="45"/>
    </row>
    <row r="32" spans="1:15" x14ac:dyDescent="0.2">
      <c r="A32" s="105" t="s">
        <v>76</v>
      </c>
      <c r="B32" s="101">
        <v>1</v>
      </c>
      <c r="C32" s="101" t="s">
        <v>3</v>
      </c>
      <c r="D32" s="102"/>
      <c r="E32" s="2"/>
      <c r="F32" s="34"/>
      <c r="G32" s="2"/>
      <c r="H32" s="2"/>
      <c r="I32" s="58"/>
      <c r="J32" s="2"/>
      <c r="K32" s="34"/>
      <c r="L32" s="2"/>
      <c r="M32" s="2"/>
      <c r="N32" s="2"/>
      <c r="O32" s="45"/>
    </row>
    <row r="33" spans="1:15" x14ac:dyDescent="0.2">
      <c r="A33" s="44"/>
      <c r="B33" s="2"/>
      <c r="C33" s="2"/>
      <c r="D33" s="58"/>
      <c r="E33" s="2"/>
      <c r="F33" s="34"/>
      <c r="G33" s="2"/>
      <c r="H33" s="2"/>
      <c r="I33" s="58"/>
      <c r="J33" s="2"/>
      <c r="K33" s="34"/>
      <c r="L33" s="2"/>
      <c r="M33" s="2"/>
      <c r="N33" s="2"/>
      <c r="O33" s="45"/>
    </row>
    <row r="34" spans="1:15" x14ac:dyDescent="0.2">
      <c r="A34" s="105" t="s">
        <v>150</v>
      </c>
      <c r="B34" s="101">
        <v>1000</v>
      </c>
      <c r="C34" s="101" t="s">
        <v>49</v>
      </c>
      <c r="D34" s="102"/>
      <c r="E34" s="2"/>
      <c r="F34" s="34"/>
      <c r="G34" s="2"/>
      <c r="H34" s="2"/>
      <c r="I34" s="58"/>
      <c r="J34" s="2"/>
      <c r="K34" s="34"/>
      <c r="L34" s="2"/>
      <c r="M34" s="2"/>
      <c r="N34" s="2"/>
      <c r="O34" s="45"/>
    </row>
    <row r="35" spans="1:15" x14ac:dyDescent="0.2">
      <c r="A35" s="46"/>
      <c r="B35" s="61"/>
      <c r="C35" s="61"/>
      <c r="D35" s="62"/>
      <c r="E35" s="2"/>
      <c r="F35" s="64"/>
      <c r="G35" s="61"/>
      <c r="H35" s="61"/>
      <c r="I35" s="62"/>
      <c r="J35" s="2"/>
      <c r="K35" s="46"/>
      <c r="L35" s="47"/>
      <c r="M35" s="47"/>
      <c r="N35" s="47"/>
      <c r="O35" s="48"/>
    </row>
    <row r="36" spans="1:15" x14ac:dyDescent="0.2">
      <c r="B36" s="2"/>
      <c r="C36" s="2"/>
      <c r="D36" s="2"/>
      <c r="E36" s="2"/>
      <c r="F36" s="2"/>
      <c r="G36" s="2"/>
      <c r="H36" s="2"/>
      <c r="I36" s="2"/>
      <c r="J36" s="2"/>
    </row>
    <row r="37" spans="1:15" x14ac:dyDescent="0.2">
      <c r="B37" s="2"/>
      <c r="C37" s="2"/>
      <c r="D37" s="2"/>
      <c r="E37" s="2"/>
      <c r="F37" s="2"/>
      <c r="G37" s="2"/>
      <c r="H37" s="2"/>
      <c r="I37" s="2"/>
      <c r="J37" s="2"/>
    </row>
    <row r="38" spans="1:15" x14ac:dyDescent="0.2">
      <c r="B38" s="2"/>
      <c r="C38" s="2"/>
      <c r="D38" s="2"/>
      <c r="E38" s="2"/>
    </row>
    <row r="39" spans="1:15" x14ac:dyDescent="0.2">
      <c r="B39" s="2"/>
      <c r="C39" s="2"/>
      <c r="D39" s="2"/>
      <c r="E39" s="2"/>
    </row>
    <row r="40" spans="1:15" x14ac:dyDescent="0.2">
      <c r="B40" s="2"/>
      <c r="C40" s="2"/>
      <c r="D40" s="2"/>
      <c r="E40" s="2"/>
    </row>
    <row r="41" spans="1:15" x14ac:dyDescent="0.2">
      <c r="B41" s="2"/>
      <c r="C41" s="2"/>
      <c r="D41" s="2"/>
      <c r="E41" s="2"/>
    </row>
    <row r="42" spans="1:15" x14ac:dyDescent="0.2">
      <c r="B42" s="2"/>
      <c r="C42" s="2"/>
      <c r="D42" s="2"/>
      <c r="E42" s="2"/>
    </row>
    <row r="43" spans="1:15" x14ac:dyDescent="0.2">
      <c r="B43" s="2"/>
      <c r="C43" s="2"/>
      <c r="D43" s="2"/>
      <c r="E43" s="2"/>
    </row>
  </sheetData>
  <pageMargins left="0.7" right="0.7" top="0.75" bottom="0.75" header="0.3" footer="0.3"/>
  <headerFoot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5B19E-8FEE-43F2-821F-3A6FF4D46D6F}">
  <dimension ref="A1:W75"/>
  <sheetViews>
    <sheetView zoomScaleNormal="100" workbookViewId="0">
      <selection activeCell="A5" sqref="A5"/>
    </sheetView>
  </sheetViews>
  <sheetFormatPr defaultRowHeight="12" x14ac:dyDescent="0.2"/>
  <cols>
    <col min="1" max="1" width="67.5" customWidth="1"/>
    <col min="2" max="2" width="11.1640625" bestFit="1" customWidth="1"/>
    <col min="4" max="4" width="8.6640625" style="2"/>
    <col min="5" max="5" width="29.1640625" style="2" bestFit="1" customWidth="1"/>
    <col min="6" max="6" width="25.83203125" style="2" bestFit="1" customWidth="1"/>
    <col min="7" max="7" width="22.83203125" style="2" bestFit="1" customWidth="1"/>
    <col min="9" max="9" width="74.5" style="29" hidden="1" customWidth="1"/>
    <col min="11" max="11" width="54.5" customWidth="1"/>
    <col min="12" max="12" width="16.6640625" bestFit="1" customWidth="1"/>
    <col min="14" max="14" width="25" customWidth="1"/>
    <col min="15" max="15" width="45.5" bestFit="1" customWidth="1"/>
    <col min="16" max="16" width="13.6640625" customWidth="1"/>
    <col min="17" max="19" width="15.1640625" customWidth="1"/>
    <col min="21" max="21" width="11.33203125" bestFit="1" customWidth="1"/>
  </cols>
  <sheetData>
    <row r="1" spans="1:23" ht="16.5" x14ac:dyDescent="0.3">
      <c r="N1" s="107" t="s">
        <v>184</v>
      </c>
    </row>
    <row r="2" spans="1:23" ht="17.25" x14ac:dyDescent="0.2">
      <c r="A2" s="55" t="s">
        <v>103</v>
      </c>
      <c r="B2" s="49"/>
      <c r="C2" s="49"/>
      <c r="D2" s="49"/>
      <c r="E2" s="51"/>
      <c r="F2" s="51"/>
      <c r="G2" s="52"/>
      <c r="N2" t="s">
        <v>173</v>
      </c>
      <c r="O2" t="s">
        <v>174</v>
      </c>
      <c r="P2" t="s">
        <v>48</v>
      </c>
      <c r="Q2" t="s">
        <v>175</v>
      </c>
      <c r="R2" t="s">
        <v>176</v>
      </c>
      <c r="S2" t="s">
        <v>177</v>
      </c>
      <c r="U2" t="s">
        <v>178</v>
      </c>
      <c r="V2" t="s">
        <v>176</v>
      </c>
      <c r="W2" t="s">
        <v>177</v>
      </c>
    </row>
    <row r="3" spans="1:23" ht="17.25" x14ac:dyDescent="0.2">
      <c r="A3" s="56" t="s">
        <v>102</v>
      </c>
      <c r="B3" s="50"/>
      <c r="C3" s="50"/>
      <c r="D3" s="50"/>
      <c r="E3" s="53" t="s">
        <v>36</v>
      </c>
      <c r="F3" s="53" t="s">
        <v>37</v>
      </c>
      <c r="G3" s="54" t="s">
        <v>38</v>
      </c>
      <c r="N3" s="93" t="str">
        <f>$E$3</f>
        <v>Eemmeer eilandjes (ZG4)</v>
      </c>
      <c r="O3" s="93" t="str">
        <f>$A$4</f>
        <v>Hydraulische graafmachine, 160 kW, bak 1,5 m³</v>
      </c>
      <c r="P3" s="93">
        <v>160</v>
      </c>
      <c r="Q3" s="94">
        <f>E4</f>
        <v>549</v>
      </c>
      <c r="R3" s="95">
        <f>P3*Q3*0.34/1000</f>
        <v>29.865600000000001</v>
      </c>
      <c r="S3" s="93">
        <f>P3*Q3*0.021/1000</f>
        <v>1.8446400000000001</v>
      </c>
      <c r="U3" t="s">
        <v>172</v>
      </c>
      <c r="V3" s="88">
        <f>SUM(R3:R5)</f>
        <v>150.36160000000001</v>
      </c>
      <c r="W3" s="88">
        <f>SUM(S3:S5)</f>
        <v>9.2870400000000011</v>
      </c>
    </row>
    <row r="4" spans="1:23" x14ac:dyDescent="0.2">
      <c r="A4" s="44" t="s">
        <v>59</v>
      </c>
      <c r="D4" t="s">
        <v>69</v>
      </c>
      <c r="E4" s="35">
        <f>N19+N33+N34+N43+N45+N57+N46+N44</f>
        <v>549</v>
      </c>
      <c r="F4" s="35">
        <f>O19+O33+O34+O43+O45+O57+O46+O44</f>
        <v>699</v>
      </c>
      <c r="G4" s="35">
        <f>P19+P33+P34+P43+P45+P57+P46+P44</f>
        <v>1103</v>
      </c>
      <c r="N4" s="93" t="str">
        <f t="shared" ref="N4:N5" si="0">$E$3</f>
        <v>Eemmeer eilandjes (ZG4)</v>
      </c>
      <c r="O4" s="93" t="str">
        <f>$A$5</f>
        <v>Hydraulische kraan (amfibisch), 200 kW, bak 2m²</v>
      </c>
      <c r="P4" s="93">
        <v>200</v>
      </c>
      <c r="Q4" s="94">
        <f>E5+E9</f>
        <v>722</v>
      </c>
      <c r="R4" s="95">
        <f t="shared" ref="R4:R11" si="1">P4*Q4*0.34/1000</f>
        <v>49.095999999999997</v>
      </c>
      <c r="S4" s="93">
        <f t="shared" ref="S4:S11" si="2">P4*Q4*0.021/1000</f>
        <v>3.0324</v>
      </c>
      <c r="U4" t="s">
        <v>179</v>
      </c>
      <c r="V4" s="88">
        <f>SUM(R6:R8)</f>
        <v>108.4736</v>
      </c>
      <c r="W4" s="88">
        <f>SUM(S6:S8)</f>
        <v>6.69984</v>
      </c>
    </row>
    <row r="5" spans="1:23" x14ac:dyDescent="0.2">
      <c r="A5" t="s">
        <v>153</v>
      </c>
      <c r="D5" t="s">
        <v>69</v>
      </c>
      <c r="E5" s="35">
        <f>N23+N52+N38</f>
        <v>695</v>
      </c>
      <c r="F5" s="35">
        <f>O23+O52+O38</f>
        <v>998</v>
      </c>
      <c r="G5" s="35">
        <f>P23+P52+P38</f>
        <v>820</v>
      </c>
      <c r="N5" s="93" t="str">
        <f t="shared" si="0"/>
        <v>Eemmeer eilandjes (ZG4)</v>
      </c>
      <c r="O5" s="93" t="str">
        <f>$A$6</f>
        <v>Perspomp met drijvende leiding 525 kW</v>
      </c>
      <c r="P5" s="93">
        <v>525</v>
      </c>
      <c r="Q5" s="94">
        <f>E6</f>
        <v>400</v>
      </c>
      <c r="R5" s="95">
        <f t="shared" si="1"/>
        <v>71.400000000000006</v>
      </c>
      <c r="S5" s="93">
        <f t="shared" si="2"/>
        <v>4.41</v>
      </c>
      <c r="U5" t="s">
        <v>180</v>
      </c>
      <c r="V5" s="88">
        <f>SUM(R9:R11)</f>
        <v>188.59120000000001</v>
      </c>
      <c r="W5" s="88">
        <f>SUM(S9:S11)</f>
        <v>11.648280000000002</v>
      </c>
    </row>
    <row r="6" spans="1:23" x14ac:dyDescent="0.2">
      <c r="A6" t="s">
        <v>148</v>
      </c>
      <c r="D6" t="s">
        <v>69</v>
      </c>
      <c r="E6" s="35">
        <f>N30</f>
        <v>400</v>
      </c>
      <c r="F6" s="35">
        <f t="shared" ref="F6:G6" si="3">O30</f>
        <v>0</v>
      </c>
      <c r="G6" s="35">
        <f t="shared" si="3"/>
        <v>400</v>
      </c>
      <c r="N6" s="93" t="str">
        <f>$F$3</f>
        <v>Ketelmeer oost (ZG11)</v>
      </c>
      <c r="O6" s="93" t="str">
        <f>$A$4</f>
        <v>Hydraulische graafmachine, 160 kW, bak 1,5 m³</v>
      </c>
      <c r="P6" s="93">
        <v>160</v>
      </c>
      <c r="Q6" s="94">
        <f>F4</f>
        <v>699</v>
      </c>
      <c r="R6" s="95">
        <f t="shared" si="1"/>
        <v>38.025600000000004</v>
      </c>
      <c r="S6" s="93">
        <f t="shared" si="2"/>
        <v>2.3486400000000005</v>
      </c>
    </row>
    <row r="7" spans="1:23" x14ac:dyDescent="0.2">
      <c r="A7" s="71" t="s">
        <v>105</v>
      </c>
      <c r="D7" t="s">
        <v>69</v>
      </c>
      <c r="E7">
        <f>N29</f>
        <v>400</v>
      </c>
      <c r="F7">
        <f>O29</f>
        <v>1750</v>
      </c>
      <c r="G7" s="45">
        <f>P29</f>
        <v>400</v>
      </c>
      <c r="H7" s="72" t="s">
        <v>104</v>
      </c>
      <c r="I7" s="73"/>
      <c r="J7" s="72"/>
      <c r="K7" s="72"/>
      <c r="N7" s="93" t="str">
        <f t="shared" ref="N7:N8" si="4">$F$3</f>
        <v>Ketelmeer oost (ZG11)</v>
      </c>
      <c r="O7" s="93" t="str">
        <f>$A$5</f>
        <v>Hydraulische kraan (amfibisch), 200 kW, bak 2m²</v>
      </c>
      <c r="P7" s="93">
        <v>200</v>
      </c>
      <c r="Q7" s="94">
        <f>F5+F9</f>
        <v>1036</v>
      </c>
      <c r="R7" s="95">
        <f t="shared" si="1"/>
        <v>70.447999999999993</v>
      </c>
      <c r="S7" s="93">
        <f t="shared" si="2"/>
        <v>4.3511999999999995</v>
      </c>
    </row>
    <row r="8" spans="1:23" x14ac:dyDescent="0.2">
      <c r="A8" s="71"/>
      <c r="D8"/>
      <c r="E8"/>
      <c r="F8"/>
      <c r="G8"/>
      <c r="N8" s="93" t="str">
        <f t="shared" si="4"/>
        <v>Ketelmeer oost (ZG11)</v>
      </c>
      <c r="O8" s="93" t="str">
        <f>$A$6</f>
        <v>Perspomp met drijvende leiding 525 kW</v>
      </c>
      <c r="P8" s="93">
        <v>525</v>
      </c>
      <c r="Q8" s="94">
        <f>F6</f>
        <v>0</v>
      </c>
      <c r="R8" s="95">
        <f t="shared" si="1"/>
        <v>0</v>
      </c>
      <c r="S8" s="93">
        <f t="shared" si="2"/>
        <v>0</v>
      </c>
    </row>
    <row r="9" spans="1:23" x14ac:dyDescent="0.2">
      <c r="A9" t="s">
        <v>165</v>
      </c>
      <c r="D9" t="s">
        <v>69</v>
      </c>
      <c r="E9">
        <f>N50+N68+N70</f>
        <v>27</v>
      </c>
      <c r="F9">
        <f t="shared" ref="F9:G9" si="5">O50+O68+O70</f>
        <v>38</v>
      </c>
      <c r="G9">
        <f t="shared" si="5"/>
        <v>21</v>
      </c>
      <c r="N9" s="93" t="str">
        <f>$G$3</f>
        <v>Zwarte Meer (ZG14)</v>
      </c>
      <c r="O9" s="93" t="str">
        <f>$A$4</f>
        <v>Hydraulische graafmachine, 160 kW, bak 1,5 m³</v>
      </c>
      <c r="P9" s="93">
        <v>160</v>
      </c>
      <c r="Q9" s="94">
        <f>G4</f>
        <v>1103</v>
      </c>
      <c r="R9" s="95">
        <f t="shared" si="1"/>
        <v>60.003200000000007</v>
      </c>
      <c r="S9" s="93">
        <f t="shared" si="2"/>
        <v>3.7060800000000005</v>
      </c>
    </row>
    <row r="10" spans="1:23" x14ac:dyDescent="0.2">
      <c r="A10" s="44"/>
      <c r="D10"/>
      <c r="E10"/>
      <c r="F10"/>
      <c r="G10" s="45"/>
      <c r="N10" s="93" t="str">
        <f t="shared" ref="N10:N11" si="6">$G$3</f>
        <v>Zwarte Meer (ZG14)</v>
      </c>
      <c r="O10" s="93" t="str">
        <f>$A$5</f>
        <v>Hydraulische kraan (amfibisch), 200 kW, bak 2m²</v>
      </c>
      <c r="P10" s="93">
        <v>200</v>
      </c>
      <c r="Q10" s="94">
        <f>G5+G9</f>
        <v>841</v>
      </c>
      <c r="R10" s="95">
        <f t="shared" si="1"/>
        <v>57.188000000000009</v>
      </c>
      <c r="S10" s="93">
        <f t="shared" si="2"/>
        <v>3.5322000000000005</v>
      </c>
    </row>
    <row r="11" spans="1:23" ht="17.25" x14ac:dyDescent="0.2">
      <c r="A11" s="56" t="s">
        <v>101</v>
      </c>
      <c r="B11" s="50"/>
      <c r="C11" s="50"/>
      <c r="D11" s="50"/>
      <c r="E11" s="53"/>
      <c r="F11" s="53"/>
      <c r="G11" s="54"/>
      <c r="H11" s="72" t="s">
        <v>106</v>
      </c>
      <c r="I11" s="73"/>
      <c r="J11" s="72"/>
      <c r="K11" s="72"/>
      <c r="N11" s="93" t="str">
        <f t="shared" si="6"/>
        <v>Zwarte Meer (ZG14)</v>
      </c>
      <c r="O11" s="93" t="str">
        <f>$A$6</f>
        <v>Perspomp met drijvende leiding 525 kW</v>
      </c>
      <c r="P11" s="93">
        <v>525</v>
      </c>
      <c r="Q11" s="93">
        <f>G7</f>
        <v>400</v>
      </c>
      <c r="R11" s="95">
        <f t="shared" si="1"/>
        <v>71.400000000000006</v>
      </c>
      <c r="S11" s="93">
        <f t="shared" si="2"/>
        <v>4.41</v>
      </c>
    </row>
    <row r="12" spans="1:23" x14ac:dyDescent="0.2">
      <c r="A12" t="s">
        <v>160</v>
      </c>
      <c r="D12" t="s">
        <v>100</v>
      </c>
      <c r="E12">
        <f>Q51+Q69</f>
        <v>128</v>
      </c>
      <c r="F12">
        <f>R51+R69</f>
        <v>72</v>
      </c>
      <c r="G12">
        <f>S51+S69</f>
        <v>100</v>
      </c>
      <c r="N12" t="s">
        <v>0</v>
      </c>
      <c r="Q12" s="35">
        <f>SUM(Q3:Q11)</f>
        <v>5750</v>
      </c>
      <c r="R12" s="35">
        <f t="shared" ref="R12:S12" si="7">SUM(R3:R11)</f>
        <v>447.42639999999994</v>
      </c>
      <c r="S12" s="35">
        <f t="shared" si="7"/>
        <v>27.635159999999999</v>
      </c>
    </row>
    <row r="13" spans="1:23" x14ac:dyDescent="0.2">
      <c r="A13" s="46" t="s">
        <v>92</v>
      </c>
      <c r="B13" s="47"/>
      <c r="C13" s="47"/>
      <c r="D13" s="47" t="s">
        <v>100</v>
      </c>
      <c r="E13" s="47">
        <f>Q49+Q56+Q67</f>
        <v>320</v>
      </c>
      <c r="F13" s="47">
        <f t="shared" ref="F13:G13" si="8">R49+R56+R67</f>
        <v>177</v>
      </c>
      <c r="G13" s="47">
        <f t="shared" si="8"/>
        <v>250</v>
      </c>
      <c r="H13" s="72" t="s">
        <v>107</v>
      </c>
      <c r="I13" s="73"/>
      <c r="J13" s="72"/>
      <c r="K13" s="72"/>
    </row>
    <row r="15" spans="1:23" ht="31.9" customHeight="1" x14ac:dyDescent="0.3">
      <c r="N15" s="38" t="s">
        <v>98</v>
      </c>
      <c r="O15" s="39"/>
      <c r="P15" s="40"/>
      <c r="Q15" s="41" t="s">
        <v>99</v>
      </c>
      <c r="R15" s="42"/>
      <c r="S15" s="43"/>
    </row>
    <row r="16" spans="1:23" x14ac:dyDescent="0.2">
      <c r="A16" s="7"/>
      <c r="B16" s="7" t="s">
        <v>0</v>
      </c>
      <c r="C16" s="7"/>
      <c r="D16" s="7"/>
      <c r="E16" s="7" t="s">
        <v>152</v>
      </c>
      <c r="F16" s="7" t="s">
        <v>37</v>
      </c>
      <c r="G16" s="7" t="s">
        <v>38</v>
      </c>
      <c r="I16" s="21" t="s">
        <v>29</v>
      </c>
      <c r="K16" s="7" t="s">
        <v>89</v>
      </c>
      <c r="L16" s="7"/>
      <c r="M16" s="7"/>
      <c r="N16" s="36" t="s">
        <v>36</v>
      </c>
      <c r="O16" s="36" t="s">
        <v>37</v>
      </c>
      <c r="P16" s="36" t="s">
        <v>38</v>
      </c>
      <c r="Q16" s="37" t="s">
        <v>36</v>
      </c>
      <c r="R16" s="37" t="s">
        <v>37</v>
      </c>
      <c r="S16" s="37" t="s">
        <v>38</v>
      </c>
    </row>
    <row r="17" spans="1:16" ht="14.25" x14ac:dyDescent="0.2">
      <c r="A17" s="8"/>
      <c r="B17" s="9"/>
      <c r="C17" s="10"/>
      <c r="D17" s="6"/>
      <c r="E17" s="10"/>
      <c r="F17" s="10"/>
      <c r="G17" s="10"/>
      <c r="I17" s="22"/>
    </row>
    <row r="18" spans="1:16" ht="16.149999999999999" hidden="1" customHeight="1" x14ac:dyDescent="0.2">
      <c r="A18" s="15" t="s">
        <v>4</v>
      </c>
      <c r="B18" s="4"/>
      <c r="C18" s="5"/>
      <c r="D18" s="6"/>
      <c r="E18" s="5"/>
      <c r="F18" s="5"/>
      <c r="G18" s="5"/>
      <c r="I18" s="23"/>
    </row>
    <row r="19" spans="1:16" ht="16.149999999999999" hidden="1" customHeight="1" x14ac:dyDescent="0.2">
      <c r="A19" s="12" t="s">
        <v>23</v>
      </c>
      <c r="B19" s="9">
        <f>SUM(E19:G19)</f>
        <v>0</v>
      </c>
      <c r="C19" s="13" t="s">
        <v>1</v>
      </c>
      <c r="D19" s="6"/>
      <c r="E19" s="14"/>
      <c r="F19" s="14"/>
      <c r="G19" s="14"/>
      <c r="I19" s="24" t="s">
        <v>39</v>
      </c>
      <c r="K19" t="s">
        <v>59</v>
      </c>
      <c r="L19">
        <v>80</v>
      </c>
      <c r="M19" t="s">
        <v>93</v>
      </c>
      <c r="N19">
        <f>MROUND(E19/$L19,1)</f>
        <v>0</v>
      </c>
      <c r="O19">
        <f>MROUND(F19/$L19,1)</f>
        <v>0</v>
      </c>
      <c r="P19">
        <f>MROUND(G19/$L19,1)</f>
        <v>0</v>
      </c>
    </row>
    <row r="20" spans="1:16" ht="16.149999999999999" hidden="1" customHeight="1" x14ac:dyDescent="0.2">
      <c r="A20" s="11"/>
      <c r="B20" s="9"/>
      <c r="C20" s="10"/>
      <c r="D20" s="6"/>
      <c r="E20" s="10"/>
      <c r="F20" s="10"/>
      <c r="G20" s="10"/>
      <c r="I20" s="22"/>
    </row>
    <row r="21" spans="1:16" ht="16.149999999999999" hidden="1" customHeight="1" x14ac:dyDescent="0.2">
      <c r="A21" s="16"/>
      <c r="B21" s="17"/>
      <c r="C21" s="18"/>
      <c r="D21" s="6"/>
      <c r="E21" s="18"/>
      <c r="F21" s="18"/>
      <c r="G21" s="18"/>
      <c r="I21" s="25"/>
    </row>
    <row r="22" spans="1:16" ht="16.149999999999999" hidden="1" customHeight="1" x14ac:dyDescent="0.2">
      <c r="A22" s="15" t="s">
        <v>5</v>
      </c>
      <c r="B22" s="4"/>
      <c r="C22" s="5"/>
      <c r="D22" s="6"/>
      <c r="E22" s="5"/>
      <c r="F22" s="5"/>
      <c r="G22" s="5"/>
      <c r="I22" s="23"/>
    </row>
    <row r="23" spans="1:16" ht="16.149999999999999" hidden="1" customHeight="1" x14ac:dyDescent="0.2">
      <c r="A23" s="12" t="s">
        <v>6</v>
      </c>
      <c r="B23" s="9">
        <f>SUM(E23:G23)</f>
        <v>0</v>
      </c>
      <c r="C23" s="13" t="s">
        <v>1</v>
      </c>
      <c r="D23" s="6"/>
      <c r="E23" s="10">
        <f>E33</f>
        <v>0</v>
      </c>
      <c r="F23" s="10"/>
      <c r="G23" s="10"/>
      <c r="I23" s="22" t="s">
        <v>40</v>
      </c>
      <c r="K23" t="s">
        <v>58</v>
      </c>
      <c r="L23">
        <f>Cyclustijden!G20</f>
        <v>120</v>
      </c>
      <c r="M23" t="s">
        <v>93</v>
      </c>
      <c r="N23">
        <f t="shared" ref="N23:P24" si="9">MROUND(E23/$L23,1)</f>
        <v>0</v>
      </c>
      <c r="O23">
        <f t="shared" si="9"/>
        <v>0</v>
      </c>
      <c r="P23">
        <f t="shared" si="9"/>
        <v>0</v>
      </c>
    </row>
    <row r="24" spans="1:16" ht="16.149999999999999" hidden="1" customHeight="1" x14ac:dyDescent="0.2">
      <c r="A24" s="12" t="s">
        <v>7</v>
      </c>
      <c r="B24" s="9">
        <f>SUM(E24:G24)</f>
        <v>0</v>
      </c>
      <c r="C24" s="13" t="s">
        <v>1</v>
      </c>
      <c r="D24" s="6"/>
      <c r="E24" s="14">
        <f>E23</f>
        <v>0</v>
      </c>
      <c r="F24" s="14"/>
      <c r="G24" s="14"/>
      <c r="I24" s="22" t="s">
        <v>30</v>
      </c>
      <c r="K24" t="s">
        <v>96</v>
      </c>
      <c r="L24" t="e">
        <f>Cyclustijden!#REF!</f>
        <v>#REF!</v>
      </c>
      <c r="M24" t="s">
        <v>93</v>
      </c>
      <c r="N24" t="e">
        <f t="shared" si="9"/>
        <v>#REF!</v>
      </c>
      <c r="O24" t="e">
        <f t="shared" si="9"/>
        <v>#REF!</v>
      </c>
      <c r="P24" t="e">
        <f t="shared" si="9"/>
        <v>#REF!</v>
      </c>
    </row>
    <row r="25" spans="1:16" ht="16.149999999999999" hidden="1" customHeight="1" x14ac:dyDescent="0.2">
      <c r="A25" s="11"/>
      <c r="B25" s="9"/>
      <c r="C25" s="10"/>
      <c r="D25" s="6"/>
      <c r="E25" s="10"/>
      <c r="F25" s="10"/>
      <c r="G25" s="10"/>
      <c r="I25" s="22"/>
    </row>
    <row r="26" spans="1:16" ht="16.149999999999999" hidden="1" customHeight="1" x14ac:dyDescent="0.2">
      <c r="A26" s="16"/>
      <c r="B26" s="17"/>
      <c r="C26" s="18"/>
      <c r="D26" s="6"/>
      <c r="E26" s="10"/>
      <c r="F26" s="10"/>
      <c r="G26" s="10"/>
      <c r="I26" s="22"/>
    </row>
    <row r="27" spans="1:16" ht="16.149999999999999" customHeight="1" x14ac:dyDescent="0.2">
      <c r="A27" s="15" t="s">
        <v>16</v>
      </c>
      <c r="B27" s="4"/>
      <c r="C27" s="5"/>
      <c r="D27" s="6"/>
      <c r="E27" s="10"/>
      <c r="F27" s="10"/>
      <c r="G27" s="10"/>
      <c r="I27" s="22"/>
    </row>
    <row r="28" spans="1:16" ht="16.149999999999999" customHeight="1" x14ac:dyDescent="0.2">
      <c r="A28" s="12" t="s">
        <v>24</v>
      </c>
      <c r="B28" s="9">
        <f>SUM(E28:G28)</f>
        <v>1275000</v>
      </c>
      <c r="C28" s="13" t="s">
        <v>1</v>
      </c>
      <c r="D28" s="6"/>
      <c r="E28" s="90">
        <v>200000</v>
      </c>
      <c r="F28" s="90">
        <v>875000</v>
      </c>
      <c r="G28" s="90">
        <v>200000</v>
      </c>
      <c r="I28" s="22" t="s">
        <v>41</v>
      </c>
      <c r="K28" t="s">
        <v>85</v>
      </c>
    </row>
    <row r="29" spans="1:16" ht="16.149999999999999" customHeight="1" x14ac:dyDescent="0.2">
      <c r="A29" s="12" t="s">
        <v>181</v>
      </c>
      <c r="B29" s="9">
        <f>SUM(E29:G29)</f>
        <v>1275000</v>
      </c>
      <c r="C29" s="13" t="s">
        <v>1</v>
      </c>
      <c r="D29" s="6"/>
      <c r="E29" s="89">
        <f t="shared" ref="E29:G30" si="10">E28</f>
        <v>200000</v>
      </c>
      <c r="F29" s="89">
        <f t="shared" si="10"/>
        <v>875000</v>
      </c>
      <c r="G29" s="89">
        <f t="shared" si="10"/>
        <v>200000</v>
      </c>
      <c r="I29" s="24" t="s">
        <v>32</v>
      </c>
      <c r="K29" t="s">
        <v>95</v>
      </c>
      <c r="N29" s="74">
        <f>MROUND((E29/Cyclustijden!$B$19)*(Cyclustijden!$B$26+Cyclustijden!$B$28),10)</f>
        <v>400</v>
      </c>
      <c r="O29" s="74">
        <f>MROUND((F29/Cyclustijden!$B$19)*(Cyclustijden!$B$26+Cyclustijden!$B$28),10)</f>
        <v>1750</v>
      </c>
      <c r="P29" s="74">
        <f>MROUND((G29/Cyclustijden!$B$19)*(Cyclustijden!$B$26+Cyclustijden!$B$28),10)</f>
        <v>400</v>
      </c>
    </row>
    <row r="30" spans="1:16" ht="16.149999999999999" customHeight="1" x14ac:dyDescent="0.2">
      <c r="A30" s="12" t="s">
        <v>147</v>
      </c>
      <c r="B30" s="9">
        <f>SUM(E30:G30)</f>
        <v>400000</v>
      </c>
      <c r="C30" s="13" t="s">
        <v>1</v>
      </c>
      <c r="D30" s="6"/>
      <c r="E30" s="89">
        <f t="shared" si="10"/>
        <v>200000</v>
      </c>
      <c r="F30" s="89">
        <v>0</v>
      </c>
      <c r="G30" s="89">
        <f t="shared" si="10"/>
        <v>200000</v>
      </c>
      <c r="I30" s="24" t="s">
        <v>32</v>
      </c>
      <c r="K30" t="s">
        <v>148</v>
      </c>
      <c r="L30">
        <f>Cyclustijden!B20</f>
        <v>500</v>
      </c>
      <c r="M30" t="s">
        <v>93</v>
      </c>
      <c r="N30" s="74">
        <f>MROUND((E30/Cyclustijden!$B$21),10)</f>
        <v>400</v>
      </c>
      <c r="O30" s="74">
        <f>MROUND((F30/Cyclustijden!$B$21),10)</f>
        <v>0</v>
      </c>
      <c r="P30" s="74">
        <f>MROUND((G30/Cyclustijden!$B$21),10)</f>
        <v>400</v>
      </c>
    </row>
    <row r="31" spans="1:16" ht="16.149999999999999" customHeight="1" x14ac:dyDescent="0.2">
      <c r="A31" s="12"/>
      <c r="B31" s="9"/>
      <c r="C31" s="13"/>
      <c r="D31" s="6"/>
      <c r="E31" s="14"/>
      <c r="F31" s="14"/>
      <c r="G31" s="14"/>
      <c r="I31" s="24"/>
    </row>
    <row r="32" spans="1:16" ht="16.149999999999999" customHeight="1" x14ac:dyDescent="0.2">
      <c r="A32" s="15" t="s">
        <v>15</v>
      </c>
      <c r="B32" s="4"/>
      <c r="C32" s="5"/>
      <c r="D32" s="6"/>
      <c r="E32" s="10"/>
      <c r="F32" s="10"/>
      <c r="G32" s="10"/>
      <c r="I32" s="22"/>
    </row>
    <row r="33" spans="1:16" ht="16.149999999999999" customHeight="1" x14ac:dyDescent="0.2">
      <c r="A33" s="12" t="s">
        <v>14</v>
      </c>
      <c r="B33" s="9">
        <f>SUM(E33:G33)</f>
        <v>0</v>
      </c>
      <c r="C33" s="13" t="s">
        <v>1</v>
      </c>
      <c r="D33" s="6"/>
      <c r="E33" s="14">
        <v>0</v>
      </c>
      <c r="F33" s="14"/>
      <c r="G33" s="14"/>
      <c r="I33" s="22"/>
      <c r="K33" t="s">
        <v>59</v>
      </c>
      <c r="L33">
        <v>120</v>
      </c>
      <c r="M33" t="s">
        <v>93</v>
      </c>
      <c r="N33">
        <f t="shared" ref="N33:P34" si="11">MROUND(E33/$L33,1)</f>
        <v>0</v>
      </c>
      <c r="O33">
        <f t="shared" si="11"/>
        <v>0</v>
      </c>
      <c r="P33">
        <f t="shared" si="11"/>
        <v>0</v>
      </c>
    </row>
    <row r="34" spans="1:16" ht="16.149999999999999" customHeight="1" x14ac:dyDescent="0.2">
      <c r="A34" s="12" t="s">
        <v>25</v>
      </c>
      <c r="B34" s="9"/>
      <c r="C34" s="13"/>
      <c r="D34" s="6"/>
      <c r="E34" s="14"/>
      <c r="F34" s="14"/>
      <c r="G34" s="14"/>
      <c r="I34" s="24" t="s">
        <v>35</v>
      </c>
      <c r="K34" t="s">
        <v>59</v>
      </c>
      <c r="L34">
        <v>120</v>
      </c>
      <c r="M34" t="s">
        <v>93</v>
      </c>
      <c r="N34">
        <f t="shared" si="11"/>
        <v>0</v>
      </c>
      <c r="O34">
        <f t="shared" si="11"/>
        <v>0</v>
      </c>
      <c r="P34">
        <f t="shared" si="11"/>
        <v>0</v>
      </c>
    </row>
    <row r="35" spans="1:16" ht="16.149999999999999" customHeight="1" x14ac:dyDescent="0.2">
      <c r="A35" s="12"/>
      <c r="B35" s="9"/>
      <c r="C35" s="13"/>
      <c r="D35" s="6"/>
      <c r="E35" s="14"/>
      <c r="F35" s="14"/>
      <c r="G35" s="14"/>
      <c r="I35" s="24"/>
    </row>
    <row r="36" spans="1:16" ht="16.149999999999999" customHeight="1" x14ac:dyDescent="0.2">
      <c r="A36" s="12"/>
      <c r="B36" s="9"/>
      <c r="C36" s="13"/>
      <c r="D36" s="6"/>
      <c r="E36" s="14"/>
      <c r="F36" s="14"/>
      <c r="G36" s="14"/>
      <c r="I36" s="24"/>
    </row>
    <row r="37" spans="1:16" ht="16.149999999999999" customHeight="1" x14ac:dyDescent="0.2">
      <c r="A37" s="15" t="s">
        <v>17</v>
      </c>
      <c r="B37" s="4"/>
      <c r="C37" s="5"/>
      <c r="D37" s="6"/>
      <c r="E37" s="10"/>
      <c r="F37" s="10"/>
      <c r="G37" s="10"/>
      <c r="I37" s="22"/>
    </row>
    <row r="38" spans="1:16" ht="16.149999999999999" customHeight="1" x14ac:dyDescent="0.2">
      <c r="A38" s="12" t="s">
        <v>154</v>
      </c>
      <c r="B38" s="9">
        <f>SUM(E38:G38)</f>
        <v>531670</v>
      </c>
      <c r="C38" s="13" t="s">
        <v>155</v>
      </c>
      <c r="D38" s="6"/>
      <c r="E38" s="89">
        <v>112350</v>
      </c>
      <c r="F38" s="89">
        <v>248360</v>
      </c>
      <c r="G38" s="89">
        <v>170960</v>
      </c>
      <c r="I38" s="24"/>
      <c r="K38" t="s">
        <v>153</v>
      </c>
      <c r="L38">
        <v>300</v>
      </c>
      <c r="M38" t="s">
        <v>156</v>
      </c>
      <c r="N38" s="74">
        <f>MROUND(E38/$L38,1)</f>
        <v>375</v>
      </c>
      <c r="O38" s="74">
        <f>MROUND(F38/$L38,1)</f>
        <v>828</v>
      </c>
      <c r="P38" s="74">
        <f>MROUND(G38/$L38,1)</f>
        <v>570</v>
      </c>
    </row>
    <row r="39" spans="1:16" ht="16.149999999999999" customHeight="1" x14ac:dyDescent="0.2">
      <c r="A39" s="12"/>
      <c r="B39" s="9"/>
      <c r="C39" s="13"/>
      <c r="D39" s="6"/>
      <c r="E39" s="14"/>
      <c r="F39" s="14"/>
      <c r="G39" s="14"/>
      <c r="I39" s="24"/>
      <c r="N39" s="35"/>
      <c r="O39" s="35"/>
      <c r="P39" s="35"/>
    </row>
    <row r="40" spans="1:16" ht="16.149999999999999" customHeight="1" x14ac:dyDescent="0.2">
      <c r="A40" s="12"/>
      <c r="B40" s="9"/>
      <c r="C40" s="13"/>
      <c r="D40" s="6"/>
      <c r="E40" s="14"/>
      <c r="F40" s="14"/>
      <c r="G40" s="14"/>
      <c r="I40" s="24"/>
      <c r="N40" s="35"/>
      <c r="O40" s="35"/>
      <c r="P40" s="35"/>
    </row>
    <row r="41" spans="1:16" ht="14.25" x14ac:dyDescent="0.2">
      <c r="A41" s="15" t="s">
        <v>21</v>
      </c>
      <c r="B41" s="4"/>
      <c r="C41" s="5"/>
      <c r="D41" s="6"/>
      <c r="E41" s="5"/>
      <c r="F41" s="5"/>
      <c r="G41" s="5"/>
      <c r="I41" s="23"/>
      <c r="N41" s="35"/>
      <c r="O41" s="35"/>
      <c r="P41" s="35"/>
    </row>
    <row r="42" spans="1:16" ht="16.149999999999999" customHeight="1" x14ac:dyDescent="0.2">
      <c r="A42" s="19" t="s">
        <v>10</v>
      </c>
      <c r="B42" s="9"/>
      <c r="C42" s="10"/>
      <c r="D42" s="6"/>
      <c r="E42" s="10"/>
      <c r="F42" s="10"/>
      <c r="G42" s="10"/>
      <c r="I42" s="22"/>
      <c r="N42" s="35"/>
      <c r="O42" s="35"/>
      <c r="P42" s="35"/>
    </row>
    <row r="43" spans="1:16" ht="16.149999999999999" customHeight="1" x14ac:dyDescent="0.2">
      <c r="A43" s="12" t="s">
        <v>143</v>
      </c>
      <c r="B43" s="9">
        <f>SUM(E43:G43)</f>
        <v>16680</v>
      </c>
      <c r="C43" s="13" t="s">
        <v>3</v>
      </c>
      <c r="D43" s="6"/>
      <c r="E43" s="89">
        <v>5600</v>
      </c>
      <c r="F43" s="14"/>
      <c r="G43" s="89">
        <v>11080</v>
      </c>
      <c r="K43" t="s">
        <v>59</v>
      </c>
      <c r="L43">
        <v>12</v>
      </c>
      <c r="M43" t="s">
        <v>90</v>
      </c>
      <c r="N43" s="74">
        <f t="shared" ref="N43:P45" si="12">MROUND(E43/$L43,1)</f>
        <v>467</v>
      </c>
      <c r="O43" s="74">
        <f t="shared" si="12"/>
        <v>0</v>
      </c>
      <c r="P43" s="74">
        <f t="shared" si="12"/>
        <v>923</v>
      </c>
    </row>
    <row r="44" spans="1:16" ht="16.149999999999999" customHeight="1" x14ac:dyDescent="0.2">
      <c r="A44" s="12" t="s">
        <v>144</v>
      </c>
      <c r="B44" s="9">
        <f>SUM(E44:G44)</f>
        <v>2340</v>
      </c>
      <c r="C44" s="13" t="s">
        <v>3</v>
      </c>
      <c r="D44" s="6"/>
      <c r="E44" s="89"/>
      <c r="F44" s="89">
        <v>2340</v>
      </c>
      <c r="G44" s="89"/>
      <c r="K44" t="s">
        <v>59</v>
      </c>
      <c r="L44">
        <v>4</v>
      </c>
      <c r="M44" t="s">
        <v>90</v>
      </c>
      <c r="N44" s="74">
        <f t="shared" ref="N44" si="13">MROUND(E44/$L44,1)</f>
        <v>0</v>
      </c>
      <c r="O44" s="74">
        <f t="shared" ref="O44" si="14">MROUND(F44/$L44,1)</f>
        <v>585</v>
      </c>
      <c r="P44" s="74">
        <f t="shared" ref="P44" si="15">MROUND(G44/$L44,1)</f>
        <v>0</v>
      </c>
    </row>
    <row r="45" spans="1:16" ht="16.149999999999999" customHeight="1" x14ac:dyDescent="0.2">
      <c r="A45" s="12" t="s">
        <v>145</v>
      </c>
      <c r="B45" s="9">
        <f>SUM(E45:G45)</f>
        <v>12740</v>
      </c>
      <c r="C45" s="13" t="s">
        <v>1</v>
      </c>
      <c r="D45" s="6"/>
      <c r="E45" s="89">
        <v>2100</v>
      </c>
      <c r="F45" s="89">
        <v>5100</v>
      </c>
      <c r="G45" s="89">
        <v>5540</v>
      </c>
      <c r="K45" t="s">
        <v>59</v>
      </c>
      <c r="L45">
        <v>80</v>
      </c>
      <c r="M45" t="s">
        <v>91</v>
      </c>
      <c r="N45" s="74">
        <f t="shared" si="12"/>
        <v>26</v>
      </c>
      <c r="O45" s="74">
        <f t="shared" si="12"/>
        <v>64</v>
      </c>
      <c r="P45" s="74">
        <f t="shared" si="12"/>
        <v>69</v>
      </c>
    </row>
    <row r="46" spans="1:16" ht="16.149999999999999" customHeight="1" x14ac:dyDescent="0.2">
      <c r="A46" s="12" t="s">
        <v>146</v>
      </c>
      <c r="B46" s="9">
        <f>SUM(E46:G46)</f>
        <v>8340</v>
      </c>
      <c r="C46" s="13" t="s">
        <v>109</v>
      </c>
      <c r="D46" s="6"/>
      <c r="E46" s="90">
        <f>E43/2</f>
        <v>2800</v>
      </c>
      <c r="F46" s="10"/>
      <c r="G46" s="90">
        <f t="shared" ref="G46" si="16">G43/2</f>
        <v>5540</v>
      </c>
      <c r="K46" t="s">
        <v>59</v>
      </c>
      <c r="L46">
        <v>50</v>
      </c>
      <c r="M46" t="s">
        <v>140</v>
      </c>
      <c r="N46" s="74">
        <f t="shared" ref="N46" si="17">MROUND(E46/$L46,1)</f>
        <v>56</v>
      </c>
      <c r="O46" s="74">
        <f t="shared" ref="O46" si="18">MROUND(F46/$L46,1)</f>
        <v>0</v>
      </c>
      <c r="P46" s="74">
        <f t="shared" ref="P46" si="19">MROUND(G46/$L46,1)</f>
        <v>111</v>
      </c>
    </row>
    <row r="47" spans="1:16" ht="16.149999999999999" customHeight="1" x14ac:dyDescent="0.2">
      <c r="A47" s="12"/>
      <c r="B47" s="9"/>
      <c r="C47" s="13"/>
      <c r="D47" s="6"/>
      <c r="E47" s="91"/>
      <c r="F47" s="20"/>
      <c r="G47" s="91"/>
    </row>
    <row r="48" spans="1:16" ht="16.149999999999999" customHeight="1" x14ac:dyDescent="0.2">
      <c r="A48" s="15" t="s">
        <v>12</v>
      </c>
      <c r="B48" s="4"/>
      <c r="C48" s="5"/>
      <c r="D48" s="6"/>
      <c r="E48" s="92"/>
      <c r="F48" s="5"/>
      <c r="G48" s="92"/>
    </row>
    <row r="49" spans="1:19" ht="16.149999999999999" customHeight="1" x14ac:dyDescent="0.2">
      <c r="A49" s="12" t="s">
        <v>158</v>
      </c>
      <c r="B49" s="9">
        <f>SUM(E49:G49)</f>
        <v>14800</v>
      </c>
      <c r="C49" s="13" t="s">
        <v>112</v>
      </c>
      <c r="D49" s="6"/>
      <c r="E49" s="90">
        <v>6400</v>
      </c>
      <c r="F49" s="90">
        <v>3400</v>
      </c>
      <c r="G49" s="90">
        <v>5000</v>
      </c>
      <c r="K49" t="s">
        <v>161</v>
      </c>
      <c r="L49">
        <v>20</v>
      </c>
      <c r="M49" t="s">
        <v>111</v>
      </c>
      <c r="Q49">
        <f>ROUNDUP(E49/$L$49,0)</f>
        <v>320</v>
      </c>
      <c r="R49">
        <f>ROUNDUP(F49/$L$49,0)</f>
        <v>170</v>
      </c>
      <c r="S49">
        <f>ROUNDUP(G49/$L$49,0)</f>
        <v>250</v>
      </c>
    </row>
    <row r="50" spans="1:19" ht="16.149999999999999" customHeight="1" x14ac:dyDescent="0.2">
      <c r="A50" s="87" t="s">
        <v>167</v>
      </c>
      <c r="B50" s="9">
        <f>SUM(E50:G50)</f>
        <v>14800</v>
      </c>
      <c r="C50" s="13" t="s">
        <v>112</v>
      </c>
      <c r="D50" s="6"/>
      <c r="E50" s="90">
        <v>6400</v>
      </c>
      <c r="F50" s="90">
        <v>3400</v>
      </c>
      <c r="G50" s="90">
        <v>5000</v>
      </c>
      <c r="I50" s="22" t="s">
        <v>30</v>
      </c>
      <c r="K50" t="s">
        <v>165</v>
      </c>
      <c r="L50">
        <f>L49/(5/60)</f>
        <v>240</v>
      </c>
      <c r="M50" t="s">
        <v>141</v>
      </c>
      <c r="N50">
        <f>MROUND(E50/$L50,1)</f>
        <v>27</v>
      </c>
      <c r="O50">
        <f>MROUND(F50/$L50,1)</f>
        <v>14</v>
      </c>
      <c r="P50">
        <f>MROUND(G50/$L50,1)</f>
        <v>21</v>
      </c>
    </row>
    <row r="51" spans="1:19" ht="16.149999999999999" customHeight="1" x14ac:dyDescent="0.2">
      <c r="A51" s="12" t="s">
        <v>159</v>
      </c>
      <c r="B51" s="9">
        <f>SUM(E51:G51)</f>
        <v>14800</v>
      </c>
      <c r="C51" s="13" t="s">
        <v>112</v>
      </c>
      <c r="D51" s="6"/>
      <c r="E51" s="90">
        <v>6400</v>
      </c>
      <c r="F51" s="90">
        <v>3400</v>
      </c>
      <c r="G51" s="90">
        <v>5000</v>
      </c>
      <c r="K51" t="s">
        <v>160</v>
      </c>
      <c r="L51">
        <v>50</v>
      </c>
      <c r="M51" t="s">
        <v>111</v>
      </c>
      <c r="Q51">
        <f>ROUNDUP(E51/$L$51,0)</f>
        <v>128</v>
      </c>
      <c r="R51">
        <f t="shared" ref="R51:S51" si="20">ROUNDUP(F51/$L$51,0)</f>
        <v>68</v>
      </c>
      <c r="S51">
        <f t="shared" si="20"/>
        <v>100</v>
      </c>
    </row>
    <row r="52" spans="1:19" ht="16.149999999999999" customHeight="1" x14ac:dyDescent="0.2">
      <c r="A52" s="12" t="s">
        <v>117</v>
      </c>
      <c r="B52" s="9">
        <f>SUM(E52:G52)</f>
        <v>14800</v>
      </c>
      <c r="C52" s="13" t="s">
        <v>112</v>
      </c>
      <c r="D52" s="6"/>
      <c r="E52" s="90">
        <v>6400</v>
      </c>
      <c r="F52" s="90">
        <v>3400</v>
      </c>
      <c r="G52" s="90">
        <v>5000</v>
      </c>
      <c r="I52" s="22" t="s">
        <v>42</v>
      </c>
      <c r="K52" t="s">
        <v>153</v>
      </c>
      <c r="L52">
        <v>20</v>
      </c>
      <c r="M52" t="s">
        <v>141</v>
      </c>
      <c r="N52" s="74">
        <f>MROUND(E52/$L52,1)</f>
        <v>320</v>
      </c>
      <c r="O52" s="74">
        <f>MROUND(F52/$L52,1)</f>
        <v>170</v>
      </c>
      <c r="P52" s="74">
        <f>MROUND(G52/$L52,1)</f>
        <v>250</v>
      </c>
    </row>
    <row r="53" spans="1:19" ht="16.149999999999999" customHeight="1" x14ac:dyDescent="0.2">
      <c r="A53" s="12" t="s">
        <v>142</v>
      </c>
      <c r="B53" s="9">
        <f>SUM(E53:G53)</f>
        <v>8750</v>
      </c>
      <c r="C53" s="13" t="s">
        <v>112</v>
      </c>
      <c r="D53" s="6"/>
      <c r="E53" s="90">
        <v>4000</v>
      </c>
      <c r="F53" s="90">
        <v>2750</v>
      </c>
      <c r="G53" s="90">
        <v>2000</v>
      </c>
      <c r="I53" s="22"/>
      <c r="K53" t="s">
        <v>94</v>
      </c>
      <c r="N53" s="74"/>
      <c r="O53" s="74"/>
      <c r="P53" s="74"/>
    </row>
    <row r="54" spans="1:19" ht="16.149999999999999" customHeight="1" x14ac:dyDescent="0.2">
      <c r="A54" s="12"/>
      <c r="B54" s="9"/>
      <c r="C54" s="13"/>
      <c r="D54" s="6"/>
      <c r="E54" s="10"/>
      <c r="F54" s="10"/>
      <c r="G54" s="10"/>
      <c r="I54" s="22"/>
      <c r="N54" s="74"/>
      <c r="O54" s="74"/>
      <c r="P54" s="74"/>
    </row>
    <row r="55" spans="1:19" ht="16.149999999999999" customHeight="1" x14ac:dyDescent="0.2">
      <c r="A55" s="77" t="s">
        <v>130</v>
      </c>
      <c r="B55" s="9"/>
      <c r="C55" s="13"/>
      <c r="D55" s="6"/>
      <c r="E55" s="10"/>
      <c r="F55" s="10"/>
      <c r="G55" s="10"/>
      <c r="I55" s="22"/>
      <c r="N55" s="74"/>
      <c r="O55" s="74"/>
      <c r="P55" s="74"/>
    </row>
    <row r="56" spans="1:19" ht="16.149999999999999" customHeight="1" x14ac:dyDescent="0.2">
      <c r="A56" s="12" t="s">
        <v>86</v>
      </c>
      <c r="B56" s="9">
        <f>SUM(E56:G56)</f>
        <v>50</v>
      </c>
      <c r="C56" s="13" t="s">
        <v>3</v>
      </c>
      <c r="D56" s="6"/>
      <c r="E56" s="10"/>
      <c r="F56" s="90">
        <f>F57</f>
        <v>50</v>
      </c>
      <c r="G56" s="10"/>
      <c r="I56" s="22"/>
      <c r="K56" t="s">
        <v>92</v>
      </c>
      <c r="L56">
        <v>20</v>
      </c>
      <c r="M56" t="s">
        <v>97</v>
      </c>
      <c r="Q56">
        <f>ROUNDUP(E56/$L$56,0)</f>
        <v>0</v>
      </c>
      <c r="R56">
        <f>ROUNDUP(F56/$L$56,0)</f>
        <v>3</v>
      </c>
      <c r="S56">
        <f>ROUNDUP(G56/$L$56,0)</f>
        <v>0</v>
      </c>
    </row>
    <row r="57" spans="1:19" ht="16.149999999999999" customHeight="1" x14ac:dyDescent="0.2">
      <c r="A57" s="12" t="s">
        <v>18</v>
      </c>
      <c r="B57" s="9">
        <f>SUM(E57:G57)</f>
        <v>50</v>
      </c>
      <c r="C57" s="13" t="s">
        <v>3</v>
      </c>
      <c r="D57" s="6"/>
      <c r="E57" s="10"/>
      <c r="F57" s="90">
        <v>50</v>
      </c>
      <c r="G57" s="10"/>
      <c r="I57" s="22" t="s">
        <v>43</v>
      </c>
      <c r="K57" t="s">
        <v>59</v>
      </c>
      <c r="L57">
        <v>1</v>
      </c>
      <c r="N57">
        <f>MROUND(E57/$L57,1)</f>
        <v>0</v>
      </c>
      <c r="O57" s="74">
        <f>MROUND(F57/$L57,1)</f>
        <v>50</v>
      </c>
      <c r="P57">
        <f>MROUND(G57/$L57,1)</f>
        <v>0</v>
      </c>
    </row>
    <row r="58" spans="1:19" ht="16.149999999999999" customHeight="1" x14ac:dyDescent="0.2">
      <c r="A58" s="12" t="s">
        <v>87</v>
      </c>
      <c r="B58" s="9">
        <f>SUM(E58:G58)</f>
        <v>100</v>
      </c>
      <c r="C58" s="13"/>
      <c r="D58" s="6"/>
      <c r="E58" s="10"/>
      <c r="F58" s="90">
        <f>F57*2</f>
        <v>100</v>
      </c>
      <c r="G58" s="10"/>
      <c r="I58" s="22"/>
      <c r="K58" t="s">
        <v>94</v>
      </c>
    </row>
    <row r="59" spans="1:19" ht="14.25" x14ac:dyDescent="0.2">
      <c r="B59" s="9"/>
      <c r="C59" s="13"/>
      <c r="D59" s="6"/>
      <c r="E59" s="10"/>
      <c r="F59" s="10"/>
      <c r="G59" s="10"/>
      <c r="I59" s="27"/>
    </row>
    <row r="60" spans="1:19" ht="14.25" x14ac:dyDescent="0.2">
      <c r="A60" s="77" t="s">
        <v>131</v>
      </c>
      <c r="B60" s="83"/>
      <c r="C60" s="13"/>
      <c r="D60" s="10"/>
      <c r="E60" s="10"/>
      <c r="F60" s="10"/>
      <c r="G60" s="10"/>
      <c r="I60" s="27"/>
    </row>
    <row r="61" spans="1:19" ht="14.25" x14ac:dyDescent="0.2">
      <c r="A61" s="78" t="s">
        <v>132</v>
      </c>
      <c r="B61" s="83">
        <f>E61+F61+G61</f>
        <v>19</v>
      </c>
      <c r="C61" s="13" t="s">
        <v>3</v>
      </c>
      <c r="D61" s="10"/>
      <c r="E61" s="90">
        <v>6</v>
      </c>
      <c r="F61" s="90">
        <v>2</v>
      </c>
      <c r="G61" s="90">
        <v>11</v>
      </c>
      <c r="K61" t="s">
        <v>94</v>
      </c>
    </row>
    <row r="62" spans="1:19" ht="14.25" x14ac:dyDescent="0.2">
      <c r="A62" s="78" t="s">
        <v>133</v>
      </c>
      <c r="B62" s="83">
        <f>E62+F62+G62</f>
        <v>200</v>
      </c>
      <c r="C62" s="13" t="s">
        <v>109</v>
      </c>
      <c r="D62" s="10"/>
      <c r="E62" s="10"/>
      <c r="F62" s="90">
        <v>200</v>
      </c>
      <c r="G62" s="10"/>
      <c r="K62" t="s">
        <v>94</v>
      </c>
    </row>
    <row r="63" spans="1:19" ht="14.25" x14ac:dyDescent="0.2">
      <c r="A63" s="78" t="s">
        <v>134</v>
      </c>
      <c r="B63" s="83">
        <f>E63+F63+G63</f>
        <v>2</v>
      </c>
      <c r="C63" s="13" t="s">
        <v>3</v>
      </c>
      <c r="D63" s="10"/>
      <c r="E63" s="10"/>
      <c r="F63" s="90">
        <v>2</v>
      </c>
      <c r="G63" s="10"/>
      <c r="K63" t="s">
        <v>94</v>
      </c>
    </row>
    <row r="64" spans="1:19" ht="14.25" x14ac:dyDescent="0.2">
      <c r="A64" s="78" t="s">
        <v>135</v>
      </c>
      <c r="B64" s="83">
        <f>E64+F64+G64</f>
        <v>1700</v>
      </c>
      <c r="C64" s="13" t="s">
        <v>109</v>
      </c>
      <c r="D64" s="10"/>
      <c r="E64" s="10"/>
      <c r="F64" s="90">
        <v>1700</v>
      </c>
      <c r="G64" s="10"/>
      <c r="K64" t="s">
        <v>94</v>
      </c>
    </row>
    <row r="65" spans="1:18" ht="14.25" x14ac:dyDescent="0.2">
      <c r="A65" s="78"/>
      <c r="B65" s="83"/>
      <c r="C65" s="5"/>
      <c r="D65" s="10"/>
      <c r="E65" s="10"/>
      <c r="F65" s="10"/>
      <c r="G65" s="10"/>
    </row>
    <row r="66" spans="1:18" ht="14.25" x14ac:dyDescent="0.2">
      <c r="A66" s="77" t="s">
        <v>162</v>
      </c>
      <c r="B66" s="83"/>
      <c r="C66" s="13"/>
      <c r="D66" s="10"/>
      <c r="E66" s="10"/>
      <c r="F66" s="10"/>
      <c r="G66" s="10"/>
      <c r="I66"/>
    </row>
    <row r="67" spans="1:18" ht="16.149999999999999" customHeight="1" x14ac:dyDescent="0.2">
      <c r="A67" s="78" t="s">
        <v>163</v>
      </c>
      <c r="B67" s="9">
        <f>B70</f>
        <v>900</v>
      </c>
      <c r="C67" s="13" t="s">
        <v>112</v>
      </c>
      <c r="D67" s="6"/>
      <c r="E67" s="10"/>
      <c r="F67" s="90">
        <f>F70</f>
        <v>900</v>
      </c>
      <c r="G67" s="10"/>
      <c r="K67" t="s">
        <v>161</v>
      </c>
      <c r="L67">
        <f>3*15*5</f>
        <v>225</v>
      </c>
      <c r="M67" t="s">
        <v>111</v>
      </c>
      <c r="O67">
        <f t="shared" ref="O67:O69" si="21">MROUND(F67/$L67,1)</f>
        <v>4</v>
      </c>
      <c r="R67">
        <f>ROUNDUP(F67/$L$67,0)</f>
        <v>4</v>
      </c>
    </row>
    <row r="68" spans="1:18" ht="16.149999999999999" customHeight="1" x14ac:dyDescent="0.2">
      <c r="A68" s="78" t="s">
        <v>166</v>
      </c>
      <c r="B68" s="9">
        <f>SUM(E68:G68)</f>
        <v>900</v>
      </c>
      <c r="C68" s="13" t="s">
        <v>112</v>
      </c>
      <c r="D68" s="6"/>
      <c r="E68" s="10"/>
      <c r="F68" s="90">
        <f>F70</f>
        <v>900</v>
      </c>
      <c r="G68" s="10"/>
      <c r="I68" s="22" t="s">
        <v>30</v>
      </c>
      <c r="K68" t="s">
        <v>165</v>
      </c>
      <c r="L68">
        <f>L67/(15/60)</f>
        <v>900</v>
      </c>
      <c r="M68" t="s">
        <v>156</v>
      </c>
      <c r="O68">
        <f t="shared" si="21"/>
        <v>1</v>
      </c>
    </row>
    <row r="69" spans="1:18" ht="16.149999999999999" customHeight="1" x14ac:dyDescent="0.2">
      <c r="A69" s="78" t="s">
        <v>164</v>
      </c>
      <c r="B69" s="9">
        <f>B70</f>
        <v>900</v>
      </c>
      <c r="C69" s="13" t="s">
        <v>112</v>
      </c>
      <c r="D69" s="6"/>
      <c r="E69" s="10"/>
      <c r="F69" s="90">
        <f>F70</f>
        <v>900</v>
      </c>
      <c r="G69" s="10"/>
      <c r="K69" t="s">
        <v>160</v>
      </c>
      <c r="L69">
        <f>10*4.5*5</f>
        <v>225</v>
      </c>
      <c r="M69" t="s">
        <v>111</v>
      </c>
      <c r="O69">
        <f t="shared" si="21"/>
        <v>4</v>
      </c>
      <c r="R69">
        <f>ROUNDUP(F69/$L$67,0)</f>
        <v>4</v>
      </c>
    </row>
    <row r="70" spans="1:18" ht="14.25" x14ac:dyDescent="0.2">
      <c r="A70" s="78" t="s">
        <v>168</v>
      </c>
      <c r="B70" s="83">
        <f t="shared" ref="B70" si="22">D70+E70+F70</f>
        <v>900</v>
      </c>
      <c r="C70" s="13" t="s">
        <v>112</v>
      </c>
      <c r="D70" s="10"/>
      <c r="E70" s="10"/>
      <c r="F70" s="90">
        <v>900</v>
      </c>
      <c r="G70" s="10"/>
      <c r="I70"/>
      <c r="K70" t="s">
        <v>165</v>
      </c>
      <c r="L70">
        <v>40</v>
      </c>
      <c r="M70" t="s">
        <v>156</v>
      </c>
      <c r="O70">
        <f>MROUND(F70/$L70,1)</f>
        <v>23</v>
      </c>
    </row>
    <row r="71" spans="1:18" ht="14.25" x14ac:dyDescent="0.2">
      <c r="A71" s="77"/>
      <c r="B71" s="83"/>
      <c r="C71" s="5"/>
      <c r="D71" s="10"/>
      <c r="E71" s="10"/>
      <c r="F71" s="10"/>
      <c r="G71" s="10"/>
    </row>
    <row r="72" spans="1:18" ht="14.25" x14ac:dyDescent="0.2">
      <c r="A72" s="78"/>
      <c r="B72" s="83"/>
      <c r="C72" s="13"/>
      <c r="D72" s="10"/>
      <c r="E72" s="10"/>
      <c r="F72" s="10"/>
      <c r="G72" s="10"/>
    </row>
    <row r="73" spans="1:18" ht="14.25" x14ac:dyDescent="0.2">
      <c r="A73" s="78"/>
      <c r="B73" s="83"/>
      <c r="C73" s="13"/>
      <c r="D73" s="10"/>
      <c r="E73" s="10"/>
      <c r="F73" s="10"/>
      <c r="G73" s="10"/>
    </row>
    <row r="74" spans="1:18" ht="14.25" x14ac:dyDescent="0.2">
      <c r="A74" s="78"/>
      <c r="B74" s="83"/>
      <c r="C74" s="13"/>
      <c r="D74" s="10"/>
      <c r="E74" s="10"/>
      <c r="F74" s="10"/>
      <c r="G74" s="10"/>
    </row>
    <row r="75" spans="1:18" ht="14.25" x14ac:dyDescent="0.2">
      <c r="A75" s="78"/>
      <c r="B75" s="83"/>
      <c r="C75" s="13"/>
      <c r="D75" s="10"/>
      <c r="E75" s="10"/>
      <c r="F75" s="10"/>
      <c r="G75" s="10"/>
    </row>
  </sheetData>
  <phoneticPr fontId="10" type="noConversion"/>
  <conditionalFormatting sqref="A19 A23:A24 A28:A31 A38:A40 A42 A52:A54 A56:A58">
    <cfRule type="expression" dxfId="22" priority="40">
      <formula>H19="Kopje"</formula>
    </cfRule>
  </conditionalFormatting>
  <conditionalFormatting sqref="A33:A36">
    <cfRule type="expression" dxfId="21" priority="39">
      <formula>H33="Kopje"</formula>
    </cfRule>
  </conditionalFormatting>
  <conditionalFormatting sqref="A50">
    <cfRule type="expression" dxfId="17" priority="1">
      <formula>G50="Kopje"</formula>
    </cfRule>
  </conditionalFormatting>
  <conditionalFormatting sqref="A55">
    <cfRule type="expression" dxfId="15" priority="6">
      <formula>#REF!="Kopje"</formula>
    </cfRule>
  </conditionalFormatting>
  <conditionalFormatting sqref="A60:A64">
    <cfRule type="expression" dxfId="14" priority="153">
      <formula>G76="Kopje"</formula>
    </cfRule>
  </conditionalFormatting>
  <conditionalFormatting sqref="A66:A70">
    <cfRule type="expression" dxfId="13" priority="4">
      <formula>G66="Kopje"</formula>
    </cfRule>
  </conditionalFormatting>
  <conditionalFormatting sqref="A71">
    <cfRule type="expression" dxfId="12" priority="16">
      <formula>#REF!="Kopje"</formula>
    </cfRule>
  </conditionalFormatting>
  <conditionalFormatting sqref="E19 E24">
    <cfRule type="expression" dxfId="11" priority="22">
      <formula>K21="Kopje"</formula>
    </cfRule>
  </conditionalFormatting>
  <conditionalFormatting sqref="E29">
    <cfRule type="expression" dxfId="10" priority="158">
      <formula>#REF!="Kopje"</formula>
    </cfRule>
  </conditionalFormatting>
  <conditionalFormatting sqref="E30:E31 A65">
    <cfRule type="expression" dxfId="9" priority="15">
      <formula>G31="Kopje"</formula>
    </cfRule>
  </conditionalFormatting>
  <conditionalFormatting sqref="E33:E36 E39:E40">
    <cfRule type="expression" dxfId="8" priority="23">
      <formula>K34="Kopje"</formula>
    </cfRule>
  </conditionalFormatting>
  <conditionalFormatting sqref="E43:F45 A72:A75">
    <cfRule type="expression" dxfId="7" priority="17">
      <formula>G43="Kopje"</formula>
    </cfRule>
  </conditionalFormatting>
  <conditionalFormatting sqref="F29:F31 F39:F40">
    <cfRule type="expression" dxfId="6" priority="20">
      <formula>L29="Kopje"</formula>
    </cfRule>
  </conditionalFormatting>
  <conditionalFormatting sqref="F33:F36">
    <cfRule type="expression" dxfId="5" priority="19">
      <formula>L33="Kopje"</formula>
    </cfRule>
  </conditionalFormatting>
  <conditionalFormatting sqref="F19:G19 F24:G24 G29:G31 G33:G36 E38:F38 G38:G40 G43:G45">
    <cfRule type="expression" dxfId="4" priority="21">
      <formula>M19="Kopje"</formula>
    </cfRule>
  </conditionalFormatting>
  <conditionalFormatting sqref="I19">
    <cfRule type="expression" dxfId="3" priority="32">
      <formula>O19="Kopje"</formula>
    </cfRule>
  </conditionalFormatting>
  <conditionalFormatting sqref="I29:I31">
    <cfRule type="expression" dxfId="2" priority="33">
      <formula>O29="Kopje"</formula>
    </cfRule>
  </conditionalFormatting>
  <conditionalFormatting sqref="I34:I36">
    <cfRule type="expression" dxfId="1" priority="31">
      <formula>O34="Kopje"</formula>
    </cfRule>
  </conditionalFormatting>
  <conditionalFormatting sqref="I38:I40">
    <cfRule type="expression" dxfId="0" priority="36">
      <formula>O38="Kopje"</formula>
    </cfRule>
  </conditionalFormatting>
  <pageMargins left="0.7" right="0.7" top="0.75" bottom="0.75" header="0.3" footer="0.3"/>
  <headerFooter>
    <oddFooter>&amp;L_x000D_&amp;1#&amp;"Calibri"&amp;10&amp;K000000 Intern gebruik</oddFooter>
  </headerFooter>
  <legacyDrawing r:id="rId1"/>
  <extLst>
    <ext xmlns:x14="http://schemas.microsoft.com/office/spreadsheetml/2009/9/main" uri="{78C0D931-6437-407d-A8EE-F0AAD7539E65}">
      <x14:conditionalFormattings>
        <x14:conditionalFormatting xmlns:xm="http://schemas.microsoft.com/office/excel/2006/main">
          <x14:cfRule type="expression" priority="145" id="{00000000-000E-0000-0200-000018000000}">
            <xm:f>'Hoeveelheden ontwerp'!G38="Kopje"</xm:f>
            <x14:dxf>
              <font>
                <b val="0"/>
                <i/>
              </font>
            </x14:dxf>
          </x14:cfRule>
          <xm:sqref>A43:A44</xm:sqref>
        </x14:conditionalFormatting>
        <x14:conditionalFormatting xmlns:xm="http://schemas.microsoft.com/office/excel/2006/main">
          <x14:cfRule type="expression" priority="155" id="{00000000-000E-0000-0200-000018000000}">
            <xm:f>'Hoeveelheden ontwerp'!G39="Kopje"</xm:f>
            <x14:dxf>
              <font>
                <b val="0"/>
                <i/>
              </font>
            </x14:dxf>
          </x14:cfRule>
          <xm:sqref>A45:A47</xm:sqref>
        </x14:conditionalFormatting>
        <x14:conditionalFormatting xmlns:xm="http://schemas.microsoft.com/office/excel/2006/main">
          <x14:cfRule type="expression" priority="166" id="{00000000-000E-0000-0200-000018000000}">
            <xm:f>'Hoeveelheden ontwerp'!#REF!="Kopje"</xm:f>
            <x14:dxf>
              <font>
                <b val="0"/>
                <i/>
              </font>
            </x14:dxf>
          </x14:cfRule>
          <xm:sqref>A49</xm:sqref>
        </x14:conditionalFormatting>
        <x14:conditionalFormatting xmlns:xm="http://schemas.microsoft.com/office/excel/2006/main">
          <x14:cfRule type="expression" priority="161" id="{00000000-000E-0000-0200-000018000000}">
            <xm:f>'Hoeveelheden ontwerp'!G45="Kopje"</xm:f>
            <x14:dxf>
              <font>
                <b val="0"/>
                <i/>
              </font>
            </x14:dxf>
          </x14:cfRule>
          <xm:sqref>A51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A999B-2F7F-4184-B717-AB641B331D83}">
  <dimension ref="A1:A45"/>
  <sheetViews>
    <sheetView topLeftCell="A46" zoomScaleNormal="100" workbookViewId="0">
      <selection activeCell="H70" sqref="H70"/>
    </sheetView>
  </sheetViews>
  <sheetFormatPr defaultRowHeight="12" x14ac:dyDescent="0.2"/>
  <sheetData>
    <row r="1" spans="1:1" x14ac:dyDescent="0.2">
      <c r="A1" s="32" t="s">
        <v>169</v>
      </c>
    </row>
    <row r="25" spans="1:1" x14ac:dyDescent="0.2">
      <c r="A25" s="32" t="s">
        <v>170</v>
      </c>
    </row>
    <row r="45" spans="1:1" x14ac:dyDescent="0.2">
      <c r="A45" s="32" t="s">
        <v>171</v>
      </c>
    </row>
  </sheetData>
  <pageMargins left="0.7" right="0.7" top="0.75" bottom="0.75" header="0.3" footer="0.3"/>
  <headerFooter>
    <oddFooter>&amp;L_x000D_&amp;1#&amp;"Calibri"&amp;10&amp;K000000 Intern gebruik</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E48C3BE23B324E89C96B53711984D4" ma:contentTypeVersion="11" ma:contentTypeDescription="Een nieuw document maken." ma:contentTypeScope="" ma:versionID="40584274c5f229635a4caeb80e7e2190">
  <xsd:schema xmlns:xsd="http://www.w3.org/2001/XMLSchema" xmlns:xs="http://www.w3.org/2001/XMLSchema" xmlns:p="http://schemas.microsoft.com/office/2006/metadata/properties" xmlns:ns2="122b6854-06b8-4ffb-ad34-0433e4cc689e" xmlns:ns3="130062be-93d5-45af-8397-4598fe8ea00a" targetNamespace="http://schemas.microsoft.com/office/2006/metadata/properties" ma:root="true" ma:fieldsID="3465d367239bca944e060554ee23f530" ns2:_="" ns3:_="">
    <xsd:import namespace="122b6854-06b8-4ffb-ad34-0433e4cc689e"/>
    <xsd:import namespace="130062be-93d5-45af-8397-4598fe8ea0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b6854-06b8-4ffb-ad34-0433e4cc68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aeb5d102-68e6-440d-87f4-70862945903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062be-93d5-45af-8397-4598fe8ea0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00d231d-ac6c-47e1-8b0d-135ea6ac3115}" ma:internalName="TaxCatchAll" ma:showField="CatchAllData" ma:web="130062be-93d5-45af-8397-4598fe8ea0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30062be-93d5-45af-8397-4598fe8ea00a" xsi:nil="true"/>
    <lcf76f155ced4ddcb4097134ff3c332f xmlns="122b6854-06b8-4ffb-ad34-0433e4cc68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0CECFD2-9443-46F1-BE52-1D249E0C8CA4}"/>
</file>

<file path=customXml/itemProps2.xml><?xml version="1.0" encoding="utf-8"?>
<ds:datastoreItem xmlns:ds="http://schemas.openxmlformats.org/officeDocument/2006/customXml" ds:itemID="{341A7B75-4F61-4031-89CC-D085E67CA069}"/>
</file>

<file path=customXml/itemProps3.xml><?xml version="1.0" encoding="utf-8"?>
<ds:datastoreItem xmlns:ds="http://schemas.openxmlformats.org/officeDocument/2006/customXml" ds:itemID="{600B139B-1316-4644-8AD0-092283700EFF}"/>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Hoeveelheden ontwerp</vt:lpstr>
      <vt:lpstr>Blad1</vt:lpstr>
      <vt:lpstr>Cyclustijden</vt:lpstr>
      <vt:lpstr>Materieelinzet</vt:lpstr>
      <vt:lpstr>Kaartjes met locaties en routes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Gebruiker</cp:lastModifiedBy>
  <cp:lastPrinted>2024-07-16T08:53:21Z</cp:lastPrinted>
  <dcterms:created xsi:type="dcterms:W3CDTF">2023-09-26T07:22:08Z</dcterms:created>
  <dcterms:modified xsi:type="dcterms:W3CDTF">2025-07-07T12:49:37Z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0x010100DCE48C3BE23B324E89C96B53711984D4</vt:lpwstr>
  </property>
</Properties>
</file>