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2.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T:\rvo\Kluis_Beleidsadvisering_SDE_MEP\2025\Haalbaarheidsstudie SDE++ 2025\Definitieve versies\"/>
    </mc:Choice>
  </mc:AlternateContent>
  <xr:revisionPtr revIDLastSave="0" documentId="13_ncr:1_{5233255C-6E4D-4466-85C2-9B7D6B5390AC}" xr6:coauthVersionLast="47" xr6:coauthVersionMax="47" xr10:uidLastSave="{00000000-0000-0000-0000-000000000000}"/>
  <workbookProtection workbookAlgorithmName="SHA-512" workbookHashValue="Pdo3ec1MJMlE10X/I6C6MhK7/w7zCOglkUP2f8o6VSD8bk3FrMplkWEbnbRofEUkZSMkGhs5a5cioFoTworx1g==" workbookSaltValue="XXl6P6KfIE2gJFhMiJ2mGQ==" workbookSpinCount="100000" lockStructure="1"/>
  <bookViews>
    <workbookView xWindow="-120" yWindow="-120" windowWidth="29040" windowHeight="17640" xr2:uid="{FEB83FE9-37A0-456F-83DE-888987527C12}"/>
  </bookViews>
  <sheets>
    <sheet name="Invulinstructie_disclaimer" sheetId="1" r:id="rId1"/>
    <sheet name="Financiering_en_projectplan" sheetId="2" r:id="rId2"/>
    <sheet name="Productie_en_afzet" sheetId="3" r:id="rId3"/>
    <sheet name="Exploitatieberekening" sheetId="4" r:id="rId4"/>
    <sheet name="Overzicht bijlagen" sheetId="5" r:id="rId5"/>
    <sheet name="Hulpblad_categorieën_parameters" sheetId="6" state="hidden" r:id="rId6"/>
    <sheet name="PBL_OT_2025" sheetId="11" state="hidden" r:id="rId7"/>
    <sheet name="Hulpblad_overig" sheetId="7" state="hidden" r:id="rId8"/>
    <sheet name="Alternat.rendementsberekening" sheetId="8"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1" i="4" l="1"/>
  <c r="L146" i="4"/>
  <c r="H15" i="2" l="1"/>
  <c r="H17" i="2"/>
  <c r="A59" i="5" s="1"/>
  <c r="O82" i="4"/>
  <c r="P82" i="4"/>
  <c r="Q82" i="4" s="1"/>
  <c r="R82" i="4" s="1"/>
  <c r="S82" i="4" s="1"/>
  <c r="AD230" i="6" l="1"/>
  <c r="AD229" i="6"/>
  <c r="AD88" i="6"/>
  <c r="AD89" i="6"/>
  <c r="AD90" i="6"/>
  <c r="AD91" i="6"/>
  <c r="AD92" i="6"/>
  <c r="AD93" i="6"/>
  <c r="AD94" i="6"/>
  <c r="AD97" i="6"/>
  <c r="AD98" i="6"/>
  <c r="AD99" i="6"/>
  <c r="AD100" i="6"/>
  <c r="AD101" i="6"/>
  <c r="AD102" i="6"/>
  <c r="AD103" i="6"/>
  <c r="AD104" i="6"/>
  <c r="AD105" i="6"/>
  <c r="AD108" i="6"/>
  <c r="AD109" i="6"/>
  <c r="AD110" i="6"/>
  <c r="AD111" i="6"/>
  <c r="AD112" i="6"/>
  <c r="AD113" i="6"/>
  <c r="AD114" i="6"/>
  <c r="AD115" i="6"/>
  <c r="AD116" i="6"/>
  <c r="AD117" i="6"/>
  <c r="AD118" i="6"/>
  <c r="AD119" i="6"/>
  <c r="AD122" i="6"/>
  <c r="AD123" i="6"/>
  <c r="AD124" i="6"/>
  <c r="AD125" i="6"/>
  <c r="AD126" i="6"/>
  <c r="AD127" i="6"/>
  <c r="AD128" i="6"/>
  <c r="AD129" i="6"/>
  <c r="AD130" i="6"/>
  <c r="AD131" i="6"/>
  <c r="AD132" i="6"/>
  <c r="AD133" i="6"/>
  <c r="AD134" i="6"/>
  <c r="AD135" i="6"/>
  <c r="AD136" i="6"/>
  <c r="AD139" i="6"/>
  <c r="AD140" i="6"/>
  <c r="AD141" i="6"/>
  <c r="AD142" i="6"/>
  <c r="AD143" i="6"/>
  <c r="AD144" i="6"/>
  <c r="AD145" i="6"/>
  <c r="AD146" i="6"/>
  <c r="AD147" i="6"/>
  <c r="AD148" i="6"/>
  <c r="AD149" i="6"/>
  <c r="AD150" i="6"/>
  <c r="AD151" i="6"/>
  <c r="AD152" i="6"/>
  <c r="AD155" i="6"/>
  <c r="AD158" i="6"/>
  <c r="AD159" i="6"/>
  <c r="AD160" i="6"/>
  <c r="AD161" i="6"/>
  <c r="AD164" i="6"/>
  <c r="AD165" i="6"/>
  <c r="AD168" i="6"/>
  <c r="AD169" i="6"/>
  <c r="AD170" i="6"/>
  <c r="AD171" i="6"/>
  <c r="AD172" i="6"/>
  <c r="AD173" i="6"/>
  <c r="AD174" i="6"/>
  <c r="AD175" i="6"/>
  <c r="AD176" i="6"/>
  <c r="AD177" i="6"/>
  <c r="AD178" i="6"/>
  <c r="AD179" i="6"/>
  <c r="AD180" i="6"/>
  <c r="AD181" i="6"/>
  <c r="AD182" i="6"/>
  <c r="AD185" i="6"/>
  <c r="AD186" i="6"/>
  <c r="AD187" i="6"/>
  <c r="AD188" i="6"/>
  <c r="AD189" i="6"/>
  <c r="AD190" i="6"/>
  <c r="AD191" i="6"/>
  <c r="AD192" i="6"/>
  <c r="AD193" i="6"/>
  <c r="AD194" i="6"/>
  <c r="AD195" i="6"/>
  <c r="AD196" i="6"/>
  <c r="AD197" i="6"/>
  <c r="AD198" i="6"/>
  <c r="AD199" i="6"/>
  <c r="AD202" i="6"/>
  <c r="AD203" i="6"/>
  <c r="AD204" i="6"/>
  <c r="AD205" i="6"/>
  <c r="AD252" i="6"/>
  <c r="AD253" i="6"/>
  <c r="AD254" i="6"/>
  <c r="AD257" i="6"/>
  <c r="AD258" i="6"/>
  <c r="AD259" i="6"/>
  <c r="AD260" i="6"/>
  <c r="AD261" i="6"/>
  <c r="AD262" i="6"/>
  <c r="AD263" i="6"/>
  <c r="AD264" i="6"/>
  <c r="AD265" i="6"/>
  <c r="AD266" i="6"/>
  <c r="AD267" i="6"/>
  <c r="AD268" i="6"/>
  <c r="AD271" i="6"/>
  <c r="AD272" i="6"/>
  <c r="AD273" i="6"/>
  <c r="AD274" i="6"/>
  <c r="AD275" i="6"/>
  <c r="AD276" i="6"/>
  <c r="AD277" i="6"/>
  <c r="AD278" i="6"/>
  <c r="AD279" i="6"/>
  <c r="AD280" i="6"/>
  <c r="AD281" i="6"/>
  <c r="AD284" i="6"/>
  <c r="AD285" i="6"/>
  <c r="AD286" i="6"/>
  <c r="AD287" i="6"/>
  <c r="AD288" i="6"/>
  <c r="AD289" i="6"/>
  <c r="AD290" i="6"/>
  <c r="AD293" i="6"/>
  <c r="AD296" i="6"/>
  <c r="AD297" i="6"/>
  <c r="AD298" i="6"/>
  <c r="AD299" i="6"/>
  <c r="AD300" i="6"/>
  <c r="AD301" i="6"/>
  <c r="AD302" i="6"/>
  <c r="AD303" i="6"/>
  <c r="AD304" i="6"/>
  <c r="AD307" i="6"/>
  <c r="AD308" i="6"/>
  <c r="AD309" i="6"/>
  <c r="AD310" i="6"/>
  <c r="AD311" i="6"/>
  <c r="AD312" i="6"/>
  <c r="AD313" i="6"/>
  <c r="AD314" i="6"/>
  <c r="AD315" i="6"/>
  <c r="AD318" i="6"/>
  <c r="AD319" i="6"/>
  <c r="AD320" i="6"/>
  <c r="AD321" i="6"/>
  <c r="AD322" i="6"/>
  <c r="AD323" i="6"/>
  <c r="AD324" i="6"/>
  <c r="AD325" i="6"/>
  <c r="AD328" i="6"/>
  <c r="AD329" i="6"/>
  <c r="AD330" i="6"/>
  <c r="AD331" i="6"/>
  <c r="AD332" i="6"/>
  <c r="AD87" i="6"/>
  <c r="H329" i="6" l="1"/>
  <c r="B190" i="7"/>
  <c r="A1" i="5" l="1"/>
  <c r="A1" i="4"/>
  <c r="A1" i="3"/>
  <c r="A1" i="2"/>
  <c r="B206" i="7"/>
  <c r="B203" i="7"/>
  <c r="B185" i="7"/>
  <c r="B182" i="7"/>
  <c r="AA321" i="6" l="1"/>
  <c r="AA322" i="6"/>
  <c r="AD226" i="6"/>
  <c r="AD225" i="6"/>
  <c r="AD224" i="6"/>
  <c r="AD249" i="6"/>
  <c r="AD248" i="6"/>
  <c r="AD247" i="6"/>
  <c r="AD246" i="6"/>
  <c r="AD245" i="6"/>
  <c r="AD244" i="6"/>
  <c r="AD243" i="6"/>
  <c r="AD242" i="6"/>
  <c r="AD241" i="6"/>
  <c r="AD240" i="6"/>
  <c r="AD239" i="6"/>
  <c r="AD238" i="6"/>
  <c r="AD235" i="6"/>
  <c r="AD234" i="6"/>
  <c r="AD233" i="6"/>
  <c r="AE230" i="6"/>
  <c r="AE229" i="6"/>
  <c r="AE226" i="6"/>
  <c r="AE225" i="6"/>
  <c r="AE224" i="6"/>
  <c r="AE221" i="6"/>
  <c r="AE220" i="6"/>
  <c r="AE219" i="6"/>
  <c r="AE218" i="6"/>
  <c r="AE217" i="6"/>
  <c r="AE216" i="6"/>
  <c r="AE213" i="6"/>
  <c r="AE212" i="6"/>
  <c r="AE211" i="6"/>
  <c r="AE210" i="6"/>
  <c r="AE209" i="6"/>
  <c r="AE208" i="6"/>
  <c r="AE233" i="6"/>
  <c r="AE234" i="6"/>
  <c r="AE235" i="6"/>
  <c r="AE238" i="6"/>
  <c r="AE239" i="6"/>
  <c r="AE240" i="6"/>
  <c r="AE241" i="6"/>
  <c r="AE242" i="6"/>
  <c r="AE243" i="6"/>
  <c r="AE244" i="6"/>
  <c r="AE245" i="6"/>
  <c r="AE246" i="6"/>
  <c r="AE247" i="6"/>
  <c r="AE248" i="6"/>
  <c r="AE249" i="6"/>
  <c r="AE252" i="6"/>
  <c r="AE253" i="6"/>
  <c r="AE254" i="6"/>
  <c r="AE257" i="6"/>
  <c r="AE258" i="6"/>
  <c r="AE259" i="6"/>
  <c r="AE260" i="6"/>
  <c r="AE261" i="6"/>
  <c r="AE262" i="6"/>
  <c r="AE263" i="6"/>
  <c r="AE264" i="6"/>
  <c r="AE265" i="6"/>
  <c r="AE266" i="6"/>
  <c r="AE267" i="6"/>
  <c r="AE268" i="6"/>
  <c r="AC293" i="6"/>
  <c r="AE293" i="6" s="1"/>
  <c r="AC290" i="6"/>
  <c r="AE290" i="6" s="1"/>
  <c r="AC289" i="6"/>
  <c r="AE289" i="6" s="1"/>
  <c r="AC288" i="6"/>
  <c r="AE288" i="6" s="1"/>
  <c r="AC287" i="6"/>
  <c r="AE287" i="6" s="1"/>
  <c r="AC286" i="6"/>
  <c r="AE286" i="6" s="1"/>
  <c r="AC285" i="6"/>
  <c r="AE285" i="6" s="1"/>
  <c r="AC284" i="6"/>
  <c r="AE284" i="6" s="1"/>
  <c r="AC281" i="6"/>
  <c r="AE281" i="6" s="1"/>
  <c r="AC280" i="6"/>
  <c r="AE280" i="6" s="1"/>
  <c r="AC279" i="6"/>
  <c r="AE279" i="6" s="1"/>
  <c r="AC278" i="6"/>
  <c r="AE278" i="6" s="1"/>
  <c r="AC277" i="6"/>
  <c r="AE277" i="6" s="1"/>
  <c r="AC276" i="6"/>
  <c r="AE276" i="6" s="1"/>
  <c r="AC275" i="6"/>
  <c r="AE275" i="6" s="1"/>
  <c r="AC274" i="6"/>
  <c r="AE274" i="6" s="1"/>
  <c r="AC273" i="6"/>
  <c r="AE273" i="6" s="1"/>
  <c r="AC272" i="6"/>
  <c r="AE272" i="6" s="1"/>
  <c r="AC271" i="6"/>
  <c r="AE271" i="6" s="1"/>
  <c r="AC332" i="6"/>
  <c r="AC331" i="6"/>
  <c r="AC330" i="6"/>
  <c r="AC329" i="6"/>
  <c r="AC328" i="6"/>
  <c r="AC325" i="6"/>
  <c r="AC324" i="6"/>
  <c r="AC323" i="6"/>
  <c r="AC322" i="6"/>
  <c r="AC321" i="6"/>
  <c r="AC320" i="6"/>
  <c r="AC319" i="6"/>
  <c r="AC318" i="6"/>
  <c r="AE319" i="6"/>
  <c r="AE320" i="6"/>
  <c r="AE321" i="6"/>
  <c r="AE322" i="6"/>
  <c r="AE323" i="6"/>
  <c r="AE324" i="6"/>
  <c r="AE325" i="6"/>
  <c r="AC315" i="6"/>
  <c r="AC314" i="6"/>
  <c r="AC313" i="6"/>
  <c r="AC312" i="6"/>
  <c r="AC311" i="6"/>
  <c r="AC310" i="6"/>
  <c r="AC309" i="6"/>
  <c r="AC308" i="6"/>
  <c r="AC307" i="6"/>
  <c r="AE307" i="6" s="1"/>
  <c r="AC304" i="6"/>
  <c r="AE304" i="6" s="1"/>
  <c r="AC303" i="6"/>
  <c r="AE303" i="6" s="1"/>
  <c r="AC302" i="6"/>
  <c r="AE302" i="6" s="1"/>
  <c r="AC301" i="6"/>
  <c r="AE301" i="6" s="1"/>
  <c r="AC300" i="6"/>
  <c r="AE300" i="6" s="1"/>
  <c r="AC299" i="6"/>
  <c r="AE299" i="6" s="1"/>
  <c r="AC298" i="6"/>
  <c r="AE298" i="6" s="1"/>
  <c r="AC297" i="6"/>
  <c r="AE297" i="6" s="1"/>
  <c r="AC296" i="6"/>
  <c r="AC204" i="6"/>
  <c r="AC202" i="6"/>
  <c r="AC205" i="6"/>
  <c r="AC203" i="6"/>
  <c r="AE205" i="6"/>
  <c r="AC199" i="6"/>
  <c r="AE199" i="6" s="1"/>
  <c r="AC198" i="6"/>
  <c r="AE198" i="6" s="1"/>
  <c r="AC197" i="6"/>
  <c r="AE197" i="6" s="1"/>
  <c r="AC196" i="6"/>
  <c r="AE196" i="6" s="1"/>
  <c r="AC195" i="6"/>
  <c r="AE195" i="6" s="1"/>
  <c r="AC194" i="6"/>
  <c r="AE194" i="6" s="1"/>
  <c r="AC193" i="6"/>
  <c r="AE193" i="6" s="1"/>
  <c r="AC192" i="6"/>
  <c r="AE192" i="6" s="1"/>
  <c r="AC191" i="6"/>
  <c r="AE191" i="6" s="1"/>
  <c r="AC190" i="6"/>
  <c r="AE190" i="6" s="1"/>
  <c r="AC189" i="6"/>
  <c r="AE189" i="6" s="1"/>
  <c r="AC188" i="6"/>
  <c r="AE188" i="6" s="1"/>
  <c r="AC187" i="6"/>
  <c r="AE187" i="6" s="1"/>
  <c r="AC186" i="6"/>
  <c r="AE186" i="6" s="1"/>
  <c r="AC185" i="6"/>
  <c r="AH189" i="6"/>
  <c r="AH190" i="6"/>
  <c r="AH191" i="6"/>
  <c r="AH192" i="6"/>
  <c r="AH193" i="6"/>
  <c r="AH194" i="6"/>
  <c r="AH195" i="6"/>
  <c r="AH196" i="6"/>
  <c r="AH197" i="6"/>
  <c r="AH198" i="6"/>
  <c r="AH199" i="6"/>
  <c r="AC182" i="6"/>
  <c r="AC181" i="6"/>
  <c r="AC180" i="6"/>
  <c r="AC179" i="6"/>
  <c r="AC178" i="6"/>
  <c r="AC177" i="6"/>
  <c r="AC176" i="6"/>
  <c r="AC175" i="6"/>
  <c r="AC174" i="6"/>
  <c r="AC173" i="6"/>
  <c r="AC172" i="6"/>
  <c r="AC171" i="6"/>
  <c r="AC170" i="6"/>
  <c r="AC169" i="6"/>
  <c r="AC168" i="6"/>
  <c r="AC164" i="6"/>
  <c r="AC165" i="6"/>
  <c r="AC161" i="6"/>
  <c r="AE161" i="6" s="1"/>
  <c r="AC160" i="6"/>
  <c r="AE160" i="6" s="1"/>
  <c r="AC159" i="6"/>
  <c r="AE159" i="6" s="1"/>
  <c r="AC158" i="6"/>
  <c r="AC155" i="6"/>
  <c r="AC152" i="6"/>
  <c r="AE152" i="6" s="1"/>
  <c r="AC151" i="6"/>
  <c r="AE151" i="6" s="1"/>
  <c r="AC150" i="6"/>
  <c r="AE150" i="6" s="1"/>
  <c r="AC149" i="6"/>
  <c r="AE149" i="6" s="1"/>
  <c r="AC148" i="6"/>
  <c r="AE148" i="6" s="1"/>
  <c r="AC147" i="6"/>
  <c r="AE147" i="6" s="1"/>
  <c r="AC146" i="6"/>
  <c r="AE146" i="6" s="1"/>
  <c r="AC145" i="6"/>
  <c r="AE145" i="6" s="1"/>
  <c r="AC144" i="6"/>
  <c r="AE144" i="6" s="1"/>
  <c r="AC143" i="6"/>
  <c r="AE143" i="6" s="1"/>
  <c r="AC142" i="6"/>
  <c r="AE142" i="6" s="1"/>
  <c r="AC141" i="6"/>
  <c r="AE141" i="6" s="1"/>
  <c r="AC140" i="6"/>
  <c r="AE140" i="6" s="1"/>
  <c r="AC139" i="6"/>
  <c r="AC135" i="6"/>
  <c r="AE135" i="6" s="1"/>
  <c r="AC136" i="6"/>
  <c r="AE136" i="6" s="1"/>
  <c r="AC134" i="6"/>
  <c r="AE134" i="6" s="1"/>
  <c r="AC133" i="6"/>
  <c r="AE133" i="6" s="1"/>
  <c r="AC132" i="6"/>
  <c r="AE132" i="6" s="1"/>
  <c r="AC131" i="6"/>
  <c r="AE131" i="6" s="1"/>
  <c r="AC130" i="6"/>
  <c r="AE130" i="6" s="1"/>
  <c r="AC129" i="6"/>
  <c r="AE129" i="6" s="1"/>
  <c r="AC128" i="6"/>
  <c r="AE128" i="6" s="1"/>
  <c r="AC127" i="6"/>
  <c r="AE127" i="6" s="1"/>
  <c r="AC126" i="6"/>
  <c r="AE126" i="6" s="1"/>
  <c r="AC125" i="6"/>
  <c r="AE125" i="6" s="1"/>
  <c r="AC124" i="6"/>
  <c r="AE124" i="6" s="1"/>
  <c r="AC123" i="6"/>
  <c r="AE123" i="6" s="1"/>
  <c r="AC122" i="6"/>
  <c r="AC94" i="6"/>
  <c r="AE94" i="6" s="1"/>
  <c r="AC93" i="6"/>
  <c r="AE93" i="6" s="1"/>
  <c r="AC92" i="6"/>
  <c r="AE92" i="6" s="1"/>
  <c r="AC91" i="6"/>
  <c r="AE91" i="6" s="1"/>
  <c r="AC90" i="6"/>
  <c r="AE90" i="6" s="1"/>
  <c r="AC89" i="6"/>
  <c r="AE89" i="6" s="1"/>
  <c r="AC88" i="6"/>
  <c r="AE88" i="6" s="1"/>
  <c r="AC87" i="6"/>
  <c r="AC119" i="6"/>
  <c r="AE119" i="6" s="1"/>
  <c r="AC118" i="6"/>
  <c r="AE118" i="6" s="1"/>
  <c r="AC117" i="6"/>
  <c r="AE117" i="6" s="1"/>
  <c r="AC116" i="6"/>
  <c r="AE116" i="6" s="1"/>
  <c r="AC115" i="6"/>
  <c r="AE115" i="6" s="1"/>
  <c r="AC114" i="6"/>
  <c r="AE114" i="6" s="1"/>
  <c r="AC113" i="6"/>
  <c r="AE113" i="6" s="1"/>
  <c r="AC112" i="6"/>
  <c r="AE112" i="6" s="1"/>
  <c r="AC111" i="6"/>
  <c r="AE111" i="6" s="1"/>
  <c r="AC110" i="6"/>
  <c r="AE110" i="6" s="1"/>
  <c r="AC109" i="6"/>
  <c r="AE109" i="6" s="1"/>
  <c r="AC108" i="6"/>
  <c r="AC104" i="6"/>
  <c r="AE104" i="6" s="1"/>
  <c r="AC103" i="6"/>
  <c r="AE103" i="6" s="1"/>
  <c r="AC101" i="6"/>
  <c r="AE101" i="6" s="1"/>
  <c r="AC105" i="6"/>
  <c r="AE105" i="6" s="1"/>
  <c r="AC102" i="6"/>
  <c r="AE102" i="6" s="1"/>
  <c r="AC100" i="6"/>
  <c r="AE100" i="6" s="1"/>
  <c r="AC99" i="6"/>
  <c r="AE99" i="6" s="1"/>
  <c r="AC98" i="6"/>
  <c r="AE98" i="6" s="1"/>
  <c r="AC97" i="6"/>
  <c r="H118" i="11"/>
  <c r="H117" i="11"/>
  <c r="H115" i="11"/>
  <c r="H114" i="11"/>
  <c r="H113" i="11"/>
  <c r="H112" i="11"/>
  <c r="H111" i="11"/>
  <c r="D111" i="11"/>
  <c r="H108" i="11"/>
  <c r="E108" i="11"/>
  <c r="H106" i="11"/>
  <c r="H105" i="11"/>
  <c r="D104" i="11"/>
  <c r="D103" i="11"/>
  <c r="H100" i="11"/>
  <c r="H99" i="11"/>
  <c r="H98" i="11"/>
  <c r="H97" i="11"/>
  <c r="H95" i="11"/>
  <c r="H93" i="11"/>
  <c r="H92" i="11"/>
  <c r="H90" i="11"/>
  <c r="D90" i="11"/>
  <c r="D81" i="11"/>
  <c r="F80" i="11"/>
  <c r="D80" i="11"/>
  <c r="F79" i="11"/>
  <c r="D79" i="11"/>
  <c r="F78" i="11"/>
  <c r="D78" i="11"/>
  <c r="F77" i="11"/>
  <c r="D77" i="11"/>
  <c r="F76" i="11"/>
  <c r="D76" i="11"/>
  <c r="F75" i="11"/>
  <c r="D75" i="11"/>
  <c r="F74" i="11"/>
  <c r="D74" i="11"/>
  <c r="F73" i="11"/>
  <c r="D73" i="11"/>
  <c r="F72" i="11"/>
  <c r="D72" i="11"/>
  <c r="F71" i="11"/>
  <c r="D71" i="11"/>
  <c r="F70" i="11"/>
  <c r="D70" i="11"/>
  <c r="F69" i="11"/>
  <c r="D69" i="11"/>
  <c r="F68" i="11"/>
  <c r="D68" i="11"/>
  <c r="F67" i="11"/>
  <c r="D67" i="11"/>
  <c r="F66" i="11"/>
  <c r="D66" i="11"/>
  <c r="F65" i="11"/>
  <c r="D65" i="11"/>
  <c r="F64" i="11"/>
  <c r="D64" i="11"/>
  <c r="F63" i="11"/>
  <c r="D63" i="11"/>
  <c r="F62" i="11"/>
  <c r="D62" i="11"/>
  <c r="F61" i="11"/>
  <c r="D61" i="11"/>
  <c r="F60" i="11"/>
  <c r="D60" i="11"/>
  <c r="F59" i="11"/>
  <c r="D59" i="11"/>
  <c r="F58" i="11"/>
  <c r="D58" i="11"/>
  <c r="F57" i="11"/>
  <c r="D57" i="11"/>
  <c r="F56" i="11"/>
  <c r="D56" i="11"/>
  <c r="F55" i="11"/>
  <c r="D55" i="11"/>
  <c r="F54" i="11"/>
  <c r="D54" i="11"/>
  <c r="F53" i="11"/>
  <c r="F81" i="11" s="1"/>
  <c r="D53" i="11"/>
  <c r="F48" i="11"/>
  <c r="D48" i="11"/>
  <c r="F47" i="11"/>
  <c r="D47" i="11"/>
  <c r="F46" i="11"/>
  <c r="D46" i="11"/>
  <c r="F45" i="11"/>
  <c r="D45" i="11"/>
  <c r="F41" i="11"/>
  <c r="D41" i="11"/>
  <c r="F40" i="11"/>
  <c r="D40" i="11"/>
  <c r="F39" i="11"/>
  <c r="D39" i="11"/>
  <c r="H35" i="11"/>
  <c r="F35" i="11"/>
  <c r="D35" i="11"/>
  <c r="H34" i="11"/>
  <c r="F34" i="11"/>
  <c r="D34" i="11"/>
  <c r="H32" i="11"/>
  <c r="F32" i="11"/>
  <c r="D32" i="11"/>
  <c r="H31" i="11"/>
  <c r="F31" i="11"/>
  <c r="D31" i="11"/>
  <c r="H30" i="11"/>
  <c r="F30" i="11"/>
  <c r="D30" i="11"/>
  <c r="H29" i="11"/>
  <c r="F29" i="11"/>
  <c r="D29" i="11"/>
  <c r="H28" i="11"/>
  <c r="F28" i="11"/>
  <c r="D28" i="11"/>
  <c r="H27" i="11"/>
  <c r="F27" i="11"/>
  <c r="D27" i="11"/>
  <c r="H26" i="11"/>
  <c r="F26" i="11"/>
  <c r="D26" i="11"/>
  <c r="H25" i="11"/>
  <c r="F25" i="11"/>
  <c r="D25" i="11"/>
  <c r="H24" i="11"/>
  <c r="F24" i="11"/>
  <c r="D24" i="11"/>
  <c r="H23" i="11"/>
  <c r="F23" i="11"/>
  <c r="D23" i="11"/>
  <c r="H22" i="11"/>
  <c r="F22" i="11"/>
  <c r="D22" i="11"/>
  <c r="H21" i="11"/>
  <c r="F21" i="11"/>
  <c r="D21" i="11"/>
  <c r="H20" i="11"/>
  <c r="F20" i="11"/>
  <c r="D20" i="11"/>
  <c r="H19" i="11"/>
  <c r="F19" i="11"/>
  <c r="D19" i="11"/>
  <c r="H18" i="11"/>
  <c r="F18" i="11"/>
  <c r="D18" i="11"/>
  <c r="H17" i="11"/>
  <c r="F17" i="11"/>
  <c r="D17" i="11"/>
  <c r="H16" i="11"/>
  <c r="F16" i="11"/>
  <c r="D16" i="11"/>
  <c r="H15" i="11"/>
  <c r="F15" i="11"/>
  <c r="D15" i="11"/>
  <c r="H14" i="11"/>
  <c r="F14" i="11"/>
  <c r="D14" i="11"/>
  <c r="H13" i="11"/>
  <c r="F13" i="11"/>
  <c r="D13" i="11"/>
  <c r="H12" i="11"/>
  <c r="F12" i="11"/>
  <c r="D12" i="11"/>
  <c r="H11" i="11"/>
  <c r="F11" i="11"/>
  <c r="D11" i="11"/>
  <c r="H10" i="11"/>
  <c r="F10" i="11"/>
  <c r="D10" i="11"/>
  <c r="H9" i="11"/>
  <c r="F9" i="11"/>
  <c r="D9" i="11"/>
  <c r="H8" i="11"/>
  <c r="F8" i="11"/>
  <c r="D8" i="11"/>
  <c r="H7" i="11"/>
  <c r="F7" i="11"/>
  <c r="D7" i="11"/>
  <c r="H6" i="11"/>
  <c r="F6" i="11"/>
  <c r="D6" i="11"/>
  <c r="H5" i="11"/>
  <c r="F5" i="11"/>
  <c r="D5" i="11"/>
  <c r="H4" i="11"/>
  <c r="F4" i="11"/>
  <c r="D4" i="11"/>
  <c r="H3" i="11"/>
  <c r="F3" i="11"/>
  <c r="D3" i="11"/>
  <c r="G293" i="6" l="1"/>
  <c r="G284" i="6"/>
  <c r="G285" i="6"/>
  <c r="G286" i="6"/>
  <c r="G287" i="6"/>
  <c r="G288" i="6"/>
  <c r="G289" i="6"/>
  <c r="G290" i="6"/>
  <c r="G279" i="6"/>
  <c r="G280" i="6"/>
  <c r="G281" i="6"/>
  <c r="G271" i="6"/>
  <c r="G272" i="6"/>
  <c r="G273" i="6"/>
  <c r="G274" i="6"/>
  <c r="G275" i="6"/>
  <c r="G276" i="6"/>
  <c r="G277" i="6"/>
  <c r="G278" i="6"/>
  <c r="G265" i="6"/>
  <c r="G266" i="6"/>
  <c r="G267" i="6"/>
  <c r="G268" i="6"/>
  <c r="G263" i="6"/>
  <c r="G264" i="6"/>
  <c r="G259" i="6"/>
  <c r="G260" i="6"/>
  <c r="G261" i="6"/>
  <c r="G262" i="6"/>
  <c r="G257" i="6"/>
  <c r="G258" i="6"/>
  <c r="G252" i="6"/>
  <c r="G253" i="6"/>
  <c r="G254" i="6"/>
  <c r="G246" i="6"/>
  <c r="G247" i="6"/>
  <c r="G248" i="6"/>
  <c r="G249" i="6"/>
  <c r="G244" i="6"/>
  <c r="G245" i="6"/>
  <c r="G240" i="6"/>
  <c r="G241" i="6"/>
  <c r="G242" i="6"/>
  <c r="G243" i="6"/>
  <c r="G238" i="6"/>
  <c r="G239" i="6"/>
  <c r="G233" i="6"/>
  <c r="G234" i="6"/>
  <c r="G235" i="6"/>
  <c r="G224" i="6"/>
  <c r="G225" i="6"/>
  <c r="G226" i="6"/>
  <c r="G229" i="6"/>
  <c r="G230" i="6"/>
  <c r="G216" i="6"/>
  <c r="G217" i="6"/>
  <c r="G218" i="6"/>
  <c r="G219" i="6"/>
  <c r="G220" i="6"/>
  <c r="G221" i="6"/>
  <c r="G208" i="6"/>
  <c r="G209" i="6"/>
  <c r="G210" i="6"/>
  <c r="G211" i="6"/>
  <c r="G212" i="6"/>
  <c r="G213" i="6"/>
  <c r="H332" i="6" l="1"/>
  <c r="H331" i="6"/>
  <c r="H330" i="6"/>
  <c r="H328" i="6"/>
  <c r="N325" i="6" l="1"/>
  <c r="O325" i="6"/>
  <c r="P325" i="6"/>
  <c r="Q325" i="6"/>
  <c r="G325" i="6"/>
  <c r="N307" i="6" l="1"/>
  <c r="O307" i="6"/>
  <c r="P307" i="6"/>
  <c r="Q307" i="6"/>
  <c r="G307" i="6"/>
  <c r="N303" i="6"/>
  <c r="O303" i="6"/>
  <c r="P303" i="6"/>
  <c r="Q303" i="6"/>
  <c r="N300" i="6"/>
  <c r="O300" i="6"/>
  <c r="P300" i="6"/>
  <c r="Q300" i="6"/>
  <c r="N297" i="6"/>
  <c r="O297" i="6"/>
  <c r="P297" i="6"/>
  <c r="Q297" i="6"/>
  <c r="G297" i="6"/>
  <c r="G298" i="6"/>
  <c r="G299" i="6"/>
  <c r="G300" i="6"/>
  <c r="G301" i="6"/>
  <c r="G302" i="6"/>
  <c r="G303" i="6"/>
  <c r="G304" i="6"/>
  <c r="N321" i="6" l="1"/>
  <c r="O321" i="6"/>
  <c r="P321" i="6"/>
  <c r="Q321" i="6"/>
  <c r="N322" i="6"/>
  <c r="O322" i="6"/>
  <c r="P322" i="6"/>
  <c r="Q322" i="6"/>
  <c r="G321" i="6"/>
  <c r="G322" i="6"/>
  <c r="G205" i="6"/>
  <c r="N142" i="6"/>
  <c r="O142" i="6"/>
  <c r="P142" i="6"/>
  <c r="Q142" i="6"/>
  <c r="G142" i="6"/>
  <c r="G150" i="6"/>
  <c r="G98" i="6"/>
  <c r="G99" i="6"/>
  <c r="G100" i="6"/>
  <c r="G101" i="6"/>
  <c r="G102" i="6"/>
  <c r="G103" i="6"/>
  <c r="G104" i="6"/>
  <c r="G105" i="6"/>
  <c r="G91" i="6"/>
  <c r="AA111" i="6"/>
  <c r="AA115" i="6"/>
  <c r="AA116" i="6"/>
  <c r="G113" i="6"/>
  <c r="G114" i="6"/>
  <c r="G115" i="6"/>
  <c r="G116" i="6"/>
  <c r="G117" i="6"/>
  <c r="G118" i="6"/>
  <c r="G119" i="6"/>
  <c r="H109" i="6"/>
  <c r="H110" i="6"/>
  <c r="H111" i="6"/>
  <c r="H112" i="6"/>
  <c r="H113" i="6"/>
  <c r="H114" i="6"/>
  <c r="H115" i="6"/>
  <c r="H116" i="6"/>
  <c r="H117" i="6"/>
  <c r="H118" i="6"/>
  <c r="H119" i="6"/>
  <c r="H108" i="6"/>
  <c r="H186" i="6" l="1"/>
  <c r="H187" i="6"/>
  <c r="H188" i="6"/>
  <c r="H189" i="6"/>
  <c r="H190" i="6"/>
  <c r="H191" i="6"/>
  <c r="H192" i="6"/>
  <c r="H193" i="6"/>
  <c r="H194" i="6"/>
  <c r="H195" i="6"/>
  <c r="H196" i="6"/>
  <c r="H197" i="6"/>
  <c r="H198" i="6"/>
  <c r="H199" i="6"/>
  <c r="H185" i="6"/>
  <c r="G186" i="6"/>
  <c r="G187" i="6"/>
  <c r="G188" i="6"/>
  <c r="G189" i="6"/>
  <c r="G190" i="6"/>
  <c r="G191" i="6"/>
  <c r="G192" i="6"/>
  <c r="G193" i="6"/>
  <c r="G194" i="6"/>
  <c r="G195" i="6"/>
  <c r="G196" i="6"/>
  <c r="G197" i="6"/>
  <c r="G198" i="6"/>
  <c r="G199" i="6"/>
  <c r="H169" i="6"/>
  <c r="H170" i="6"/>
  <c r="H171" i="6"/>
  <c r="H172" i="6"/>
  <c r="H173" i="6"/>
  <c r="H174" i="6"/>
  <c r="H175" i="6"/>
  <c r="H176" i="6"/>
  <c r="H177" i="6"/>
  <c r="H178" i="6"/>
  <c r="H179" i="6"/>
  <c r="H180" i="6"/>
  <c r="H181" i="6"/>
  <c r="H182" i="6"/>
  <c r="H168" i="6"/>
  <c r="N208" i="6" l="1"/>
  <c r="O208" i="6"/>
  <c r="P208" i="6"/>
  <c r="Q208" i="6"/>
  <c r="N209" i="6"/>
  <c r="O209" i="6"/>
  <c r="P209" i="6"/>
  <c r="Q209" i="6"/>
  <c r="N210" i="6"/>
  <c r="O210" i="6"/>
  <c r="P210" i="6"/>
  <c r="Q210" i="6"/>
  <c r="N211" i="6"/>
  <c r="O211" i="6"/>
  <c r="P211" i="6"/>
  <c r="Q211" i="6"/>
  <c r="N212" i="6"/>
  <c r="O212" i="6"/>
  <c r="P212" i="6"/>
  <c r="Q212" i="6"/>
  <c r="N213" i="6"/>
  <c r="O213" i="6"/>
  <c r="P213" i="6"/>
  <c r="Q213" i="6"/>
  <c r="N216" i="6"/>
  <c r="O216" i="6"/>
  <c r="P216" i="6"/>
  <c r="Q216" i="6"/>
  <c r="N217" i="6"/>
  <c r="O217" i="6"/>
  <c r="P217" i="6"/>
  <c r="Q217" i="6"/>
  <c r="N218" i="6"/>
  <c r="O218" i="6"/>
  <c r="P218" i="6"/>
  <c r="Q218" i="6"/>
  <c r="N219" i="6"/>
  <c r="O219" i="6"/>
  <c r="P219" i="6"/>
  <c r="Q219" i="6"/>
  <c r="N220" i="6"/>
  <c r="O220" i="6"/>
  <c r="P220" i="6"/>
  <c r="Q220" i="6"/>
  <c r="N221" i="6"/>
  <c r="O221" i="6"/>
  <c r="P221" i="6"/>
  <c r="Q221" i="6"/>
  <c r="N224" i="6"/>
  <c r="O224" i="6"/>
  <c r="P224" i="6"/>
  <c r="Q224" i="6"/>
  <c r="N225" i="6"/>
  <c r="O225" i="6"/>
  <c r="P225" i="6"/>
  <c r="Q225" i="6"/>
  <c r="N226" i="6"/>
  <c r="O226" i="6"/>
  <c r="P226" i="6"/>
  <c r="Q226" i="6"/>
  <c r="N229" i="6"/>
  <c r="O229" i="6"/>
  <c r="P229" i="6"/>
  <c r="Q229" i="6"/>
  <c r="N230" i="6"/>
  <c r="O230" i="6"/>
  <c r="P230" i="6"/>
  <c r="Q230" i="6"/>
  <c r="N233" i="6"/>
  <c r="O233" i="6"/>
  <c r="P233" i="6"/>
  <c r="Q233" i="6"/>
  <c r="N234" i="6"/>
  <c r="O234" i="6"/>
  <c r="P234" i="6"/>
  <c r="Q234" i="6"/>
  <c r="N235" i="6"/>
  <c r="O235" i="6"/>
  <c r="P235" i="6"/>
  <c r="Q235" i="6"/>
  <c r="N238" i="6"/>
  <c r="O238" i="6"/>
  <c r="P238" i="6"/>
  <c r="Q238" i="6"/>
  <c r="N239" i="6"/>
  <c r="O239" i="6"/>
  <c r="P239" i="6"/>
  <c r="Q239" i="6"/>
  <c r="N240" i="6"/>
  <c r="O240" i="6"/>
  <c r="P240" i="6"/>
  <c r="Q240" i="6"/>
  <c r="N241" i="6"/>
  <c r="O241" i="6"/>
  <c r="P241" i="6"/>
  <c r="Q241" i="6"/>
  <c r="N242" i="6"/>
  <c r="O242" i="6"/>
  <c r="P242" i="6"/>
  <c r="Q242" i="6"/>
  <c r="N243" i="6"/>
  <c r="O243" i="6"/>
  <c r="P243" i="6"/>
  <c r="Q243" i="6"/>
  <c r="N244" i="6"/>
  <c r="O244" i="6"/>
  <c r="P244" i="6"/>
  <c r="Q244" i="6"/>
  <c r="N245" i="6"/>
  <c r="O245" i="6"/>
  <c r="P245" i="6"/>
  <c r="Q245" i="6"/>
  <c r="N246" i="6"/>
  <c r="O246" i="6"/>
  <c r="P246" i="6"/>
  <c r="Q246" i="6"/>
  <c r="N247" i="6"/>
  <c r="O247" i="6"/>
  <c r="P247" i="6"/>
  <c r="Q247" i="6"/>
  <c r="N248" i="6"/>
  <c r="O248" i="6"/>
  <c r="P248" i="6"/>
  <c r="Q248" i="6"/>
  <c r="N249" i="6"/>
  <c r="O249" i="6"/>
  <c r="P249" i="6"/>
  <c r="Q249" i="6"/>
  <c r="N252" i="6"/>
  <c r="O252" i="6"/>
  <c r="P252" i="6"/>
  <c r="Q252" i="6"/>
  <c r="N253" i="6"/>
  <c r="O253" i="6"/>
  <c r="P253" i="6"/>
  <c r="Q253" i="6"/>
  <c r="N254" i="6"/>
  <c r="O254" i="6"/>
  <c r="P254" i="6"/>
  <c r="Q254" i="6"/>
  <c r="N257" i="6"/>
  <c r="O257" i="6"/>
  <c r="P257" i="6"/>
  <c r="Q257" i="6"/>
  <c r="N258" i="6"/>
  <c r="O258" i="6"/>
  <c r="P258" i="6"/>
  <c r="Q258" i="6"/>
  <c r="N259" i="6"/>
  <c r="O259" i="6"/>
  <c r="P259" i="6"/>
  <c r="Q259" i="6"/>
  <c r="N260" i="6"/>
  <c r="O260" i="6"/>
  <c r="P260" i="6"/>
  <c r="Q260" i="6"/>
  <c r="N261" i="6"/>
  <c r="O261" i="6"/>
  <c r="P261" i="6"/>
  <c r="Q261" i="6"/>
  <c r="N262" i="6"/>
  <c r="O262" i="6"/>
  <c r="P262" i="6"/>
  <c r="Q262" i="6"/>
  <c r="N263" i="6"/>
  <c r="O263" i="6"/>
  <c r="P263" i="6"/>
  <c r="Q263" i="6"/>
  <c r="N264" i="6"/>
  <c r="O264" i="6"/>
  <c r="P264" i="6"/>
  <c r="Q264" i="6"/>
  <c r="N265" i="6"/>
  <c r="O265" i="6"/>
  <c r="P265" i="6"/>
  <c r="Q265" i="6"/>
  <c r="N266" i="6"/>
  <c r="O266" i="6"/>
  <c r="P266" i="6"/>
  <c r="Q266" i="6"/>
  <c r="N267" i="6"/>
  <c r="O267" i="6"/>
  <c r="P267" i="6"/>
  <c r="Q267" i="6"/>
  <c r="N268" i="6"/>
  <c r="O268" i="6"/>
  <c r="P268" i="6"/>
  <c r="Q268" i="6"/>
  <c r="N271" i="6"/>
  <c r="O271" i="6"/>
  <c r="P271" i="6"/>
  <c r="Q271" i="6"/>
  <c r="N272" i="6"/>
  <c r="O272" i="6"/>
  <c r="P272" i="6"/>
  <c r="Q272" i="6"/>
  <c r="N273" i="6"/>
  <c r="O273" i="6"/>
  <c r="P273" i="6"/>
  <c r="Q273" i="6"/>
  <c r="N274" i="6"/>
  <c r="O274" i="6"/>
  <c r="P274" i="6"/>
  <c r="Q274" i="6"/>
  <c r="N275" i="6"/>
  <c r="O275" i="6"/>
  <c r="P275" i="6"/>
  <c r="Q275" i="6"/>
  <c r="N276" i="6"/>
  <c r="O276" i="6"/>
  <c r="P276" i="6"/>
  <c r="Q276" i="6"/>
  <c r="N277" i="6"/>
  <c r="O277" i="6"/>
  <c r="P277" i="6"/>
  <c r="Q277" i="6"/>
  <c r="N278" i="6"/>
  <c r="O278" i="6"/>
  <c r="P278" i="6"/>
  <c r="Q278" i="6"/>
  <c r="N279" i="6"/>
  <c r="O279" i="6"/>
  <c r="P279" i="6"/>
  <c r="Q279" i="6"/>
  <c r="N280" i="6"/>
  <c r="O280" i="6"/>
  <c r="P280" i="6"/>
  <c r="Q280" i="6"/>
  <c r="N281" i="6"/>
  <c r="O281" i="6"/>
  <c r="P281" i="6"/>
  <c r="Q281" i="6"/>
  <c r="N284" i="6"/>
  <c r="O284" i="6"/>
  <c r="P284" i="6"/>
  <c r="Q284" i="6"/>
  <c r="N285" i="6"/>
  <c r="O285" i="6"/>
  <c r="P285" i="6"/>
  <c r="Q285" i="6"/>
  <c r="N286" i="6"/>
  <c r="O286" i="6"/>
  <c r="P286" i="6"/>
  <c r="Q286" i="6"/>
  <c r="N287" i="6"/>
  <c r="O287" i="6"/>
  <c r="P287" i="6"/>
  <c r="Q287" i="6"/>
  <c r="N288" i="6"/>
  <c r="O288" i="6"/>
  <c r="P288" i="6"/>
  <c r="Q288" i="6"/>
  <c r="N289" i="6"/>
  <c r="O289" i="6"/>
  <c r="P289" i="6"/>
  <c r="Q289" i="6"/>
  <c r="N290" i="6"/>
  <c r="O290" i="6"/>
  <c r="P290" i="6"/>
  <c r="Q290" i="6"/>
  <c r="N293" i="6"/>
  <c r="O293" i="6"/>
  <c r="P293" i="6"/>
  <c r="Q293" i="6"/>
  <c r="N204" i="6"/>
  <c r="O204" i="6"/>
  <c r="P204" i="6"/>
  <c r="Q204" i="6"/>
  <c r="N205" i="6"/>
  <c r="O205" i="6"/>
  <c r="P205" i="6"/>
  <c r="Q205" i="6"/>
  <c r="N189" i="6"/>
  <c r="O189" i="6"/>
  <c r="P189" i="6"/>
  <c r="Q189" i="6"/>
  <c r="N190" i="6"/>
  <c r="O190" i="6"/>
  <c r="P190" i="6"/>
  <c r="Q190" i="6"/>
  <c r="N191" i="6"/>
  <c r="O191" i="6"/>
  <c r="P191" i="6"/>
  <c r="Q191" i="6"/>
  <c r="N192" i="6"/>
  <c r="O192" i="6"/>
  <c r="P192" i="6"/>
  <c r="Q192" i="6"/>
  <c r="N193" i="6"/>
  <c r="O193" i="6"/>
  <c r="P193" i="6"/>
  <c r="Q193" i="6"/>
  <c r="N194" i="6"/>
  <c r="O194" i="6"/>
  <c r="P194" i="6"/>
  <c r="Q194" i="6"/>
  <c r="N195" i="6"/>
  <c r="O195" i="6"/>
  <c r="P195" i="6"/>
  <c r="Q195" i="6"/>
  <c r="N196" i="6"/>
  <c r="O196" i="6"/>
  <c r="P196" i="6"/>
  <c r="Q196" i="6"/>
  <c r="N197" i="6"/>
  <c r="O197" i="6"/>
  <c r="P197" i="6"/>
  <c r="Q197" i="6"/>
  <c r="N198" i="6"/>
  <c r="O198" i="6"/>
  <c r="P198" i="6"/>
  <c r="Q198" i="6"/>
  <c r="N199" i="6"/>
  <c r="O199" i="6"/>
  <c r="P199" i="6"/>
  <c r="Q199" i="6"/>
  <c r="N150" i="6"/>
  <c r="O150" i="6"/>
  <c r="P150" i="6"/>
  <c r="Q150" i="6"/>
  <c r="N113" i="6"/>
  <c r="O113" i="6"/>
  <c r="P113" i="6"/>
  <c r="Q113" i="6"/>
  <c r="N114" i="6"/>
  <c r="O114" i="6"/>
  <c r="P114" i="6"/>
  <c r="Q114" i="6"/>
  <c r="N115" i="6"/>
  <c r="O115" i="6"/>
  <c r="P115" i="6"/>
  <c r="Q115" i="6"/>
  <c r="N116" i="6"/>
  <c r="O116" i="6"/>
  <c r="P116" i="6"/>
  <c r="Q116" i="6"/>
  <c r="N117" i="6"/>
  <c r="O117" i="6"/>
  <c r="P117" i="6"/>
  <c r="Q117" i="6"/>
  <c r="N118" i="6"/>
  <c r="O118" i="6"/>
  <c r="P118" i="6"/>
  <c r="Q118" i="6"/>
  <c r="N119" i="6"/>
  <c r="O119" i="6"/>
  <c r="P119" i="6"/>
  <c r="Q119" i="6"/>
  <c r="N101" i="6"/>
  <c r="O101" i="6"/>
  <c r="P101" i="6"/>
  <c r="Q101" i="6"/>
  <c r="N102" i="6"/>
  <c r="O102" i="6"/>
  <c r="P102" i="6"/>
  <c r="Q102" i="6"/>
  <c r="N103" i="6"/>
  <c r="O103" i="6"/>
  <c r="P103" i="6"/>
  <c r="Q103" i="6"/>
  <c r="N104" i="6"/>
  <c r="O104" i="6"/>
  <c r="P104" i="6"/>
  <c r="Q104" i="6"/>
  <c r="N105" i="6"/>
  <c r="O105" i="6"/>
  <c r="P105" i="6"/>
  <c r="Q105" i="6"/>
  <c r="N91" i="6"/>
  <c r="O91" i="6"/>
  <c r="P91" i="6"/>
  <c r="Q91" i="6"/>
  <c r="AA209" i="6"/>
  <c r="AA210" i="6"/>
  <c r="AA211" i="6"/>
  <c r="AA212" i="6"/>
  <c r="AA213" i="6"/>
  <c r="AA216" i="6"/>
  <c r="AA217" i="6"/>
  <c r="AA218" i="6"/>
  <c r="AA219" i="6"/>
  <c r="AA220" i="6"/>
  <c r="AA221" i="6"/>
  <c r="AA224" i="6"/>
  <c r="AA225" i="6"/>
  <c r="AA226" i="6"/>
  <c r="AA229" i="6"/>
  <c r="AA230" i="6"/>
  <c r="AA233" i="6"/>
  <c r="AA234" i="6"/>
  <c r="AA235" i="6"/>
  <c r="AA238" i="6"/>
  <c r="AA239" i="6"/>
  <c r="AA240" i="6"/>
  <c r="AA241" i="6"/>
  <c r="AA242" i="6"/>
  <c r="AA243" i="6"/>
  <c r="AA244" i="6"/>
  <c r="AA245" i="6"/>
  <c r="AA246" i="6"/>
  <c r="AA247" i="6"/>
  <c r="AA248" i="6"/>
  <c r="AA249" i="6"/>
  <c r="AA252" i="6"/>
  <c r="AA253" i="6"/>
  <c r="AA254" i="6"/>
  <c r="AA257" i="6"/>
  <c r="AA258" i="6"/>
  <c r="AA259" i="6"/>
  <c r="AA260" i="6"/>
  <c r="AA261" i="6"/>
  <c r="AA262" i="6"/>
  <c r="AA263" i="6"/>
  <c r="AA264" i="6"/>
  <c r="AA265" i="6"/>
  <c r="AA266" i="6"/>
  <c r="AA267" i="6"/>
  <c r="AA268" i="6"/>
  <c r="AA271" i="6"/>
  <c r="AA272" i="6"/>
  <c r="AA273" i="6"/>
  <c r="AA274" i="6"/>
  <c r="AA275" i="6"/>
  <c r="AA276" i="6"/>
  <c r="AA277" i="6"/>
  <c r="AA278" i="6"/>
  <c r="AA279" i="6"/>
  <c r="AA280" i="6"/>
  <c r="AA281" i="6"/>
  <c r="AA284" i="6"/>
  <c r="AA285" i="6"/>
  <c r="AA286" i="6"/>
  <c r="AA287" i="6"/>
  <c r="AA288" i="6"/>
  <c r="AA289" i="6"/>
  <c r="AA290" i="6"/>
  <c r="AA293" i="6"/>
  <c r="AA208" i="6"/>
  <c r="S209" i="6"/>
  <c r="S210" i="6"/>
  <c r="S211" i="6"/>
  <c r="S212" i="6"/>
  <c r="S213" i="6"/>
  <c r="S216" i="6"/>
  <c r="S217" i="6"/>
  <c r="S218" i="6"/>
  <c r="S219" i="6"/>
  <c r="S220" i="6"/>
  <c r="S221" i="6"/>
  <c r="S224" i="6"/>
  <c r="S225" i="6"/>
  <c r="S226" i="6"/>
  <c r="S229" i="6"/>
  <c r="S230" i="6"/>
  <c r="S233" i="6"/>
  <c r="S234" i="6"/>
  <c r="S235" i="6"/>
  <c r="S238" i="6"/>
  <c r="S239" i="6"/>
  <c r="S240" i="6"/>
  <c r="S241" i="6"/>
  <c r="S242" i="6"/>
  <c r="S243" i="6"/>
  <c r="S244" i="6"/>
  <c r="S245" i="6"/>
  <c r="S246" i="6"/>
  <c r="S247" i="6"/>
  <c r="S248" i="6"/>
  <c r="S249" i="6"/>
  <c r="S252" i="6"/>
  <c r="S253" i="6"/>
  <c r="S254" i="6"/>
  <c r="S257" i="6"/>
  <c r="S258" i="6"/>
  <c r="S259" i="6"/>
  <c r="S260" i="6"/>
  <c r="S261" i="6"/>
  <c r="S262" i="6"/>
  <c r="S263" i="6"/>
  <c r="S264" i="6"/>
  <c r="S265" i="6"/>
  <c r="S266" i="6"/>
  <c r="S267" i="6"/>
  <c r="S268" i="6"/>
  <c r="S271" i="6"/>
  <c r="S272" i="6"/>
  <c r="S273" i="6"/>
  <c r="S274" i="6"/>
  <c r="S275" i="6"/>
  <c r="S276" i="6"/>
  <c r="S277" i="6"/>
  <c r="S278" i="6"/>
  <c r="S279" i="6"/>
  <c r="S280" i="6"/>
  <c r="S281" i="6"/>
  <c r="S284" i="6"/>
  <c r="S285" i="6"/>
  <c r="S286" i="6"/>
  <c r="S287" i="6"/>
  <c r="S288" i="6"/>
  <c r="S289" i="6"/>
  <c r="S290" i="6"/>
  <c r="S293" i="6"/>
  <c r="S208" i="6"/>
  <c r="B60" i="6"/>
  <c r="H59" i="6"/>
  <c r="G59" i="6"/>
  <c r="F59" i="6"/>
  <c r="E59" i="6"/>
  <c r="D59" i="6"/>
  <c r="C59" i="6"/>
  <c r="B59" i="6"/>
  <c r="I58" i="6"/>
  <c r="L58" i="6"/>
  <c r="K58" i="6"/>
  <c r="J58" i="6"/>
  <c r="H58" i="6"/>
  <c r="G58" i="6"/>
  <c r="F58" i="6"/>
  <c r="E58" i="6"/>
  <c r="D58" i="6"/>
  <c r="C58" i="6"/>
  <c r="B58" i="6"/>
  <c r="K57" i="6"/>
  <c r="M57" i="6"/>
  <c r="L57" i="6"/>
  <c r="J57" i="6"/>
  <c r="I57" i="6"/>
  <c r="H57" i="6"/>
  <c r="G57" i="6"/>
  <c r="F57" i="6"/>
  <c r="E57" i="6"/>
  <c r="D57" i="6"/>
  <c r="C57" i="6"/>
  <c r="B57" i="6"/>
  <c r="G55" i="6"/>
  <c r="M55" i="6"/>
  <c r="L55" i="6"/>
  <c r="K55" i="6"/>
  <c r="J55" i="6"/>
  <c r="I55" i="6"/>
  <c r="H55" i="6"/>
  <c r="F55" i="6"/>
  <c r="E55" i="6"/>
  <c r="D55" i="6"/>
  <c r="C55" i="6"/>
  <c r="D56" i="6"/>
  <c r="C56" i="6"/>
  <c r="B56" i="6"/>
  <c r="B55" i="6"/>
  <c r="D54" i="6"/>
  <c r="C54" i="6"/>
  <c r="B54" i="6"/>
  <c r="C53" i="6"/>
  <c r="B53" i="6"/>
  <c r="D52" i="6"/>
  <c r="C52" i="6"/>
  <c r="B52" i="6"/>
  <c r="G51" i="6"/>
  <c r="F51" i="6"/>
  <c r="E51" i="6"/>
  <c r="D51" i="6"/>
  <c r="C51" i="6"/>
  <c r="B51" i="6"/>
  <c r="G50" i="6"/>
  <c r="F50" i="6"/>
  <c r="E50" i="6"/>
  <c r="D50" i="6"/>
  <c r="C50" i="6"/>
  <c r="B50" i="6"/>
  <c r="A60" i="6"/>
  <c r="A59" i="6"/>
  <c r="A58" i="6"/>
  <c r="A57" i="6"/>
  <c r="D48" i="6"/>
  <c r="C43" i="6"/>
  <c r="F47" i="6"/>
  <c r="E47" i="6"/>
  <c r="I45" i="6"/>
  <c r="F45" i="6"/>
  <c r="C45" i="6"/>
  <c r="E41" i="6" l="1"/>
  <c r="B46" i="6"/>
  <c r="I40" i="6" l="1"/>
  <c r="L37" i="6"/>
  <c r="H37" i="6"/>
  <c r="L34" i="6"/>
  <c r="G34" i="6"/>
  <c r="M31" i="6"/>
  <c r="L31" i="6"/>
  <c r="K31" i="6"/>
  <c r="F31" i="6"/>
  <c r="B32" i="6"/>
  <c r="O42" i="4" l="1"/>
  <c r="P42" i="4" s="1"/>
  <c r="Q42" i="4" s="1"/>
  <c r="R42" i="4" s="1"/>
  <c r="S42" i="4" s="1"/>
  <c r="B171" i="7" l="1"/>
  <c r="B170" i="7"/>
  <c r="H8" i="2" l="1"/>
  <c r="A77" i="5" s="1"/>
  <c r="B202" i="7"/>
  <c r="B198" i="7"/>
  <c r="B192" i="7"/>
  <c r="B187" i="7"/>
  <c r="B184" i="7"/>
  <c r="B181" i="7"/>
  <c r="AA323" i="6" l="1"/>
  <c r="AA319" i="6" l="1"/>
  <c r="AA318" i="6"/>
  <c r="AE332" i="6"/>
  <c r="AE331" i="6"/>
  <c r="AE330" i="6"/>
  <c r="AE329" i="6"/>
  <c r="AE328" i="6"/>
  <c r="AE87" i="6"/>
  <c r="AE318" i="6"/>
  <c r="AE202" i="6"/>
  <c r="AE204" i="6"/>
  <c r="AE203" i="6"/>
  <c r="AE165" i="6"/>
  <c r="AE155" i="6"/>
  <c r="AE164" i="6"/>
  <c r="AE122" i="6"/>
  <c r="AE315" i="6"/>
  <c r="AE314" i="6"/>
  <c r="AE313" i="6"/>
  <c r="AE312" i="6"/>
  <c r="AE311" i="6"/>
  <c r="AE310" i="6"/>
  <c r="AE309" i="6"/>
  <c r="AE308" i="6"/>
  <c r="AE296" i="6"/>
  <c r="AE158" i="6"/>
  <c r="AE139" i="6"/>
  <c r="AE97" i="6"/>
  <c r="AE108" i="6"/>
  <c r="AE168" i="6" l="1"/>
  <c r="AH168" i="6"/>
  <c r="AE169" i="6"/>
  <c r="AH169" i="6"/>
  <c r="AE170" i="6"/>
  <c r="AH170" i="6"/>
  <c r="AE171" i="6"/>
  <c r="AH171" i="6"/>
  <c r="AE172" i="6"/>
  <c r="AH172" i="6"/>
  <c r="AE173" i="6"/>
  <c r="AH173" i="6"/>
  <c r="AE174" i="6"/>
  <c r="AH174" i="6"/>
  <c r="AE175" i="6"/>
  <c r="AH175" i="6"/>
  <c r="AE176" i="6"/>
  <c r="AH176" i="6"/>
  <c r="AE177" i="6"/>
  <c r="AH177" i="6"/>
  <c r="AE178" i="6"/>
  <c r="AH178" i="6"/>
  <c r="AE179" i="6"/>
  <c r="AH179" i="6"/>
  <c r="AE180" i="6"/>
  <c r="AH180" i="6"/>
  <c r="AE181" i="6"/>
  <c r="AH181" i="6"/>
  <c r="AE182" i="6"/>
  <c r="AH182" i="6"/>
  <c r="AE185" i="6"/>
  <c r="AH185" i="6"/>
  <c r="AH186" i="6"/>
  <c r="AH187" i="6"/>
  <c r="AH188" i="6"/>
  <c r="J45" i="6"/>
  <c r="H45" i="6"/>
  <c r="Q302" i="6"/>
  <c r="Q304" i="6"/>
  <c r="N302" i="6"/>
  <c r="O302" i="6"/>
  <c r="P302" i="6"/>
  <c r="N304" i="6"/>
  <c r="O304" i="6"/>
  <c r="P304" i="6"/>
  <c r="G108" i="6" l="1"/>
  <c r="G111" i="6"/>
  <c r="G112" i="6"/>
  <c r="G109" i="6"/>
  <c r="G110" i="6"/>
  <c r="G122" i="6"/>
  <c r="G123" i="6"/>
  <c r="G124" i="6"/>
  <c r="G125" i="6"/>
  <c r="G126" i="6"/>
  <c r="G127" i="6"/>
  <c r="G128" i="6"/>
  <c r="G129" i="6"/>
  <c r="G130" i="6"/>
  <c r="G131" i="6"/>
  <c r="G132" i="6"/>
  <c r="G133" i="6"/>
  <c r="G134" i="6"/>
  <c r="G135" i="6"/>
  <c r="G136" i="6"/>
  <c r="G139" i="6"/>
  <c r="G140" i="6"/>
  <c r="G141" i="6"/>
  <c r="G143" i="6"/>
  <c r="G144" i="6"/>
  <c r="G145" i="6"/>
  <c r="G146" i="6"/>
  <c r="G147" i="6"/>
  <c r="G148" i="6"/>
  <c r="G149" i="6"/>
  <c r="G151" i="6"/>
  <c r="G152" i="6"/>
  <c r="G155" i="6"/>
  <c r="G159" i="6"/>
  <c r="G158" i="6"/>
  <c r="G160" i="6"/>
  <c r="G161" i="6"/>
  <c r="G164" i="6"/>
  <c r="G165" i="6"/>
  <c r="G168" i="6"/>
  <c r="G169" i="6"/>
  <c r="G170" i="6"/>
  <c r="G171" i="6"/>
  <c r="G172" i="6"/>
  <c r="G173" i="6"/>
  <c r="G174" i="6"/>
  <c r="G175" i="6"/>
  <c r="G176" i="6"/>
  <c r="G177" i="6"/>
  <c r="G178" i="6"/>
  <c r="G179" i="6"/>
  <c r="G180" i="6"/>
  <c r="G181" i="6"/>
  <c r="G182" i="6"/>
  <c r="G185" i="6"/>
  <c r="G202" i="6"/>
  <c r="G203" i="6"/>
  <c r="G204" i="6"/>
  <c r="G296" i="6"/>
  <c r="G308" i="6"/>
  <c r="G309" i="6"/>
  <c r="G310" i="6"/>
  <c r="G311" i="6"/>
  <c r="G312" i="6"/>
  <c r="G313" i="6"/>
  <c r="G314" i="6"/>
  <c r="G315" i="6"/>
  <c r="G318" i="6"/>
  <c r="G319" i="6"/>
  <c r="G320" i="6"/>
  <c r="G323" i="6"/>
  <c r="G324" i="6"/>
  <c r="G328" i="6"/>
  <c r="G329" i="6"/>
  <c r="G330" i="6"/>
  <c r="G331" i="6"/>
  <c r="G332" i="6"/>
  <c r="G97" i="6"/>
  <c r="G89" i="6" l="1"/>
  <c r="G90" i="6"/>
  <c r="G92" i="6"/>
  <c r="G94" i="6"/>
  <c r="G88" i="6"/>
  <c r="G93" i="6"/>
  <c r="G87" i="6"/>
  <c r="N329" i="6"/>
  <c r="O329" i="6"/>
  <c r="P329" i="6"/>
  <c r="Q329" i="6"/>
  <c r="N330" i="6"/>
  <c r="O330" i="6"/>
  <c r="P330" i="6"/>
  <c r="Q330" i="6"/>
  <c r="N331" i="6"/>
  <c r="O331" i="6"/>
  <c r="P331" i="6"/>
  <c r="Q331" i="6"/>
  <c r="N332" i="6"/>
  <c r="O332" i="6"/>
  <c r="P332" i="6"/>
  <c r="Q332" i="6"/>
  <c r="P328" i="6"/>
  <c r="O328" i="6"/>
  <c r="N328" i="6"/>
  <c r="N319" i="6"/>
  <c r="O319" i="6"/>
  <c r="P319" i="6"/>
  <c r="Q319" i="6"/>
  <c r="N320" i="6"/>
  <c r="O320" i="6"/>
  <c r="P320" i="6"/>
  <c r="Q320" i="6"/>
  <c r="N323" i="6"/>
  <c r="O323" i="6"/>
  <c r="P323" i="6"/>
  <c r="Q323" i="6"/>
  <c r="N324" i="6"/>
  <c r="O324" i="6"/>
  <c r="P324" i="6"/>
  <c r="Q324" i="6"/>
  <c r="P318" i="6"/>
  <c r="O318" i="6"/>
  <c r="N318" i="6"/>
  <c r="N309" i="6"/>
  <c r="O309" i="6"/>
  <c r="P309" i="6"/>
  <c r="Q309" i="6"/>
  <c r="N310" i="6"/>
  <c r="O310" i="6"/>
  <c r="P310" i="6"/>
  <c r="Q310" i="6"/>
  <c r="N311" i="6"/>
  <c r="O311" i="6"/>
  <c r="P311" i="6"/>
  <c r="Q311" i="6"/>
  <c r="N312" i="6"/>
  <c r="O312" i="6"/>
  <c r="P312" i="6"/>
  <c r="Q312" i="6"/>
  <c r="N313" i="6"/>
  <c r="O313" i="6"/>
  <c r="P313" i="6"/>
  <c r="Q313" i="6"/>
  <c r="N314" i="6"/>
  <c r="O314" i="6"/>
  <c r="P314" i="6"/>
  <c r="Q314" i="6"/>
  <c r="N315" i="6"/>
  <c r="O315" i="6"/>
  <c r="P315" i="6"/>
  <c r="Q315" i="6"/>
  <c r="P308" i="6"/>
  <c r="O308" i="6"/>
  <c r="N308" i="6"/>
  <c r="N298" i="6"/>
  <c r="O298" i="6"/>
  <c r="P298" i="6"/>
  <c r="Q298" i="6"/>
  <c r="N299" i="6"/>
  <c r="O299" i="6"/>
  <c r="P299" i="6"/>
  <c r="Q299" i="6"/>
  <c r="N301" i="6"/>
  <c r="O301" i="6"/>
  <c r="P301" i="6"/>
  <c r="Q301" i="6"/>
  <c r="P296" i="6"/>
  <c r="O296" i="6"/>
  <c r="N296" i="6"/>
  <c r="N203" i="6"/>
  <c r="O203" i="6"/>
  <c r="P203" i="6"/>
  <c r="Q203" i="6"/>
  <c r="P202" i="6"/>
  <c r="O202" i="6"/>
  <c r="N202" i="6"/>
  <c r="N186" i="6"/>
  <c r="O186" i="6"/>
  <c r="P186" i="6"/>
  <c r="Q186" i="6"/>
  <c r="N187" i="6"/>
  <c r="O187" i="6"/>
  <c r="P187" i="6"/>
  <c r="Q187" i="6"/>
  <c r="N188" i="6"/>
  <c r="O188" i="6"/>
  <c r="P188" i="6"/>
  <c r="Q188" i="6"/>
  <c r="P185" i="6"/>
  <c r="O185" i="6"/>
  <c r="N185" i="6"/>
  <c r="N168" i="6"/>
  <c r="O168" i="6"/>
  <c r="P168" i="6"/>
  <c r="Q168" i="6"/>
  <c r="N169" i="6"/>
  <c r="O169" i="6"/>
  <c r="P169" i="6"/>
  <c r="Q169" i="6"/>
  <c r="N170" i="6"/>
  <c r="O170" i="6"/>
  <c r="P170" i="6"/>
  <c r="Q170" i="6"/>
  <c r="N171" i="6"/>
  <c r="O171" i="6"/>
  <c r="P171" i="6"/>
  <c r="Q171" i="6"/>
  <c r="N172" i="6"/>
  <c r="O172" i="6"/>
  <c r="P172" i="6"/>
  <c r="Q172" i="6"/>
  <c r="N173" i="6"/>
  <c r="O173" i="6"/>
  <c r="P173" i="6"/>
  <c r="Q173" i="6"/>
  <c r="N174" i="6"/>
  <c r="O174" i="6"/>
  <c r="P174" i="6"/>
  <c r="Q174" i="6"/>
  <c r="N175" i="6"/>
  <c r="O175" i="6"/>
  <c r="P175" i="6"/>
  <c r="Q175" i="6"/>
  <c r="N176" i="6"/>
  <c r="O176" i="6"/>
  <c r="P176" i="6"/>
  <c r="Q176" i="6"/>
  <c r="N177" i="6"/>
  <c r="O177" i="6"/>
  <c r="P177" i="6"/>
  <c r="Q177" i="6"/>
  <c r="N178" i="6"/>
  <c r="O178" i="6"/>
  <c r="P178" i="6"/>
  <c r="Q178" i="6"/>
  <c r="N179" i="6"/>
  <c r="O179" i="6"/>
  <c r="P179" i="6"/>
  <c r="Q179" i="6"/>
  <c r="N180" i="6"/>
  <c r="O180" i="6"/>
  <c r="P180" i="6"/>
  <c r="Q180" i="6"/>
  <c r="N181" i="6"/>
  <c r="O181" i="6"/>
  <c r="P181" i="6"/>
  <c r="Q181" i="6"/>
  <c r="N182" i="6"/>
  <c r="O182" i="6"/>
  <c r="P182" i="6"/>
  <c r="Q182" i="6"/>
  <c r="N165" i="6"/>
  <c r="O165" i="6"/>
  <c r="P165" i="6"/>
  <c r="Q165" i="6"/>
  <c r="P164" i="6"/>
  <c r="O164" i="6"/>
  <c r="N164" i="6"/>
  <c r="N159" i="6"/>
  <c r="O159" i="6"/>
  <c r="P159" i="6"/>
  <c r="Q159" i="6"/>
  <c r="N158" i="6"/>
  <c r="O158" i="6"/>
  <c r="P158" i="6"/>
  <c r="Q158" i="6"/>
  <c r="N160" i="6"/>
  <c r="O160" i="6"/>
  <c r="P160" i="6"/>
  <c r="Q160" i="6"/>
  <c r="N161" i="6"/>
  <c r="O161" i="6"/>
  <c r="P161" i="6"/>
  <c r="Q161" i="6"/>
  <c r="P155" i="6"/>
  <c r="O155" i="6"/>
  <c r="N155" i="6"/>
  <c r="N140" i="6"/>
  <c r="O140" i="6"/>
  <c r="P140" i="6"/>
  <c r="Q140" i="6"/>
  <c r="N141" i="6"/>
  <c r="O141" i="6"/>
  <c r="P141" i="6"/>
  <c r="Q141" i="6"/>
  <c r="N143" i="6"/>
  <c r="O143" i="6"/>
  <c r="P143" i="6"/>
  <c r="Q143" i="6"/>
  <c r="N144" i="6"/>
  <c r="O144" i="6"/>
  <c r="P144" i="6"/>
  <c r="Q144" i="6"/>
  <c r="N145" i="6"/>
  <c r="O145" i="6"/>
  <c r="P145" i="6"/>
  <c r="Q145" i="6"/>
  <c r="N146" i="6"/>
  <c r="O146" i="6"/>
  <c r="P146" i="6"/>
  <c r="Q146" i="6"/>
  <c r="N147" i="6"/>
  <c r="O147" i="6"/>
  <c r="P147" i="6"/>
  <c r="Q147" i="6"/>
  <c r="N148" i="6"/>
  <c r="O148" i="6"/>
  <c r="P148" i="6"/>
  <c r="Q148" i="6"/>
  <c r="N149" i="6"/>
  <c r="O149" i="6"/>
  <c r="P149" i="6"/>
  <c r="Q149" i="6"/>
  <c r="N151" i="6"/>
  <c r="O151" i="6"/>
  <c r="P151" i="6"/>
  <c r="Q151" i="6"/>
  <c r="N152" i="6"/>
  <c r="O152" i="6"/>
  <c r="P152" i="6"/>
  <c r="Q152" i="6"/>
  <c r="P139" i="6"/>
  <c r="O139" i="6"/>
  <c r="N139" i="6"/>
  <c r="N123" i="6"/>
  <c r="O123" i="6"/>
  <c r="P123" i="6"/>
  <c r="Q123" i="6"/>
  <c r="N124" i="6"/>
  <c r="O124" i="6"/>
  <c r="P124" i="6"/>
  <c r="Q124" i="6"/>
  <c r="N125" i="6"/>
  <c r="O125" i="6"/>
  <c r="P125" i="6"/>
  <c r="Q125" i="6"/>
  <c r="N126" i="6"/>
  <c r="O126" i="6"/>
  <c r="P126" i="6"/>
  <c r="Q126" i="6"/>
  <c r="N127" i="6"/>
  <c r="O127" i="6"/>
  <c r="P127" i="6"/>
  <c r="Q127" i="6"/>
  <c r="N128" i="6"/>
  <c r="O128" i="6"/>
  <c r="P128" i="6"/>
  <c r="Q128" i="6"/>
  <c r="N129" i="6"/>
  <c r="O129" i="6"/>
  <c r="P129" i="6"/>
  <c r="Q129" i="6"/>
  <c r="N130" i="6"/>
  <c r="O130" i="6"/>
  <c r="P130" i="6"/>
  <c r="Q130" i="6"/>
  <c r="N131" i="6"/>
  <c r="O131" i="6"/>
  <c r="P131" i="6"/>
  <c r="Q131" i="6"/>
  <c r="N132" i="6"/>
  <c r="O132" i="6"/>
  <c r="P132" i="6"/>
  <c r="Q132" i="6"/>
  <c r="N133" i="6"/>
  <c r="O133" i="6"/>
  <c r="P133" i="6"/>
  <c r="Q133" i="6"/>
  <c r="N134" i="6"/>
  <c r="O134" i="6"/>
  <c r="P134" i="6"/>
  <c r="Q134" i="6"/>
  <c r="N135" i="6"/>
  <c r="O135" i="6"/>
  <c r="P135" i="6"/>
  <c r="Q135" i="6"/>
  <c r="N136" i="6"/>
  <c r="O136" i="6"/>
  <c r="P136" i="6"/>
  <c r="Q136" i="6"/>
  <c r="P122" i="6"/>
  <c r="O122" i="6"/>
  <c r="N122" i="6"/>
  <c r="N111" i="6"/>
  <c r="O111" i="6"/>
  <c r="P111" i="6"/>
  <c r="Q111" i="6"/>
  <c r="N112" i="6"/>
  <c r="O112" i="6"/>
  <c r="P112" i="6"/>
  <c r="Q112" i="6"/>
  <c r="N109" i="6"/>
  <c r="O109" i="6"/>
  <c r="P109" i="6"/>
  <c r="Q109" i="6"/>
  <c r="N110" i="6"/>
  <c r="O110" i="6"/>
  <c r="P110" i="6"/>
  <c r="Q110" i="6"/>
  <c r="P108" i="6"/>
  <c r="O108" i="6"/>
  <c r="N108" i="6"/>
  <c r="N99" i="6"/>
  <c r="O99" i="6"/>
  <c r="P99" i="6"/>
  <c r="Q99" i="6"/>
  <c r="N100" i="6"/>
  <c r="O100" i="6"/>
  <c r="P100" i="6"/>
  <c r="Q100" i="6"/>
  <c r="N98" i="6"/>
  <c r="O98" i="6"/>
  <c r="P98" i="6"/>
  <c r="Q98" i="6"/>
  <c r="P97" i="6"/>
  <c r="O97" i="6"/>
  <c r="N97" i="6"/>
  <c r="N89" i="6"/>
  <c r="O89" i="6"/>
  <c r="P89" i="6"/>
  <c r="Q89" i="6"/>
  <c r="N90" i="6"/>
  <c r="O90" i="6"/>
  <c r="P90" i="6"/>
  <c r="Q90" i="6"/>
  <c r="N92" i="6"/>
  <c r="O92" i="6"/>
  <c r="P92" i="6"/>
  <c r="Q92" i="6"/>
  <c r="N94" i="6"/>
  <c r="O94" i="6"/>
  <c r="P94" i="6"/>
  <c r="Q94" i="6"/>
  <c r="N88" i="6"/>
  <c r="O88" i="6"/>
  <c r="P88" i="6"/>
  <c r="Q88" i="6"/>
  <c r="N93" i="6"/>
  <c r="O93" i="6"/>
  <c r="P93" i="6"/>
  <c r="Q93" i="6"/>
  <c r="P87" i="6"/>
  <c r="O87" i="6"/>
  <c r="N87" i="6"/>
  <c r="S187" i="6" l="1"/>
  <c r="S188" i="6"/>
  <c r="S192" i="6"/>
  <c r="S193" i="6"/>
  <c r="S194" i="6"/>
  <c r="S197" i="6"/>
  <c r="S198" i="6"/>
  <c r="C44" i="6"/>
  <c r="D47" i="6"/>
  <c r="F46" i="6"/>
  <c r="K37" i="6"/>
  <c r="G37" i="6"/>
  <c r="F34" i="6" l="1"/>
  <c r="P31" i="6"/>
  <c r="O31" i="6"/>
  <c r="N31" i="6"/>
  <c r="J31" i="6"/>
  <c r="I31" i="6"/>
  <c r="H31" i="6"/>
  <c r="G31" i="6"/>
  <c r="E31" i="6"/>
  <c r="D31" i="6"/>
  <c r="B191" i="7" l="1"/>
  <c r="Q97" i="6"/>
  <c r="Q108" i="6"/>
  <c r="Q122" i="6"/>
  <c r="Q139" i="6"/>
  <c r="Q155" i="6"/>
  <c r="Q164" i="6"/>
  <c r="Q185" i="6"/>
  <c r="Q202" i="6"/>
  <c r="Q296" i="6"/>
  <c r="Q308" i="6"/>
  <c r="Q318" i="6"/>
  <c r="Q328" i="6"/>
  <c r="Q87" i="6"/>
  <c r="S319" i="6" l="1"/>
  <c r="A49" i="6" l="1"/>
  <c r="B44" i="6"/>
  <c r="A44" i="6"/>
  <c r="C47" i="6"/>
  <c r="P38" i="6"/>
  <c r="M38" i="6"/>
  <c r="H51" i="2"/>
  <c r="B56" i="2"/>
  <c r="I329" i="6"/>
  <c r="I323" i="6"/>
  <c r="I324" i="6"/>
  <c r="I308" i="6"/>
  <c r="I309" i="6"/>
  <c r="I310" i="6"/>
  <c r="I312" i="6"/>
  <c r="I313" i="6"/>
  <c r="I314" i="6"/>
  <c r="I315" i="6"/>
  <c r="I298" i="6"/>
  <c r="I299" i="6"/>
  <c r="I301" i="6"/>
  <c r="I159" i="6"/>
  <c r="I158" i="6"/>
  <c r="I160" i="6"/>
  <c r="I161" i="6"/>
  <c r="I140" i="6"/>
  <c r="I141" i="6"/>
  <c r="I143" i="6"/>
  <c r="I144" i="6"/>
  <c r="I145" i="6"/>
  <c r="I146" i="6"/>
  <c r="I147" i="6"/>
  <c r="I148" i="6"/>
  <c r="I149" i="6"/>
  <c r="I151" i="6"/>
  <c r="I152" i="6"/>
  <c r="I110" i="6"/>
  <c r="I115" i="6"/>
  <c r="I116" i="6"/>
  <c r="I109" i="6"/>
  <c r="I98" i="6"/>
  <c r="I88" i="6"/>
  <c r="I93" i="6"/>
  <c r="AA329" i="6"/>
  <c r="G56" i="2"/>
  <c r="B52" i="2"/>
  <c r="A83" i="2"/>
  <c r="A81" i="2"/>
  <c r="A78" i="2"/>
  <c r="A77" i="2"/>
  <c r="A71" i="2"/>
  <c r="A55" i="2"/>
  <c r="A60" i="2"/>
  <c r="A58" i="2"/>
  <c r="A56" i="2"/>
  <c r="A54" i="2"/>
  <c r="A50" i="2"/>
  <c r="A49" i="2"/>
  <c r="A44" i="2"/>
  <c r="A43" i="2"/>
  <c r="A10" i="2"/>
  <c r="A47" i="2"/>
  <c r="A12" i="6"/>
  <c r="A10" i="6"/>
  <c r="A126" i="4"/>
  <c r="A125" i="4"/>
  <c r="A95" i="2"/>
  <c r="A94" i="2"/>
  <c r="E13" i="2"/>
  <c r="A13" i="2"/>
  <c r="A12" i="2"/>
  <c r="A11" i="2"/>
  <c r="A5" i="5"/>
  <c r="B10" i="4"/>
  <c r="B8" i="4"/>
  <c r="B6" i="4"/>
  <c r="A98" i="2"/>
  <c r="A97" i="2"/>
  <c r="A14" i="5"/>
  <c r="B4" i="3"/>
  <c r="B205" i="7"/>
  <c r="B204" i="7"/>
  <c r="B201" i="7"/>
  <c r="B200" i="7"/>
  <c r="B199" i="7"/>
  <c r="B197" i="7"/>
  <c r="B196" i="7"/>
  <c r="B195" i="7"/>
  <c r="B194" i="7"/>
  <c r="B193" i="7"/>
  <c r="B189" i="7"/>
  <c r="B188" i="7"/>
  <c r="B186" i="7"/>
  <c r="B183" i="7"/>
  <c r="B180" i="7"/>
  <c r="B179" i="7"/>
  <c r="B178" i="7"/>
  <c r="B177" i="7"/>
  <c r="B176" i="7"/>
  <c r="B175" i="7"/>
  <c r="B174" i="7"/>
  <c r="B173" i="7"/>
  <c r="B172" i="7"/>
  <c r="B169" i="7"/>
  <c r="B168" i="7"/>
  <c r="B167" i="7"/>
  <c r="B20" i="7"/>
  <c r="B19" i="7"/>
  <c r="AA332" i="6"/>
  <c r="S332" i="6"/>
  <c r="I332" i="6"/>
  <c r="AA331" i="6"/>
  <c r="S331" i="6"/>
  <c r="I331" i="6"/>
  <c r="AA330" i="6"/>
  <c r="S330" i="6"/>
  <c r="I330" i="6"/>
  <c r="S329" i="6"/>
  <c r="AA328" i="6"/>
  <c r="S328" i="6"/>
  <c r="I328" i="6"/>
  <c r="S324" i="6"/>
  <c r="S323" i="6"/>
  <c r="S318" i="6"/>
  <c r="I318" i="6"/>
  <c r="S315" i="6"/>
  <c r="S314" i="6"/>
  <c r="S313" i="6"/>
  <c r="S312" i="6"/>
  <c r="AA310" i="6"/>
  <c r="S310" i="6"/>
  <c r="AA309" i="6"/>
  <c r="S309" i="6"/>
  <c r="AA308" i="6"/>
  <c r="S308" i="6"/>
  <c r="S301" i="6"/>
  <c r="S299" i="6"/>
  <c r="S298" i="6"/>
  <c r="S296" i="6"/>
  <c r="I296" i="6"/>
  <c r="AA204" i="6"/>
  <c r="S204" i="6"/>
  <c r="I204" i="6"/>
  <c r="AA203" i="6"/>
  <c r="S203" i="6"/>
  <c r="I203" i="6"/>
  <c r="AA202" i="6"/>
  <c r="S202" i="6"/>
  <c r="I202" i="6"/>
  <c r="S199" i="6"/>
  <c r="S191" i="6"/>
  <c r="S190" i="6"/>
  <c r="S186" i="6"/>
  <c r="S185" i="6"/>
  <c r="AA182" i="6"/>
  <c r="S182" i="6"/>
  <c r="I182" i="6"/>
  <c r="AA181" i="6"/>
  <c r="S181" i="6"/>
  <c r="I181" i="6"/>
  <c r="AA180" i="6"/>
  <c r="S180" i="6"/>
  <c r="I180" i="6"/>
  <c r="AA179" i="6"/>
  <c r="S179" i="6"/>
  <c r="I179" i="6"/>
  <c r="AA178" i="6"/>
  <c r="S178" i="6"/>
  <c r="I178" i="6"/>
  <c r="AA177" i="6"/>
  <c r="S177" i="6"/>
  <c r="I177" i="6"/>
  <c r="AA176" i="6"/>
  <c r="S176" i="6"/>
  <c r="I176" i="6"/>
  <c r="AA175" i="6"/>
  <c r="S175" i="6"/>
  <c r="I175" i="6"/>
  <c r="AA174" i="6"/>
  <c r="S174" i="6"/>
  <c r="I174" i="6"/>
  <c r="AA173" i="6"/>
  <c r="S173" i="6"/>
  <c r="I173" i="6"/>
  <c r="AA172" i="6"/>
  <c r="S172" i="6"/>
  <c r="I172" i="6"/>
  <c r="AA171" i="6"/>
  <c r="S171" i="6"/>
  <c r="I171" i="6"/>
  <c r="AA170" i="6"/>
  <c r="S170" i="6"/>
  <c r="I170" i="6"/>
  <c r="AA169" i="6"/>
  <c r="S169" i="6"/>
  <c r="I169" i="6"/>
  <c r="AA168" i="6"/>
  <c r="S168" i="6"/>
  <c r="I168" i="6"/>
  <c r="S161" i="6"/>
  <c r="S160" i="6"/>
  <c r="S158" i="6"/>
  <c r="S159" i="6"/>
  <c r="AA155" i="6"/>
  <c r="S155" i="6"/>
  <c r="I155" i="6"/>
  <c r="AA152" i="6"/>
  <c r="S152" i="6"/>
  <c r="S151" i="6"/>
  <c r="S149" i="6"/>
  <c r="AA148" i="6"/>
  <c r="S148" i="6"/>
  <c r="AA147" i="6"/>
  <c r="S147" i="6"/>
  <c r="AA146" i="6"/>
  <c r="S146" i="6"/>
  <c r="AA145" i="6"/>
  <c r="S145" i="6"/>
  <c r="AA144" i="6"/>
  <c r="S144" i="6"/>
  <c r="AA143" i="6"/>
  <c r="S143" i="6"/>
  <c r="S141" i="6"/>
  <c r="S140" i="6"/>
  <c r="S139" i="6"/>
  <c r="I139" i="6"/>
  <c r="I136" i="6"/>
  <c r="I135" i="6"/>
  <c r="I133" i="6"/>
  <c r="I132" i="6"/>
  <c r="I131" i="6"/>
  <c r="I130" i="6"/>
  <c r="I129" i="6"/>
  <c r="I128" i="6"/>
  <c r="I127" i="6"/>
  <c r="I126" i="6"/>
  <c r="I125" i="6"/>
  <c r="I124" i="6"/>
  <c r="I122" i="6"/>
  <c r="S116" i="6"/>
  <c r="S115" i="6"/>
  <c r="S110" i="6"/>
  <c r="S109" i="6"/>
  <c r="S119" i="6"/>
  <c r="I119" i="6"/>
  <c r="S117" i="6"/>
  <c r="I117" i="6"/>
  <c r="S114" i="6"/>
  <c r="I114" i="6"/>
  <c r="S111" i="6"/>
  <c r="I111" i="6"/>
  <c r="S108" i="6"/>
  <c r="I108" i="6"/>
  <c r="S98" i="6"/>
  <c r="S105" i="6"/>
  <c r="I105" i="6"/>
  <c r="S104" i="6"/>
  <c r="I104" i="6"/>
  <c r="S102" i="6"/>
  <c r="I102" i="6"/>
  <c r="AA99" i="6"/>
  <c r="S99" i="6"/>
  <c r="I99" i="6"/>
  <c r="S97" i="6"/>
  <c r="I97" i="6"/>
  <c r="AA93" i="6"/>
  <c r="I94" i="6"/>
  <c r="I92" i="6"/>
  <c r="AA89" i="6"/>
  <c r="I89" i="6"/>
  <c r="I87" i="6"/>
  <c r="A56" i="6"/>
  <c r="A55" i="6"/>
  <c r="A54" i="6"/>
  <c r="A53" i="6"/>
  <c r="A52" i="6"/>
  <c r="A51" i="6"/>
  <c r="A50" i="6"/>
  <c r="F49" i="6"/>
  <c r="E49" i="6"/>
  <c r="D49" i="6"/>
  <c r="C49" i="6"/>
  <c r="B49" i="6"/>
  <c r="C48" i="6"/>
  <c r="B48" i="6"/>
  <c r="A48" i="6"/>
  <c r="B47" i="6"/>
  <c r="A47" i="6"/>
  <c r="J46" i="6"/>
  <c r="I46" i="6"/>
  <c r="H46" i="6"/>
  <c r="G46" i="6"/>
  <c r="E46" i="6"/>
  <c r="D46" i="6"/>
  <c r="C46" i="6"/>
  <c r="A46" i="6"/>
  <c r="G45" i="6"/>
  <c r="E45" i="6"/>
  <c r="D45" i="6"/>
  <c r="B45" i="6"/>
  <c r="A45" i="6"/>
  <c r="B43" i="6"/>
  <c r="A43" i="6"/>
  <c r="E42" i="6"/>
  <c r="D42" i="6"/>
  <c r="B42" i="6"/>
  <c r="C42" i="6"/>
  <c r="A42" i="6"/>
  <c r="D41" i="6"/>
  <c r="C41" i="6"/>
  <c r="B41" i="6"/>
  <c r="A41" i="6"/>
  <c r="K40" i="6"/>
  <c r="J40" i="6"/>
  <c r="H40" i="6"/>
  <c r="G40" i="6"/>
  <c r="F40" i="6"/>
  <c r="E40" i="6"/>
  <c r="D40" i="6"/>
  <c r="C40" i="6"/>
  <c r="B40" i="6"/>
  <c r="A40" i="6"/>
  <c r="B39" i="6"/>
  <c r="A39" i="6"/>
  <c r="O38" i="6"/>
  <c r="N38" i="6"/>
  <c r="L38" i="6"/>
  <c r="K38" i="6"/>
  <c r="J38" i="6"/>
  <c r="I38" i="6"/>
  <c r="H38" i="6"/>
  <c r="G38" i="6"/>
  <c r="F38" i="6"/>
  <c r="E38" i="6"/>
  <c r="D38" i="6"/>
  <c r="C38" i="6"/>
  <c r="B38" i="6"/>
  <c r="A38" i="6"/>
  <c r="Q37" i="6"/>
  <c r="P37" i="6"/>
  <c r="M37" i="6"/>
  <c r="I37" i="6"/>
  <c r="O37" i="6"/>
  <c r="J37" i="6"/>
  <c r="N37" i="6"/>
  <c r="F37" i="6"/>
  <c r="E37" i="6"/>
  <c r="C37" i="6"/>
  <c r="D37" i="6"/>
  <c r="B37" i="6"/>
  <c r="A37" i="6"/>
  <c r="C36" i="6"/>
  <c r="B36" i="6"/>
  <c r="A36" i="6"/>
  <c r="B35" i="6"/>
  <c r="A35" i="6"/>
  <c r="K34" i="6"/>
  <c r="H34" i="6"/>
  <c r="J34" i="6"/>
  <c r="I34" i="6"/>
  <c r="E34" i="6"/>
  <c r="D34" i="6"/>
  <c r="C34" i="6"/>
  <c r="B34" i="6"/>
  <c r="A34" i="6"/>
  <c r="B33" i="6"/>
  <c r="A33" i="6"/>
  <c r="P32" i="6"/>
  <c r="O32" i="6"/>
  <c r="N32" i="6"/>
  <c r="M32" i="6"/>
  <c r="L32" i="6"/>
  <c r="K32" i="6"/>
  <c r="J32" i="6"/>
  <c r="I32" i="6"/>
  <c r="H32" i="6"/>
  <c r="G32" i="6"/>
  <c r="F32" i="6"/>
  <c r="E32" i="6"/>
  <c r="D32" i="6"/>
  <c r="C32" i="6"/>
  <c r="A32" i="6"/>
  <c r="C31" i="6"/>
  <c r="B31" i="6"/>
  <c r="A31" i="6"/>
  <c r="A14" i="6"/>
  <c r="A13" i="6"/>
  <c r="A11" i="6"/>
  <c r="C7" i="6"/>
  <c r="N134" i="4"/>
  <c r="S91" i="4"/>
  <c r="R91" i="4"/>
  <c r="Q91" i="4"/>
  <c r="P91" i="4"/>
  <c r="O91" i="4"/>
  <c r="N91" i="4"/>
  <c r="N116" i="4" s="1"/>
  <c r="N128" i="4" s="1"/>
  <c r="N130" i="4" s="1"/>
  <c r="S72" i="4"/>
  <c r="R72" i="4"/>
  <c r="Q72" i="4"/>
  <c r="P72" i="4"/>
  <c r="O72" i="4"/>
  <c r="N27" i="4"/>
  <c r="G94" i="2"/>
  <c r="H76" i="2"/>
  <c r="A33" i="5" s="1"/>
  <c r="H75" i="2"/>
  <c r="A32" i="5" s="1"/>
  <c r="H74" i="2"/>
  <c r="A31" i="5" s="1"/>
  <c r="H73" i="2"/>
  <c r="A30" i="5" s="1"/>
  <c r="H72" i="2"/>
  <c r="A29" i="5" s="1"/>
  <c r="H70" i="2"/>
  <c r="A26" i="5" s="1"/>
  <c r="H69" i="2"/>
  <c r="A25" i="5" s="1"/>
  <c r="H68" i="2"/>
  <c r="A24" i="5" s="1"/>
  <c r="H67" i="2"/>
  <c r="A23" i="5" s="1"/>
  <c r="H66" i="2"/>
  <c r="A22" i="5" s="1"/>
  <c r="H65" i="2"/>
  <c r="A21" i="5" s="1"/>
  <c r="H64" i="2"/>
  <c r="A20" i="5" s="1"/>
  <c r="H63" i="2"/>
  <c r="A19" i="5" s="1"/>
  <c r="H62" i="2"/>
  <c r="A18" i="5" s="1"/>
  <c r="H61" i="2"/>
  <c r="A17" i="5" s="1"/>
  <c r="H58" i="2"/>
  <c r="A36" i="5" s="1"/>
  <c r="G40" i="2"/>
  <c r="H39" i="2"/>
  <c r="A71" i="5" s="1"/>
  <c r="H38" i="2"/>
  <c r="A70" i="5" s="1"/>
  <c r="H37" i="2"/>
  <c r="A69" i="5" s="1"/>
  <c r="H36" i="2"/>
  <c r="A68" i="5" s="1"/>
  <c r="H35" i="2"/>
  <c r="A67" i="5" s="1"/>
  <c r="H34" i="2"/>
  <c r="A66" i="5" s="1"/>
  <c r="H33" i="2"/>
  <c r="A65" i="5" s="1"/>
  <c r="H32" i="2"/>
  <c r="A64" i="5" s="1"/>
  <c r="H31" i="2"/>
  <c r="A63" i="5" s="1"/>
  <c r="H30" i="2"/>
  <c r="A62" i="5" s="1"/>
  <c r="N144" i="4" l="1"/>
  <c r="A28" i="6"/>
  <c r="C28" i="6" s="1"/>
  <c r="A27" i="6"/>
  <c r="C27" i="6" s="1"/>
  <c r="A26" i="6"/>
  <c r="C26" i="6" s="1"/>
  <c r="A25" i="6"/>
  <c r="C25" i="6" s="1"/>
  <c r="A24" i="6"/>
  <c r="C24" i="6" s="1"/>
  <c r="A23" i="6"/>
  <c r="A22" i="6"/>
  <c r="A21" i="6"/>
  <c r="A20" i="6"/>
  <c r="A19" i="6"/>
  <c r="A18" i="6"/>
  <c r="A17" i="6"/>
  <c r="A16" i="6"/>
  <c r="H13" i="2"/>
  <c r="G43" i="2"/>
  <c r="G44" i="2" s="1"/>
  <c r="H56" i="2"/>
  <c r="A11" i="5" s="1"/>
  <c r="G77" i="2"/>
  <c r="G78" i="2" s="1"/>
  <c r="A78" i="5" s="1"/>
  <c r="C16" i="6"/>
  <c r="C17" i="6"/>
  <c r="C18" i="6"/>
  <c r="C19" i="6"/>
  <c r="C20" i="6"/>
  <c r="C21" i="6"/>
  <c r="C22" i="6"/>
  <c r="C23" i="6"/>
  <c r="O135" i="4"/>
  <c r="N137" i="4"/>
  <c r="N141" i="4" s="1"/>
  <c r="N142" i="4" s="1"/>
  <c r="H40" i="2"/>
  <c r="A74" i="5" s="1"/>
  <c r="D29" i="6" l="1"/>
  <c r="A13" i="3" s="1"/>
  <c r="A80" i="6"/>
  <c r="A79" i="6"/>
  <c r="A78" i="6"/>
  <c r="A77" i="6"/>
  <c r="A76" i="6"/>
  <c r="A75" i="6"/>
  <c r="A74" i="6"/>
  <c r="A73" i="6"/>
  <c r="A72" i="6"/>
  <c r="A71" i="6"/>
  <c r="A70" i="6"/>
  <c r="A69" i="6"/>
  <c r="A68" i="6"/>
  <c r="A67" i="6"/>
  <c r="A66" i="6"/>
  <c r="A65" i="6"/>
  <c r="A64" i="6"/>
  <c r="A63" i="6"/>
  <c r="A62" i="6"/>
  <c r="A87" i="5"/>
  <c r="H95" i="2"/>
  <c r="C10" i="8"/>
  <c r="C8" i="8"/>
  <c r="H89" i="2"/>
  <c r="H86" i="2"/>
  <c r="A81" i="5"/>
  <c r="H85" i="2"/>
  <c r="H93" i="2"/>
  <c r="H90" i="2"/>
  <c r="A85" i="5"/>
  <c r="A48" i="5"/>
  <c r="A44" i="5"/>
  <c r="A40" i="5"/>
  <c r="H87" i="2"/>
  <c r="H91" i="2"/>
  <c r="H84" i="2"/>
  <c r="H88" i="2"/>
  <c r="H92" i="2"/>
  <c r="G95" i="2"/>
  <c r="G97" i="2" s="1"/>
  <c r="G98" i="2" s="1"/>
  <c r="H78" i="2"/>
  <c r="A83" i="5"/>
  <c r="A79" i="5"/>
  <c r="A46" i="5"/>
  <c r="A42" i="5"/>
  <c r="B31" i="4"/>
  <c r="A39" i="5"/>
  <c r="A80" i="5"/>
  <c r="A43" i="5"/>
  <c r="A41" i="5"/>
  <c r="A86" i="5"/>
  <c r="A47" i="5"/>
  <c r="A84" i="5"/>
  <c r="A45" i="5"/>
  <c r="A82" i="5"/>
  <c r="O17" i="4"/>
  <c r="A14" i="3" l="1"/>
  <c r="A66" i="4"/>
  <c r="A55" i="4"/>
  <c r="A52" i="4"/>
  <c r="E31" i="4"/>
  <c r="N149" i="4" s="1"/>
  <c r="H31" i="4"/>
  <c r="L31" i="4" s="1"/>
  <c r="C79" i="6"/>
  <c r="C64" i="6"/>
  <c r="C68" i="6"/>
  <c r="C74" i="6"/>
  <c r="C62" i="6"/>
  <c r="C66" i="6"/>
  <c r="C70" i="6"/>
  <c r="C72" i="6"/>
  <c r="C76" i="6"/>
  <c r="C78" i="6"/>
  <c r="C80" i="6"/>
  <c r="C63" i="6"/>
  <c r="C65" i="6"/>
  <c r="C67" i="6"/>
  <c r="C69" i="6"/>
  <c r="C71" i="6"/>
  <c r="C73" i="6"/>
  <c r="C75" i="6"/>
  <c r="C77" i="6"/>
  <c r="C14" i="8"/>
  <c r="C16" i="8"/>
  <c r="F9" i="3"/>
  <c r="O121" i="4"/>
  <c r="E13" i="3" l="1"/>
  <c r="D34" i="7"/>
  <c r="D35" i="7"/>
  <c r="B7" i="4"/>
  <c r="B34" i="4"/>
  <c r="D81" i="6"/>
  <c r="A49" i="4"/>
  <c r="H48" i="4" l="1"/>
  <c r="H60" i="4"/>
  <c r="H63" i="4"/>
  <c r="A225" i="7"/>
  <c r="A52" i="5"/>
  <c r="E55" i="4"/>
  <c r="A209" i="7"/>
  <c r="A26" i="3" s="1"/>
  <c r="H54" i="4"/>
  <c r="E50" i="4"/>
  <c r="E48" i="4"/>
  <c r="E39" i="4"/>
  <c r="E43" i="4"/>
  <c r="E54" i="4"/>
  <c r="B42" i="7"/>
  <c r="H58" i="4"/>
  <c r="A43" i="4"/>
  <c r="A42" i="4"/>
  <c r="A41" i="4"/>
  <c r="A40" i="4"/>
  <c r="A65" i="4"/>
  <c r="A58" i="4"/>
  <c r="H49" i="4"/>
  <c r="O40" i="4"/>
  <c r="P40" i="4" s="1"/>
  <c r="Q40" i="4" s="1"/>
  <c r="R40" i="4" s="1"/>
  <c r="S40" i="4" s="1"/>
  <c r="O63" i="4"/>
  <c r="P63" i="4" s="1"/>
  <c r="Q63" i="4" s="1"/>
  <c r="R63" i="4" s="1"/>
  <c r="S63" i="4" s="1"/>
  <c r="A54" i="4"/>
  <c r="O41" i="4"/>
  <c r="P41" i="4" s="1"/>
  <c r="Q41" i="4" s="1"/>
  <c r="R41" i="4" s="1"/>
  <c r="S41" i="4" s="1"/>
  <c r="A10" i="4"/>
  <c r="O58" i="4"/>
  <c r="O66" i="4" s="1"/>
  <c r="A6" i="5"/>
  <c r="B45" i="7"/>
  <c r="B11" i="3"/>
  <c r="H39" i="4"/>
  <c r="A63" i="4"/>
  <c r="F10" i="3"/>
  <c r="B9" i="4"/>
  <c r="B12" i="4" l="1"/>
  <c r="B11" i="4"/>
  <c r="A23" i="3"/>
  <c r="A20" i="3"/>
  <c r="A19" i="3"/>
  <c r="A17" i="3"/>
  <c r="A18" i="3"/>
  <c r="P58" i="4"/>
  <c r="P66" i="4" s="1"/>
  <c r="O43" i="4"/>
  <c r="P43" i="4" s="1"/>
  <c r="Q43" i="4" s="1"/>
  <c r="R43" i="4" s="1"/>
  <c r="S43" i="4" s="1"/>
  <c r="P65" i="4"/>
  <c r="O65" i="4"/>
  <c r="W36" i="4"/>
  <c r="A109" i="4"/>
  <c r="A112" i="4"/>
  <c r="A34" i="4"/>
  <c r="W70" i="4"/>
  <c r="W79" i="4"/>
  <c r="AA36" i="4"/>
  <c r="AA134" i="4" s="1"/>
  <c r="A93" i="4"/>
  <c r="A97" i="4"/>
  <c r="AA70" i="4"/>
  <c r="B229" i="7"/>
  <c r="A45" i="3"/>
  <c r="A47" i="3" s="1"/>
  <c r="B230" i="7"/>
  <c r="A40" i="3"/>
  <c r="C34" i="7"/>
  <c r="B34" i="7"/>
  <c r="B35" i="7"/>
  <c r="A42" i="3"/>
  <c r="B228" i="7"/>
  <c r="A37" i="3" s="1"/>
  <c r="A29" i="3"/>
  <c r="F32" i="3" s="1"/>
  <c r="C35" i="7"/>
  <c r="V91" i="4" l="1"/>
  <c r="U91" i="4"/>
  <c r="T91" i="4"/>
  <c r="V72" i="4"/>
  <c r="U72" i="4"/>
  <c r="T72" i="4"/>
  <c r="T63" i="4"/>
  <c r="U63" i="4"/>
  <c r="V63" i="4"/>
  <c r="T43" i="4"/>
  <c r="U43" i="4" s="1"/>
  <c r="V43" i="4" s="1"/>
  <c r="T42" i="4"/>
  <c r="U42" i="4" s="1"/>
  <c r="V42" i="4" s="1"/>
  <c r="T41" i="4"/>
  <c r="U41" i="4"/>
  <c r="V41" i="4"/>
  <c r="T40" i="4"/>
  <c r="U40" i="4"/>
  <c r="V40" i="4"/>
  <c r="V36" i="4"/>
  <c r="U36" i="4"/>
  <c r="T36" i="4"/>
  <c r="W42" i="4"/>
  <c r="X42" i="4" s="1"/>
  <c r="Y42" i="4" s="1"/>
  <c r="Z42" i="4" s="1"/>
  <c r="AA42" i="4" s="1"/>
  <c r="AB42" i="4" s="1"/>
  <c r="AC42" i="4" s="1"/>
  <c r="AD42" i="4" s="1"/>
  <c r="AE42" i="4" s="1"/>
  <c r="AF42" i="4" s="1"/>
  <c r="AG42" i="4" s="1"/>
  <c r="AH42" i="4" s="1"/>
  <c r="W41" i="4"/>
  <c r="X41" i="4" s="1"/>
  <c r="Y41" i="4" s="1"/>
  <c r="Z41" i="4" s="1"/>
  <c r="AA41" i="4" s="1"/>
  <c r="AB41" i="4" s="1"/>
  <c r="AC41" i="4" s="1"/>
  <c r="AD41" i="4" s="1"/>
  <c r="AE41" i="4" s="1"/>
  <c r="AF41" i="4" s="1"/>
  <c r="AG41" i="4" s="1"/>
  <c r="AH41" i="4" s="1"/>
  <c r="W43" i="4"/>
  <c r="X43" i="4" s="1"/>
  <c r="Y43" i="4" s="1"/>
  <c r="Z43" i="4" s="1"/>
  <c r="AA43" i="4" s="1"/>
  <c r="AB43" i="4" s="1"/>
  <c r="AC43" i="4" s="1"/>
  <c r="AD43" i="4" s="1"/>
  <c r="AE43" i="4" s="1"/>
  <c r="AF43" i="4" s="1"/>
  <c r="AG43" i="4" s="1"/>
  <c r="AH43" i="4" s="1"/>
  <c r="Q58" i="4"/>
  <c r="Q66" i="4" s="1"/>
  <c r="AH78" i="4"/>
  <c r="AG78" i="4"/>
  <c r="AF78" i="4"/>
  <c r="AE78" i="4"/>
  <c r="AD78" i="4"/>
  <c r="AC78" i="4"/>
  <c r="AB78" i="4"/>
  <c r="AA78" i="4"/>
  <c r="Z78" i="4"/>
  <c r="Y78" i="4"/>
  <c r="X78" i="4"/>
  <c r="W78" i="4"/>
  <c r="B118" i="4"/>
  <c r="AA118" i="4"/>
  <c r="W118" i="4"/>
  <c r="W80" i="4"/>
  <c r="W81" i="4"/>
  <c r="W82" i="4"/>
  <c r="W83" i="4"/>
  <c r="W84" i="4"/>
  <c r="W85" i="4"/>
  <c r="W86" i="4"/>
  <c r="W87" i="4"/>
  <c r="W88" i="4"/>
  <c r="W89" i="4"/>
  <c r="X79" i="4"/>
  <c r="Y79" i="4"/>
  <c r="Z79" i="4"/>
  <c r="AA79" i="4"/>
  <c r="AB79" i="4"/>
  <c r="AC79" i="4"/>
  <c r="AD79" i="4"/>
  <c r="AE79" i="4"/>
  <c r="AF79" i="4"/>
  <c r="AG79" i="4"/>
  <c r="AH79" i="4"/>
  <c r="X80" i="4"/>
  <c r="Y80" i="4"/>
  <c r="Z80" i="4"/>
  <c r="AA80" i="4"/>
  <c r="AB80" i="4"/>
  <c r="AC80" i="4"/>
  <c r="AD80" i="4"/>
  <c r="AE80" i="4"/>
  <c r="AF80" i="4"/>
  <c r="AG80" i="4"/>
  <c r="AH80" i="4"/>
  <c r="X81" i="4"/>
  <c r="Y81" i="4"/>
  <c r="Z81" i="4"/>
  <c r="AA81" i="4"/>
  <c r="AB81" i="4"/>
  <c r="AC81" i="4"/>
  <c r="AD81" i="4"/>
  <c r="AE81" i="4"/>
  <c r="AF81" i="4"/>
  <c r="AG81" i="4"/>
  <c r="AH81" i="4"/>
  <c r="X82" i="4"/>
  <c r="Y82" i="4"/>
  <c r="Z82" i="4"/>
  <c r="AA82" i="4"/>
  <c r="AB82" i="4"/>
  <c r="AC82" i="4"/>
  <c r="AD82" i="4"/>
  <c r="AE82" i="4"/>
  <c r="AF82" i="4"/>
  <c r="AG82" i="4"/>
  <c r="AH82" i="4"/>
  <c r="X83" i="4"/>
  <c r="Y83" i="4"/>
  <c r="Z83" i="4"/>
  <c r="AA83" i="4"/>
  <c r="AB83" i="4"/>
  <c r="AC83" i="4"/>
  <c r="AD83" i="4"/>
  <c r="AE83" i="4"/>
  <c r="AF83" i="4"/>
  <c r="AG83" i="4"/>
  <c r="AH83" i="4"/>
  <c r="X84" i="4"/>
  <c r="Y84" i="4"/>
  <c r="Z84" i="4"/>
  <c r="AA84" i="4"/>
  <c r="AB84" i="4"/>
  <c r="AC84" i="4"/>
  <c r="AD84" i="4"/>
  <c r="AE84" i="4"/>
  <c r="AF84" i="4"/>
  <c r="AG84" i="4"/>
  <c r="AH84" i="4"/>
  <c r="X85" i="4"/>
  <c r="Y85" i="4"/>
  <c r="Z85" i="4"/>
  <c r="AA85" i="4"/>
  <c r="AB85" i="4"/>
  <c r="AC85" i="4"/>
  <c r="AD85" i="4"/>
  <c r="AE85" i="4"/>
  <c r="AF85" i="4"/>
  <c r="AG85" i="4"/>
  <c r="AH85" i="4"/>
  <c r="X86" i="4"/>
  <c r="Y86" i="4"/>
  <c r="Z86" i="4"/>
  <c r="AA86" i="4"/>
  <c r="AB86" i="4"/>
  <c r="AC86" i="4"/>
  <c r="AD86" i="4"/>
  <c r="AE86" i="4"/>
  <c r="AF86" i="4"/>
  <c r="AG86" i="4"/>
  <c r="AH86" i="4"/>
  <c r="X87" i="4"/>
  <c r="Y87" i="4"/>
  <c r="Z87" i="4"/>
  <c r="AA87" i="4"/>
  <c r="AB87" i="4"/>
  <c r="AC87" i="4"/>
  <c r="AD87" i="4"/>
  <c r="AE87" i="4"/>
  <c r="AF87" i="4"/>
  <c r="AG87" i="4"/>
  <c r="AH87" i="4"/>
  <c r="X88" i="4"/>
  <c r="Y88" i="4"/>
  <c r="Z88" i="4"/>
  <c r="AA88" i="4"/>
  <c r="AB88" i="4"/>
  <c r="AC88" i="4"/>
  <c r="AD88" i="4"/>
  <c r="AE88" i="4"/>
  <c r="AF88" i="4"/>
  <c r="AG88" i="4"/>
  <c r="AH88" i="4"/>
  <c r="X89" i="4"/>
  <c r="Y89" i="4"/>
  <c r="Z89" i="4"/>
  <c r="AA89" i="4"/>
  <c r="AB89" i="4"/>
  <c r="AC89" i="4"/>
  <c r="AD89" i="4"/>
  <c r="AE89" i="4"/>
  <c r="AF89" i="4"/>
  <c r="AG89" i="4"/>
  <c r="AH89" i="4"/>
  <c r="AH91" i="4"/>
  <c r="AG91" i="4"/>
  <c r="AF91" i="4"/>
  <c r="AE91" i="4"/>
  <c r="AD91" i="4"/>
  <c r="AC91" i="4"/>
  <c r="AB91" i="4"/>
  <c r="Z91" i="4"/>
  <c r="Y91" i="4"/>
  <c r="X91" i="4"/>
  <c r="W71" i="4"/>
  <c r="W72" i="4" s="1"/>
  <c r="X71" i="4"/>
  <c r="Y71" i="4"/>
  <c r="Z71" i="4"/>
  <c r="AA71" i="4"/>
  <c r="AB71" i="4"/>
  <c r="AC71" i="4"/>
  <c r="AD71" i="4"/>
  <c r="AE71" i="4"/>
  <c r="AF71" i="4"/>
  <c r="AG71" i="4"/>
  <c r="AH71" i="4"/>
  <c r="AH70" i="4"/>
  <c r="AH72" i="4" s="1"/>
  <c r="AG70" i="4"/>
  <c r="AG72" i="4" s="1"/>
  <c r="AF70" i="4"/>
  <c r="AF72" i="4" s="1"/>
  <c r="AE70" i="4"/>
  <c r="AE72" i="4" s="1"/>
  <c r="AD70" i="4"/>
  <c r="AD72" i="4" s="1"/>
  <c r="AC70" i="4"/>
  <c r="AC72" i="4" s="1"/>
  <c r="AB70" i="4"/>
  <c r="AB72" i="4" s="1"/>
  <c r="Z70" i="4"/>
  <c r="Z72" i="4" s="1"/>
  <c r="Y70" i="4"/>
  <c r="Y72" i="4" s="1"/>
  <c r="X70" i="4"/>
  <c r="X72" i="4" s="1"/>
  <c r="AH67" i="4"/>
  <c r="AG67" i="4"/>
  <c r="AF67" i="4"/>
  <c r="AE67" i="4"/>
  <c r="AD67" i="4"/>
  <c r="AH65" i="4"/>
  <c r="AG65" i="4"/>
  <c r="AF65" i="4"/>
  <c r="AE65" i="4"/>
  <c r="AD65" i="4"/>
  <c r="AH63" i="4"/>
  <c r="AG63" i="4"/>
  <c r="AF63" i="4"/>
  <c r="AE63" i="4"/>
  <c r="AD63" i="4"/>
  <c r="W63" i="4"/>
  <c r="X63" i="4" s="1"/>
  <c r="Y63" i="4" s="1"/>
  <c r="Z63" i="4" s="1"/>
  <c r="AA63" i="4" s="1"/>
  <c r="AB63" i="4" s="1"/>
  <c r="AC63" i="4" s="1"/>
  <c r="AH58" i="4"/>
  <c r="AH66" i="4" s="1"/>
  <c r="AG58" i="4"/>
  <c r="AG66" i="4" s="1"/>
  <c r="AF58" i="4"/>
  <c r="AF66" i="4" s="1"/>
  <c r="AE58" i="4"/>
  <c r="AE66" i="4" s="1"/>
  <c r="AD58" i="4"/>
  <c r="AD66" i="4" s="1"/>
  <c r="AH36" i="4"/>
  <c r="AH118" i="4" s="1"/>
  <c r="AG36" i="4"/>
  <c r="AG118" i="4" s="1"/>
  <c r="AF36" i="4"/>
  <c r="AF118" i="4" s="1"/>
  <c r="AE36" i="4"/>
  <c r="AE118" i="4" s="1"/>
  <c r="AC36" i="4"/>
  <c r="AC118" i="4" s="1"/>
  <c r="AB36" i="4"/>
  <c r="AB118" i="4" s="1"/>
  <c r="Z36" i="4"/>
  <c r="Z118" i="4" s="1"/>
  <c r="Y36" i="4"/>
  <c r="Y118" i="4" s="1"/>
  <c r="X36" i="4"/>
  <c r="X118" i="4" s="1"/>
  <c r="AD36" i="4"/>
  <c r="AD118" i="4" s="1"/>
  <c r="A3" i="4"/>
  <c r="U122" i="4"/>
  <c r="P122" i="4"/>
  <c r="T119" i="4"/>
  <c r="T125" i="4" s="1"/>
  <c r="O119" i="4"/>
  <c r="O125" i="4" s="1"/>
  <c r="V119" i="4"/>
  <c r="V125" i="4" s="1"/>
  <c r="V120" i="4"/>
  <c r="V126" i="4" s="1"/>
  <c r="S122" i="4"/>
  <c r="AA91" i="4"/>
  <c r="AA72" i="4"/>
  <c r="AA119" i="4"/>
  <c r="P120" i="4"/>
  <c r="P126" i="4" s="1"/>
  <c r="B125" i="4"/>
  <c r="U120" i="4"/>
  <c r="U126" i="4" s="1"/>
  <c r="U119" i="4"/>
  <c r="U125" i="4" s="1"/>
  <c r="V122" i="4"/>
  <c r="S120" i="4"/>
  <c r="S126" i="4" s="1"/>
  <c r="AA120" i="4"/>
  <c r="S119" i="4"/>
  <c r="T120" i="4"/>
  <c r="T126" i="4" s="1"/>
  <c r="T122" i="4"/>
  <c r="R119" i="4"/>
  <c r="Q120" i="4"/>
  <c r="Q122" i="4"/>
  <c r="Q119" i="4"/>
  <c r="R120" i="4"/>
  <c r="R122" i="4"/>
  <c r="P119" i="4"/>
  <c r="O120" i="4"/>
  <c r="O122" i="4"/>
  <c r="O123" i="4" s="1"/>
  <c r="P121" i="4" s="1"/>
  <c r="P125" i="4" s="1"/>
  <c r="B126" i="4"/>
  <c r="W122" i="4"/>
  <c r="W119" i="4"/>
  <c r="W120" i="4"/>
  <c r="AA122" i="4"/>
  <c r="AA126" i="4" s="1"/>
  <c r="W91" i="4"/>
  <c r="O112" i="4"/>
  <c r="O113" i="4"/>
  <c r="P113" i="4" s="1"/>
  <c r="Q113" i="4" s="1"/>
  <c r="R113" i="4" s="1"/>
  <c r="S113" i="4" s="1"/>
  <c r="E17" i="3"/>
  <c r="D17" i="3"/>
  <c r="AA97" i="6" s="1"/>
  <c r="A35" i="3"/>
  <c r="A53" i="5" s="1"/>
  <c r="C231" i="7"/>
  <c r="B20" i="3"/>
  <c r="E19" i="3"/>
  <c r="A44" i="4"/>
  <c r="E18" i="3"/>
  <c r="O97" i="4"/>
  <c r="O103" i="4"/>
  <c r="P103" i="4" s="1"/>
  <c r="Q103" i="4" s="1"/>
  <c r="R103" i="4" s="1"/>
  <c r="S103" i="4" s="1"/>
  <c r="O104" i="4"/>
  <c r="P104" i="4" s="1"/>
  <c r="Q104" i="4" s="1"/>
  <c r="R104" i="4" s="1"/>
  <c r="S104" i="4" s="1"/>
  <c r="O98" i="4"/>
  <c r="P98" i="4" s="1"/>
  <c r="Q98" i="4" s="1"/>
  <c r="R98" i="4" s="1"/>
  <c r="S98" i="4" s="1"/>
  <c r="O101" i="4"/>
  <c r="P101" i="4" s="1"/>
  <c r="Q101" i="4" s="1"/>
  <c r="R101" i="4" s="1"/>
  <c r="S101" i="4" s="1"/>
  <c r="O106" i="4"/>
  <c r="P106" i="4" s="1"/>
  <c r="Q106" i="4" s="1"/>
  <c r="R106" i="4" s="1"/>
  <c r="S106" i="4" s="1"/>
  <c r="O99" i="4"/>
  <c r="P99" i="4" s="1"/>
  <c r="Q99" i="4" s="1"/>
  <c r="R99" i="4" s="1"/>
  <c r="S99" i="4" s="1"/>
  <c r="O100" i="4"/>
  <c r="P100" i="4" s="1"/>
  <c r="Q100" i="4" s="1"/>
  <c r="R100" i="4" s="1"/>
  <c r="S100" i="4" s="1"/>
  <c r="O105" i="4"/>
  <c r="P105" i="4" s="1"/>
  <c r="Q105" i="4" s="1"/>
  <c r="R105" i="4" s="1"/>
  <c r="S105" i="4" s="1"/>
  <c r="O102" i="4"/>
  <c r="P102" i="4" s="1"/>
  <c r="Q102" i="4" s="1"/>
  <c r="R102" i="4" s="1"/>
  <c r="S102" i="4" s="1"/>
  <c r="R126" i="4"/>
  <c r="W126" i="4"/>
  <c r="W40" i="4"/>
  <c r="X40" i="4" s="1"/>
  <c r="T102" i="4" l="1"/>
  <c r="U102" i="4" s="1"/>
  <c r="V102" i="4" s="1"/>
  <c r="W102" i="4" s="1"/>
  <c r="X102" i="4" s="1"/>
  <c r="Y102" i="4" s="1"/>
  <c r="Z102" i="4" s="1"/>
  <c r="AA102" i="4" s="1"/>
  <c r="AB102" i="4" s="1"/>
  <c r="AC102" i="4" s="1"/>
  <c r="AD102" i="4" s="1"/>
  <c r="AE102" i="4" s="1"/>
  <c r="AF102" i="4" s="1"/>
  <c r="AG102" i="4" s="1"/>
  <c r="AH102" i="4" s="1"/>
  <c r="T105" i="4"/>
  <c r="U105" i="4" s="1"/>
  <c r="V105" i="4" s="1"/>
  <c r="W105" i="4" s="1"/>
  <c r="X105" i="4" s="1"/>
  <c r="Y105" i="4" s="1"/>
  <c r="Z105" i="4" s="1"/>
  <c r="AA105" i="4" s="1"/>
  <c r="AB105" i="4" s="1"/>
  <c r="AC105" i="4" s="1"/>
  <c r="AD105" i="4" s="1"/>
  <c r="AE105" i="4" s="1"/>
  <c r="AF105" i="4" s="1"/>
  <c r="AG105" i="4" s="1"/>
  <c r="AH105" i="4" s="1"/>
  <c r="T100" i="4"/>
  <c r="U100" i="4" s="1"/>
  <c r="V100" i="4" s="1"/>
  <c r="W100" i="4" s="1"/>
  <c r="X100" i="4" s="1"/>
  <c r="Y100" i="4" s="1"/>
  <c r="Z100" i="4" s="1"/>
  <c r="AA100" i="4" s="1"/>
  <c r="AB100" i="4" s="1"/>
  <c r="AC100" i="4" s="1"/>
  <c r="AD100" i="4" s="1"/>
  <c r="AE100" i="4" s="1"/>
  <c r="AF100" i="4" s="1"/>
  <c r="AG100" i="4" s="1"/>
  <c r="AH100" i="4" s="1"/>
  <c r="T99" i="4"/>
  <c r="U99" i="4" s="1"/>
  <c r="V99" i="4" s="1"/>
  <c r="W99" i="4" s="1"/>
  <c r="X99" i="4" s="1"/>
  <c r="Y99" i="4" s="1"/>
  <c r="Z99" i="4" s="1"/>
  <c r="AA99" i="4" s="1"/>
  <c r="AB99" i="4" s="1"/>
  <c r="AC99" i="4" s="1"/>
  <c r="AD99" i="4" s="1"/>
  <c r="AE99" i="4" s="1"/>
  <c r="AF99" i="4" s="1"/>
  <c r="AG99" i="4" s="1"/>
  <c r="AH99" i="4" s="1"/>
  <c r="T106" i="4"/>
  <c r="U106" i="4" s="1"/>
  <c r="V106" i="4" s="1"/>
  <c r="W106" i="4" s="1"/>
  <c r="X106" i="4" s="1"/>
  <c r="Y106" i="4" s="1"/>
  <c r="Z106" i="4" s="1"/>
  <c r="AA106" i="4" s="1"/>
  <c r="AB106" i="4" s="1"/>
  <c r="AC106" i="4" s="1"/>
  <c r="AD106" i="4" s="1"/>
  <c r="AE106" i="4" s="1"/>
  <c r="AF106" i="4" s="1"/>
  <c r="AG106" i="4" s="1"/>
  <c r="AH106" i="4" s="1"/>
  <c r="T101" i="4"/>
  <c r="U101" i="4" s="1"/>
  <c r="V101" i="4" s="1"/>
  <c r="W101" i="4" s="1"/>
  <c r="X101" i="4" s="1"/>
  <c r="Y101" i="4" s="1"/>
  <c r="Z101" i="4" s="1"/>
  <c r="AA101" i="4" s="1"/>
  <c r="AB101" i="4" s="1"/>
  <c r="AC101" i="4" s="1"/>
  <c r="AD101" i="4" s="1"/>
  <c r="AE101" i="4" s="1"/>
  <c r="AF101" i="4" s="1"/>
  <c r="AG101" i="4" s="1"/>
  <c r="AH101" i="4" s="1"/>
  <c r="T98" i="4"/>
  <c r="U98" i="4" s="1"/>
  <c r="V98" i="4" s="1"/>
  <c r="W98" i="4" s="1"/>
  <c r="X98" i="4" s="1"/>
  <c r="Y98" i="4" s="1"/>
  <c r="Z98" i="4" s="1"/>
  <c r="AA98" i="4" s="1"/>
  <c r="AB98" i="4" s="1"/>
  <c r="AC98" i="4" s="1"/>
  <c r="AD98" i="4" s="1"/>
  <c r="AE98" i="4" s="1"/>
  <c r="AF98" i="4" s="1"/>
  <c r="AG98" i="4" s="1"/>
  <c r="AH98" i="4" s="1"/>
  <c r="T104" i="4"/>
  <c r="U104" i="4" s="1"/>
  <c r="V104" i="4" s="1"/>
  <c r="W104" i="4" s="1"/>
  <c r="X104" i="4" s="1"/>
  <c r="Y104" i="4" s="1"/>
  <c r="Z104" i="4" s="1"/>
  <c r="AA104" i="4" s="1"/>
  <c r="AB104" i="4" s="1"/>
  <c r="AC104" i="4" s="1"/>
  <c r="AD104" i="4" s="1"/>
  <c r="AE104" i="4" s="1"/>
  <c r="AF104" i="4" s="1"/>
  <c r="AG104" i="4" s="1"/>
  <c r="AH104" i="4" s="1"/>
  <c r="T103" i="4"/>
  <c r="U103" i="4" s="1"/>
  <c r="V103" i="4" s="1"/>
  <c r="W103" i="4" s="1"/>
  <c r="X103" i="4" s="1"/>
  <c r="Y103" i="4" s="1"/>
  <c r="Z103" i="4" s="1"/>
  <c r="AA103" i="4" s="1"/>
  <c r="AB103" i="4" s="1"/>
  <c r="AC103" i="4" s="1"/>
  <c r="AD103" i="4" s="1"/>
  <c r="AE103" i="4" s="1"/>
  <c r="AF103" i="4" s="1"/>
  <c r="AG103" i="4" s="1"/>
  <c r="AH103" i="4" s="1"/>
  <c r="T113" i="4"/>
  <c r="U113" i="4" s="1"/>
  <c r="V113" i="4" s="1"/>
  <c r="W113" i="4" s="1"/>
  <c r="X113" i="4" s="1"/>
  <c r="Y113" i="4" s="1"/>
  <c r="Z113" i="4" s="1"/>
  <c r="AA113" i="4" s="1"/>
  <c r="AB113" i="4" s="1"/>
  <c r="AC113" i="4" s="1"/>
  <c r="AD113" i="4" s="1"/>
  <c r="AE113" i="4" s="1"/>
  <c r="AF113" i="4" s="1"/>
  <c r="AG113" i="4" s="1"/>
  <c r="AH113" i="4" s="1"/>
  <c r="V118" i="4"/>
  <c r="U118" i="4"/>
  <c r="T118" i="4"/>
  <c r="B23" i="3"/>
  <c r="E44" i="4"/>
  <c r="AA118" i="6"/>
  <c r="AA114" i="6"/>
  <c r="AA117" i="6"/>
  <c r="AA119" i="6"/>
  <c r="Q65" i="4"/>
  <c r="R58" i="4"/>
  <c r="R66" i="4" s="1"/>
  <c r="S118" i="4"/>
  <c r="R118" i="4"/>
  <c r="Q118" i="4"/>
  <c r="P118" i="4"/>
  <c r="O118" i="4"/>
  <c r="AD134" i="4"/>
  <c r="AD122" i="4"/>
  <c r="AD120" i="4"/>
  <c r="AD126" i="4" s="1"/>
  <c r="AD119" i="4"/>
  <c r="AE134" i="4"/>
  <c r="AE122" i="4"/>
  <c r="AE120" i="4"/>
  <c r="AE126" i="4" s="1"/>
  <c r="AE119" i="4"/>
  <c r="AF134" i="4"/>
  <c r="AF122" i="4"/>
  <c r="AF120" i="4"/>
  <c r="AF126" i="4" s="1"/>
  <c r="AF119" i="4"/>
  <c r="AG134" i="4"/>
  <c r="AG122" i="4"/>
  <c r="AG120" i="4"/>
  <c r="AG126" i="4" s="1"/>
  <c r="AG119" i="4"/>
  <c r="AH134" i="4"/>
  <c r="AH122" i="4"/>
  <c r="AH120" i="4"/>
  <c r="AH126" i="4" s="1"/>
  <c r="AH119" i="4"/>
  <c r="X134" i="4"/>
  <c r="X122" i="4"/>
  <c r="X120" i="4"/>
  <c r="X126" i="4" s="1"/>
  <c r="X119" i="4"/>
  <c r="Y134" i="4"/>
  <c r="Y122" i="4"/>
  <c r="Y120" i="4"/>
  <c r="Y126" i="4" s="1"/>
  <c r="Y119" i="4"/>
  <c r="Z134" i="4"/>
  <c r="Z122" i="4"/>
  <c r="Z120" i="4"/>
  <c r="Z126" i="4" s="1"/>
  <c r="Z119" i="4"/>
  <c r="AB134" i="4"/>
  <c r="AB122" i="4"/>
  <c r="AB120" i="4"/>
  <c r="AB126" i="4" s="1"/>
  <c r="AB119" i="4"/>
  <c r="AC134" i="4"/>
  <c r="AC122" i="4"/>
  <c r="AC120" i="4"/>
  <c r="AC126" i="4" s="1"/>
  <c r="AC119" i="4"/>
  <c r="Y40" i="4"/>
  <c r="Z40" i="4" s="1"/>
  <c r="P123" i="4"/>
  <c r="Q121" i="4" s="1"/>
  <c r="Q125" i="4" s="1"/>
  <c r="O126" i="4"/>
  <c r="Q126" i="4"/>
  <c r="E52" i="4"/>
  <c r="O44" i="4"/>
  <c r="P112" i="4"/>
  <c r="O114" i="4"/>
  <c r="O107" i="4"/>
  <c r="P97" i="4"/>
  <c r="E49" i="4"/>
  <c r="O49" i="4" s="1"/>
  <c r="P49" i="4" s="1"/>
  <c r="Q49" i="4" s="1"/>
  <c r="R49" i="4" s="1"/>
  <c r="S49" i="4" s="1"/>
  <c r="B21" i="3"/>
  <c r="E21" i="3" s="1"/>
  <c r="AA126" i="6"/>
  <c r="AA130" i="6"/>
  <c r="AA124" i="6"/>
  <c r="AA108" i="6"/>
  <c r="AA88" i="6"/>
  <c r="AA125" i="6"/>
  <c r="AA129" i="6"/>
  <c r="AA102" i="6"/>
  <c r="AA87" i="6"/>
  <c r="AA128" i="6"/>
  <c r="AA132" i="6"/>
  <c r="AA110" i="6"/>
  <c r="AA104" i="6"/>
  <c r="AA92" i="6"/>
  <c r="AA127" i="6"/>
  <c r="AA131" i="6"/>
  <c r="AA109" i="6"/>
  <c r="AA98" i="6"/>
  <c r="AA94" i="6"/>
  <c r="A31" i="3"/>
  <c r="F30" i="3"/>
  <c r="T49" i="4" l="1"/>
  <c r="U49" i="4" s="1"/>
  <c r="V49" i="4" s="1"/>
  <c r="W49" i="4" s="1"/>
  <c r="R65" i="4"/>
  <c r="S58" i="4"/>
  <c r="X49" i="4"/>
  <c r="Y49" i="4" s="1"/>
  <c r="Q123" i="4"/>
  <c r="R123" i="4" s="1"/>
  <c r="F26" i="3"/>
  <c r="O45" i="4"/>
  <c r="P44" i="4"/>
  <c r="O116" i="4"/>
  <c r="O128" i="4" s="1"/>
  <c r="P114" i="4"/>
  <c r="Q112" i="4"/>
  <c r="Q97" i="4"/>
  <c r="P107" i="4"/>
  <c r="R121" i="4"/>
  <c r="R125" i="4" s="1"/>
  <c r="S66" i="4" l="1"/>
  <c r="T58" i="4"/>
  <c r="T66" i="4"/>
  <c r="S65" i="4"/>
  <c r="Z49" i="4"/>
  <c r="AA49" i="4" s="1"/>
  <c r="AB49" i="4" s="1"/>
  <c r="AC49" i="4" s="1"/>
  <c r="AD49" i="4" s="1"/>
  <c r="AE49" i="4" s="1"/>
  <c r="AF49" i="4" s="1"/>
  <c r="AG49" i="4" s="1"/>
  <c r="AH49" i="4" s="1"/>
  <c r="Q44" i="4"/>
  <c r="P45" i="4"/>
  <c r="P116" i="4"/>
  <c r="P128" i="4" s="1"/>
  <c r="R112" i="4"/>
  <c r="Q114" i="4"/>
  <c r="Q107" i="4"/>
  <c r="R97" i="4"/>
  <c r="S123" i="4"/>
  <c r="S121" i="4"/>
  <c r="S125" i="4" s="1"/>
  <c r="T65" i="4" l="1"/>
  <c r="U58" i="4"/>
  <c r="U66" i="4"/>
  <c r="Q116" i="4"/>
  <c r="Q128" i="4" s="1"/>
  <c r="O67" i="4"/>
  <c r="S112" i="4"/>
  <c r="T112" i="4" s="1"/>
  <c r="R114" i="4"/>
  <c r="Q45" i="4"/>
  <c r="R44" i="4"/>
  <c r="R107" i="4"/>
  <c r="S97" i="4"/>
  <c r="T97" i="4" s="1"/>
  <c r="T123" i="4"/>
  <c r="T121" i="4"/>
  <c r="AA40" i="4"/>
  <c r="AB40" i="4" s="1"/>
  <c r="U97" i="4" l="1"/>
  <c r="T107" i="4"/>
  <c r="T114" i="4"/>
  <c r="U112" i="4"/>
  <c r="U65" i="4"/>
  <c r="V58" i="4"/>
  <c r="V65" i="4" s="1"/>
  <c r="P67" i="4"/>
  <c r="V66" i="4"/>
  <c r="O74" i="4"/>
  <c r="O130" i="4" s="1"/>
  <c r="O133" i="4" s="1"/>
  <c r="O134" i="4" s="1"/>
  <c r="P74" i="4"/>
  <c r="P130" i="4" s="1"/>
  <c r="AC40" i="4"/>
  <c r="AD40" i="4" s="1"/>
  <c r="AE40" i="4" s="1"/>
  <c r="AF40" i="4" s="1"/>
  <c r="AG40" i="4" s="1"/>
  <c r="AH40" i="4" s="1"/>
  <c r="R116" i="4"/>
  <c r="R128" i="4" s="1"/>
  <c r="P133" i="4"/>
  <c r="P134" i="4" s="1"/>
  <c r="O137" i="4"/>
  <c r="P135" i="4" s="1"/>
  <c r="S44" i="4"/>
  <c r="T44" i="4" s="1"/>
  <c r="R45" i="4"/>
  <c r="S114" i="4"/>
  <c r="S107" i="4"/>
  <c r="S116" i="4" s="1"/>
  <c r="S128" i="4" s="1"/>
  <c r="U123" i="4"/>
  <c r="U121" i="4"/>
  <c r="U44" i="4" l="1"/>
  <c r="T45" i="4"/>
  <c r="U114" i="4"/>
  <c r="V112" i="4"/>
  <c r="V114" i="4" s="1"/>
  <c r="T116" i="4"/>
  <c r="T128" i="4" s="1"/>
  <c r="V97" i="4"/>
  <c r="V107" i="4" s="1"/>
  <c r="V116" i="4" s="1"/>
  <c r="V128" i="4" s="1"/>
  <c r="U107" i="4"/>
  <c r="U116" i="4" s="1"/>
  <c r="U128" i="4" s="1"/>
  <c r="Q67" i="4"/>
  <c r="W58" i="4"/>
  <c r="W66" i="4" s="1"/>
  <c r="P137" i="4"/>
  <c r="P141" i="4" s="1"/>
  <c r="P142" i="4" s="1"/>
  <c r="O141" i="4"/>
  <c r="O142" i="4" s="1"/>
  <c r="O149" i="4" s="1"/>
  <c r="S45" i="4"/>
  <c r="V121" i="4"/>
  <c r="V123" i="4"/>
  <c r="V44" i="4" l="1"/>
  <c r="V45" i="4" s="1"/>
  <c r="U45" i="4"/>
  <c r="Q74" i="4"/>
  <c r="Q130" i="4" s="1"/>
  <c r="Q133" i="4" s="1"/>
  <c r="Q134" i="4" s="1"/>
  <c r="R67" i="4"/>
  <c r="W65" i="4"/>
  <c r="X58" i="4"/>
  <c r="X66" i="4" s="1"/>
  <c r="D14" i="8"/>
  <c r="Q135" i="4"/>
  <c r="O144" i="4"/>
  <c r="Q137" i="4"/>
  <c r="R135" i="4" s="1"/>
  <c r="P149" i="4"/>
  <c r="P144" i="4"/>
  <c r="W123" i="4"/>
  <c r="W121" i="4"/>
  <c r="W125" i="4" s="1"/>
  <c r="B51" i="7" l="1"/>
  <c r="R74" i="4"/>
  <c r="R130" i="4" s="1"/>
  <c r="R133" i="4" s="1"/>
  <c r="S67" i="4"/>
  <c r="X65" i="4"/>
  <c r="Y58" i="4"/>
  <c r="Y66" i="4" s="1"/>
  <c r="B52" i="7"/>
  <c r="E8" i="8"/>
  <c r="P154" i="4"/>
  <c r="O154" i="4"/>
  <c r="E14" i="8"/>
  <c r="X123" i="4"/>
  <c r="Y123" i="4" s="1"/>
  <c r="Z123" i="4" s="1"/>
  <c r="X121" i="4"/>
  <c r="X125" i="4" s="1"/>
  <c r="D8" i="8"/>
  <c r="Q141" i="4"/>
  <c r="Q142" i="4" s="1"/>
  <c r="Q144" i="4" s="1"/>
  <c r="W112" i="4"/>
  <c r="X112" i="4" s="1"/>
  <c r="W97" i="4"/>
  <c r="X97" i="4" s="1"/>
  <c r="R137" i="4"/>
  <c r="S135" i="4" s="1"/>
  <c r="Y121" i="4"/>
  <c r="Y125" i="4" s="1"/>
  <c r="R134" i="4"/>
  <c r="B53" i="7" l="1"/>
  <c r="S74" i="4"/>
  <c r="S130" i="4" s="1"/>
  <c r="T67" i="4"/>
  <c r="Y65" i="4"/>
  <c r="Z58" i="4"/>
  <c r="Z66" i="4" s="1"/>
  <c r="X114" i="4"/>
  <c r="Y112" i="4"/>
  <c r="Q154" i="4"/>
  <c r="F8" i="8"/>
  <c r="X107" i="4"/>
  <c r="X116" i="4" s="1"/>
  <c r="X128" i="4" s="1"/>
  <c r="Y97" i="4"/>
  <c r="Q149" i="4"/>
  <c r="W114" i="4"/>
  <c r="W44" i="4"/>
  <c r="X44" i="4" s="1"/>
  <c r="W107" i="4"/>
  <c r="R141" i="4"/>
  <c r="R142" i="4" s="1"/>
  <c r="R149" i="4" s="1"/>
  <c r="G14" i="8" s="1"/>
  <c r="S133" i="4"/>
  <c r="S137" i="4" s="1"/>
  <c r="T135" i="4" s="1"/>
  <c r="Z121" i="4"/>
  <c r="Z125" i="4" s="1"/>
  <c r="T74" i="4" l="1"/>
  <c r="T130" i="4" s="1"/>
  <c r="U67" i="4"/>
  <c r="Z65" i="4"/>
  <c r="AA58" i="4"/>
  <c r="AA66" i="4" s="1"/>
  <c r="Y114" i="4"/>
  <c r="Z112" i="4"/>
  <c r="F14" i="8"/>
  <c r="Y107" i="4"/>
  <c r="Y116" i="4" s="1"/>
  <c r="Y128" i="4" s="1"/>
  <c r="Z97" i="4"/>
  <c r="Z107" i="4" s="1"/>
  <c r="Y44" i="4"/>
  <c r="X45" i="4"/>
  <c r="W116" i="4"/>
  <c r="W128" i="4" s="1"/>
  <c r="W45" i="4"/>
  <c r="R144" i="4"/>
  <c r="S141" i="4"/>
  <c r="S142" i="4" s="1"/>
  <c r="S134" i="4"/>
  <c r="B54" i="7" l="1"/>
  <c r="U74" i="4"/>
  <c r="U130" i="4" s="1"/>
  <c r="V67" i="4"/>
  <c r="T133" i="4"/>
  <c r="AA65" i="4"/>
  <c r="AB58" i="4"/>
  <c r="AB66" i="4" s="1"/>
  <c r="Z114" i="4"/>
  <c r="Z116" i="4" s="1"/>
  <c r="Z128" i="4" s="1"/>
  <c r="AA112" i="4"/>
  <c r="R154" i="4"/>
  <c r="G8" i="8"/>
  <c r="Y45" i="4"/>
  <c r="Z44" i="4"/>
  <c r="Z45" i="4" s="1"/>
  <c r="AA123" i="4"/>
  <c r="AA121" i="4"/>
  <c r="AA125" i="4" s="1"/>
  <c r="S144" i="4"/>
  <c r="S149" i="4"/>
  <c r="B55" i="7" l="1"/>
  <c r="T134" i="4"/>
  <c r="T137" i="4"/>
  <c r="V74" i="4"/>
  <c r="V130" i="4" s="1"/>
  <c r="W67" i="4"/>
  <c r="U133" i="4"/>
  <c r="AB65" i="4"/>
  <c r="AC58" i="4"/>
  <c r="AC66" i="4" s="1"/>
  <c r="AA114" i="4"/>
  <c r="AB112" i="4"/>
  <c r="S154" i="4"/>
  <c r="H14" i="8"/>
  <c r="H8" i="8"/>
  <c r="AB121" i="4"/>
  <c r="AB125" i="4" s="1"/>
  <c r="AB123" i="4"/>
  <c r="AC123" i="4" s="1"/>
  <c r="AD123" i="4" s="1"/>
  <c r="AE123" i="4" s="1"/>
  <c r="AF123" i="4" s="1"/>
  <c r="AG123" i="4" s="1"/>
  <c r="AH123" i="4" s="1"/>
  <c r="AA97" i="4"/>
  <c r="AC121" i="4"/>
  <c r="AC125" i="4" s="1"/>
  <c r="W74" i="4" l="1"/>
  <c r="W130" i="4" s="1"/>
  <c r="X67" i="4"/>
  <c r="T141" i="4"/>
  <c r="T142" i="4" s="1"/>
  <c r="U135" i="4"/>
  <c r="U137" i="4" s="1"/>
  <c r="U134" i="4"/>
  <c r="AC65" i="4"/>
  <c r="AB114" i="4"/>
  <c r="AC112" i="4"/>
  <c r="AC114" i="4" s="1"/>
  <c r="AA107" i="4"/>
  <c r="AB97" i="4"/>
  <c r="AA44" i="4"/>
  <c r="AB44" i="4" s="1"/>
  <c r="AD112" i="4"/>
  <c r="V133" i="4" l="1"/>
  <c r="U141" i="4"/>
  <c r="U142" i="4" s="1"/>
  <c r="V135" i="4"/>
  <c r="T149" i="4"/>
  <c r="T144" i="4"/>
  <c r="T154" i="4" s="1"/>
  <c r="X74" i="4"/>
  <c r="X130" i="4" s="1"/>
  <c r="Y67" i="4"/>
  <c r="AE112" i="4"/>
  <c r="AD114" i="4"/>
  <c r="I14" i="8"/>
  <c r="I8" i="8"/>
  <c r="AD121" i="4"/>
  <c r="AD125" i="4" s="1"/>
  <c r="AB107" i="4"/>
  <c r="AB116" i="4" s="1"/>
  <c r="AB128" i="4" s="1"/>
  <c r="AC97" i="4"/>
  <c r="AC44" i="4"/>
  <c r="AB45" i="4"/>
  <c r="AA116" i="4"/>
  <c r="AA128" i="4" s="1"/>
  <c r="AA45" i="4"/>
  <c r="B56" i="7" l="1"/>
  <c r="Y74" i="4"/>
  <c r="Y130" i="4" s="1"/>
  <c r="Y133" i="4" s="1"/>
  <c r="Z67" i="4"/>
  <c r="U149" i="4"/>
  <c r="U144" i="4"/>
  <c r="U154" i="4" s="1"/>
  <c r="V137" i="4"/>
  <c r="V141" i="4" s="1"/>
  <c r="V142" i="4" s="1"/>
  <c r="V134" i="4"/>
  <c r="W133" i="4" s="1"/>
  <c r="AE114" i="4"/>
  <c r="AF112" i="4"/>
  <c r="AE121" i="4"/>
  <c r="AE125" i="4" s="1"/>
  <c r="AC107" i="4"/>
  <c r="AC116" i="4" s="1"/>
  <c r="AC128" i="4" s="1"/>
  <c r="AD97" i="4"/>
  <c r="AC45" i="4"/>
  <c r="AD44" i="4"/>
  <c r="B57" i="7"/>
  <c r="W135" i="4"/>
  <c r="W137" i="4" s="1"/>
  <c r="X135" i="4" s="1"/>
  <c r="W134" i="4"/>
  <c r="V149" i="4" l="1"/>
  <c r="V144" i="4"/>
  <c r="V154" i="4" s="1"/>
  <c r="Z74" i="4"/>
  <c r="Z130" i="4" s="1"/>
  <c r="Z133" i="4" s="1"/>
  <c r="AA67" i="4"/>
  <c r="AF114" i="4"/>
  <c r="AG112" i="4"/>
  <c r="J14" i="8"/>
  <c r="J8" i="8"/>
  <c r="X133" i="4"/>
  <c r="X137" i="4" s="1"/>
  <c r="AF121" i="4"/>
  <c r="AF125" i="4" s="1"/>
  <c r="Y135" i="4"/>
  <c r="X141" i="4"/>
  <c r="X142" i="4" s="1"/>
  <c r="AD107" i="4"/>
  <c r="AD116" i="4" s="1"/>
  <c r="AD128" i="4" s="1"/>
  <c r="AE97" i="4"/>
  <c r="AE44" i="4"/>
  <c r="AD45" i="4"/>
  <c r="W141" i="4"/>
  <c r="W142" i="4" s="1"/>
  <c r="B58" i="7"/>
  <c r="AA74" i="4" l="1"/>
  <c r="AA130" i="4" s="1"/>
  <c r="AA133" i="4" s="1"/>
  <c r="AB67" i="4"/>
  <c r="AD74" i="4"/>
  <c r="AD130" i="4" s="1"/>
  <c r="AD133" i="4" s="1"/>
  <c r="AG114" i="4"/>
  <c r="AH112" i="4"/>
  <c r="AH114" i="4" s="1"/>
  <c r="K8" i="8"/>
  <c r="K14" i="8"/>
  <c r="AG121" i="4"/>
  <c r="AG125" i="4" s="1"/>
  <c r="AE107" i="4"/>
  <c r="AE116" i="4" s="1"/>
  <c r="AE128" i="4" s="1"/>
  <c r="AF97" i="4"/>
  <c r="AF44" i="4"/>
  <c r="AE45" i="4"/>
  <c r="W149" i="4"/>
  <c r="W144" i="4"/>
  <c r="B59" i="7" l="1"/>
  <c r="AB74" i="4"/>
  <c r="AB130" i="4" s="1"/>
  <c r="AB133" i="4" s="1"/>
  <c r="AC67" i="4"/>
  <c r="AC74" i="4" s="1"/>
  <c r="AC130" i="4" s="1"/>
  <c r="AC133" i="4" s="1"/>
  <c r="AE74" i="4"/>
  <c r="AE130" i="4" s="1"/>
  <c r="AE133" i="4" s="1"/>
  <c r="W154" i="4"/>
  <c r="L8" i="8"/>
  <c r="L14" i="8"/>
  <c r="AH121" i="4"/>
  <c r="AH125" i="4" s="1"/>
  <c r="Y137" i="4"/>
  <c r="X149" i="4"/>
  <c r="X144" i="4"/>
  <c r="AF107" i="4"/>
  <c r="AF116" i="4" s="1"/>
  <c r="AF128" i="4" s="1"/>
  <c r="AG97" i="4"/>
  <c r="AG44" i="4"/>
  <c r="AF45" i="4"/>
  <c r="M14" i="8"/>
  <c r="M8" i="8"/>
  <c r="B60" i="7" l="1"/>
  <c r="AF74" i="4"/>
  <c r="AF130" i="4" s="1"/>
  <c r="AF133" i="4" s="1"/>
  <c r="X154" i="4"/>
  <c r="Y141" i="4"/>
  <c r="Y142" i="4" s="1"/>
  <c r="Z135" i="4"/>
  <c r="Z137" i="4"/>
  <c r="Z141" i="4" s="1"/>
  <c r="Z142" i="4" s="1"/>
  <c r="Y149" i="4"/>
  <c r="Y144" i="4"/>
  <c r="AG107" i="4"/>
  <c r="AG116" i="4" s="1"/>
  <c r="AG128" i="4" s="1"/>
  <c r="AH97" i="4"/>
  <c r="AH107" i="4" s="1"/>
  <c r="AH116" i="4" s="1"/>
  <c r="AH128" i="4" s="1"/>
  <c r="AH44" i="4"/>
  <c r="AH45" i="4" s="1"/>
  <c r="AG45" i="4"/>
  <c r="AA135" i="4"/>
  <c r="AA137" i="4" s="1"/>
  <c r="AB135" i="4" s="1"/>
  <c r="N8" i="8"/>
  <c r="N14" i="8"/>
  <c r="B61" i="7" l="1"/>
  <c r="AG74" i="4"/>
  <c r="AG130" i="4" s="1"/>
  <c r="AG133" i="4" s="1"/>
  <c r="AH74" i="4"/>
  <c r="AH130" i="4" s="1"/>
  <c r="AH133" i="4" s="1"/>
  <c r="Y154" i="4"/>
  <c r="Z149" i="4"/>
  <c r="Z144" i="4"/>
  <c r="O14" i="8"/>
  <c r="O8" i="8"/>
  <c r="AA141" i="4"/>
  <c r="AA142" i="4" s="1"/>
  <c r="B62" i="7" l="1"/>
  <c r="Z154" i="4"/>
  <c r="AB137" i="4"/>
  <c r="AA144" i="4"/>
  <c r="AA149" i="4"/>
  <c r="B63" i="7" l="1"/>
  <c r="AA154" i="4"/>
  <c r="P14" i="8"/>
  <c r="P8" i="8"/>
  <c r="AB141" i="4"/>
  <c r="AB142" i="4" s="1"/>
  <c r="AC135" i="4"/>
  <c r="AC137" i="4"/>
  <c r="AD135" i="4" s="1"/>
  <c r="AB149" i="4"/>
  <c r="AB144" i="4"/>
  <c r="Q14" i="8"/>
  <c r="Q8" i="8"/>
  <c r="B64" i="7" l="1"/>
  <c r="AB154" i="4"/>
  <c r="AD137" i="4"/>
  <c r="AE135" i="4" s="1"/>
  <c r="AC141" i="4"/>
  <c r="AC142" i="4" s="1"/>
  <c r="AC149" i="4" l="1"/>
  <c r="AC144" i="4"/>
  <c r="AE137" i="4"/>
  <c r="AF135" i="4" s="1"/>
  <c r="AD141" i="4"/>
  <c r="AD142" i="4" s="1"/>
  <c r="B65" i="7" l="1"/>
  <c r="L156" i="4" s="1"/>
  <c r="AC154" i="4"/>
  <c r="R8" i="8"/>
  <c r="R14" i="8"/>
  <c r="AD149" i="4"/>
  <c r="AD144" i="4"/>
  <c r="AF137" i="4"/>
  <c r="AG135" i="4" s="1"/>
  <c r="AE141" i="4"/>
  <c r="AE142" i="4" s="1"/>
  <c r="B66" i="7" l="1"/>
  <c r="E16" i="8"/>
  <c r="G16" i="8"/>
  <c r="I16" i="8"/>
  <c r="K16" i="8"/>
  <c r="M16" i="8"/>
  <c r="O16" i="8"/>
  <c r="Q16" i="8"/>
  <c r="D16" i="8"/>
  <c r="F16" i="8"/>
  <c r="H16" i="8"/>
  <c r="J16" i="8"/>
  <c r="L16" i="8"/>
  <c r="N16" i="8"/>
  <c r="P16" i="8"/>
  <c r="R16" i="8"/>
  <c r="B15" i="8"/>
  <c r="P10" i="8"/>
  <c r="J10" i="8"/>
  <c r="K10" i="8"/>
  <c r="B9" i="8"/>
  <c r="G10" i="8"/>
  <c r="O10" i="8"/>
  <c r="F10" i="8"/>
  <c r="N10" i="8"/>
  <c r="R10" i="8"/>
  <c r="E10" i="8"/>
  <c r="I10" i="8"/>
  <c r="M10" i="8"/>
  <c r="Q10" i="8"/>
  <c r="D10" i="8"/>
  <c r="H10" i="8"/>
  <c r="L10" i="8"/>
  <c r="AD154" i="4"/>
  <c r="AE149" i="4"/>
  <c r="AE144" i="4"/>
  <c r="AG137" i="4"/>
  <c r="AH135" i="4" s="1"/>
  <c r="AF141" i="4"/>
  <c r="AF142" i="4" s="1"/>
  <c r="B67" i="7" l="1"/>
  <c r="B11" i="8"/>
  <c r="B17" i="8"/>
  <c r="AE154" i="4"/>
  <c r="AF149" i="4"/>
  <c r="AF144" i="4"/>
  <c r="AH137" i="4"/>
  <c r="AH141" i="4" s="1"/>
  <c r="AH142" i="4" s="1"/>
  <c r="AG141" i="4"/>
  <c r="AG142" i="4" s="1"/>
  <c r="B68" i="7" l="1"/>
  <c r="AF154" i="4"/>
  <c r="AG149" i="4"/>
  <c r="AG144" i="4"/>
  <c r="AH149" i="4"/>
  <c r="AH144" i="4"/>
  <c r="AH154" i="4" s="1"/>
  <c r="B69" i="7" l="1"/>
  <c r="B70" i="7"/>
  <c r="AG15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 Hoekstra</author>
    <author>Hoekstra, ing. J.H. (Jan Hendrik)</author>
    <author>Oerlemans, ir. R.H.J. (Ruud)</author>
  </authors>
  <commentList>
    <comment ref="E11" authorId="0" shapeId="0" xr:uid="{DB18735C-A641-48F2-87C0-B3DE717F23DD}">
      <text>
        <r>
          <rPr>
            <b/>
            <sz val="9"/>
            <color indexed="81"/>
            <rFont val="Tahoma"/>
            <family val="2"/>
          </rPr>
          <t>Eigen vermogen ingeval van balansfinanciering:</t>
        </r>
        <r>
          <rPr>
            <sz val="9"/>
            <color indexed="81"/>
            <rFont val="Tahoma"/>
            <family val="2"/>
          </rPr>
          <t xml:space="preserve">
U kunt hierbij uitgaan van het eigen vermogen op de meest recente jaarrekening, eventueel vermeerderd met extra inbreng van vermogen door aandeelhouders voor het project c.q. de projecten waarvoor u subsidie aanvraagt binnen deze openstellingsronde.  </t>
        </r>
      </text>
    </comment>
    <comment ref="E12" authorId="0" shapeId="0" xr:uid="{76056613-5A6B-412A-B1AF-7686E19E3D1D}">
      <text>
        <r>
          <rPr>
            <b/>
            <sz val="9"/>
            <color indexed="81"/>
            <rFont val="Tahoma"/>
            <family val="2"/>
          </rPr>
          <t>Rentedragende financiering ingeval van balansfinanciering:</t>
        </r>
        <r>
          <rPr>
            <sz val="9"/>
            <color indexed="81"/>
            <rFont val="Tahoma"/>
            <family val="2"/>
          </rPr>
          <t xml:space="preserve">
U kunt hierbij uitgaan van de rentedragende financiering op de meest recente jaarrekening, eventueel vermeerderd met extra financiering voor het project c.q. de projecten waarvoor u subsidie aanvraagt binnen deze openstellingsronde.  </t>
        </r>
      </text>
    </comment>
    <comment ref="E13" authorId="0" shapeId="0" xr:uid="{5BA959CA-0E3C-4744-9021-322AF3DBC2AD}">
      <text>
        <r>
          <rPr>
            <b/>
            <sz val="9"/>
            <color indexed="81"/>
            <rFont val="Tahoma"/>
            <family val="2"/>
          </rPr>
          <t>Eigen vermogen bij balansfinanciering:</t>
        </r>
        <r>
          <rPr>
            <sz val="9"/>
            <color indexed="81"/>
            <rFont val="Tahoma"/>
            <family val="2"/>
          </rPr>
          <t xml:space="preserve">
Voor de bepaling van percentage eigen vermogen wordt de onderstaande berekening aangehouden:
                              eigen vermogen
--------------------------------------------------------------------------------* 100%
eigen vermogen + rentedragende gefinancierd vermogen 
</t>
        </r>
      </text>
    </comment>
    <comment ref="E19" authorId="1" shapeId="0" xr:uid="{A3CD5890-54D4-4181-BD2E-08FACF16070A}">
      <text>
        <r>
          <rPr>
            <sz val="8"/>
            <color indexed="81"/>
            <rFont val="Tahoma"/>
            <family val="2"/>
          </rPr>
          <t xml:space="preserve">Het gaat hier om het aantal productie-installaties waarvoor de aanvrager binnen deze openstellingsronde subsidie aanvraagt.
</t>
        </r>
      </text>
    </comment>
    <comment ref="B22" authorId="0" shapeId="0" xr:uid="{0883EF34-DB4E-4C34-A76D-B6A823DF405B}">
      <text>
        <r>
          <rPr>
            <sz val="9"/>
            <color indexed="81"/>
            <rFont val="Tahoma"/>
            <family val="2"/>
          </rPr>
          <t xml:space="preserve">Hier geeft u een korte omschrijving van uw aanvraag of als u meerdere aanvragen hebt ingediend van alle aanvragen binnen deze openstellingsronde. </t>
        </r>
      </text>
    </comment>
    <comment ref="B25" authorId="0" shapeId="0" xr:uid="{32ECCC70-555C-4142-B006-A8FA95DF9B1D}">
      <text>
        <r>
          <rPr>
            <sz val="9"/>
            <color indexed="81"/>
            <rFont val="Tahoma"/>
            <family val="2"/>
          </rPr>
          <t xml:space="preserve">Hier geeft u een duidelijk plan voor de financiering van de productie-installatie(s) waarvoor u SDE++ aanvraagt. Het financieringsplan moet aannemelijk maken dat het project gefinancierd kan worden als SDE++ subsidie wordt verleend.
- Als het aandeel eigen vermogen in de totale investering minder is dan 20% is ook een verklaring van een financier verplicht.
- U geeft altijd inzicht in het eigen vermogen van de subsidieaanvrager zelf. Dit doet u door het bijvoegen van een jaarrekening of bedrijfsbalans of als u geen jaarrekening of bedrijfsbalans heeft (bijvoorbeeld in het geval dat u een recent een nieuwe entiteit heeft opgericht voor het project waarvoor u subsidie aanvraagt) door toe te lichten waarom u als aanvrager geen jaarrekening of bedrijfsbalans heeft.
- Het onderdeel eigen vermogen door derden of aandeelhouder(s) onderbouwt u door een contract met deze partij(en) bij te voegen en eventueel een jaarrekening of bedrijfsbalans van deze partij(en) bij te voegen. </t>
        </r>
      </text>
    </comment>
    <comment ref="B30" authorId="1" shapeId="0" xr:uid="{23784CDD-DB9C-4030-8964-73BC5D2BD225}">
      <text>
        <r>
          <rPr>
            <b/>
            <sz val="8"/>
            <color indexed="81"/>
            <rFont val="Tahoma"/>
            <family val="2"/>
          </rPr>
          <t>Investeringen:</t>
        </r>
        <r>
          <rPr>
            <sz val="8"/>
            <color indexed="81"/>
            <rFont val="Tahoma"/>
            <family val="2"/>
          </rPr>
          <t xml:space="preserve">
Hieronder vallen alle te verwachten investeringskosten die moeten worden gemaakt ten behoeve van de realisatie van de productie-installatie(s).  
Wanneer u voor één productie-installatie subsidie aanvraagt in deze openstellingsronde, volstaat het noemen van de totale investeringskosten van de installatie.
Wanneer u voor meerdere installaties aanvraagt in deze openstellingsronde, geeft u per installatie of cluster van soortgelijke installaties de investeringskosten op. U kunt in dit invulblok eventueel extra regels invoegen.
In het tabblad Exploitatieberekening geeft u per installatie per hoofdcomponent de investeringskosten op.</t>
        </r>
      </text>
    </comment>
    <comment ref="G40" authorId="2" shapeId="0" xr:uid="{4DEB4B20-4A91-4EDB-9C77-E9BFA6C663F0}">
      <text>
        <r>
          <rPr>
            <b/>
            <sz val="8"/>
            <color indexed="81"/>
            <rFont val="Tahoma"/>
            <family val="2"/>
          </rPr>
          <t xml:space="preserve">Let op:
</t>
        </r>
        <r>
          <rPr>
            <sz val="8"/>
            <color indexed="81"/>
            <rFont val="Tahoma"/>
            <family val="2"/>
          </rPr>
          <t>Dit totaal moet gelijk zijn aan de som van alle aanvragen indien u meerdere aanvragen in deze openstellingsronde hebt ingediend</t>
        </r>
      </text>
    </comment>
    <comment ref="A47" authorId="2" shapeId="0" xr:uid="{B109F112-6E80-4672-A314-F961AE81EA37}">
      <text>
        <r>
          <rPr>
            <sz val="8"/>
            <color indexed="81"/>
            <rFont val="Tahoma"/>
            <family val="2"/>
          </rPr>
          <t xml:space="preserve">De financiering bestaat uit inbreng eigen vermogen en/of inbreng uit vreemd vermogen. 
U geeft op hoeveel Euro u uit eigen vermogen financiert. Het resterende bedrag specificeert u onder het kopje vreemd vermogen. 
</t>
        </r>
      </text>
    </comment>
    <comment ref="B51" authorId="1" shapeId="0" xr:uid="{58FC15CB-5D6F-4107-975E-0BADFF3A2A68}">
      <text>
        <r>
          <rPr>
            <b/>
            <sz val="8"/>
            <color indexed="81"/>
            <rFont val="Tahoma"/>
            <family val="2"/>
          </rPr>
          <t xml:space="preserve">Investeringssubsidies:
</t>
        </r>
        <r>
          <rPr>
            <sz val="8"/>
            <color indexed="81"/>
            <rFont val="Tahoma"/>
            <family val="2"/>
          </rPr>
          <t xml:space="preserve">Hiertoe behoren alle subsidies die worden ontvangen voor de investeringen in alle productie-installaties waarvoor deze aanvrager binnen deze openstellingsronde aanvraagt.
Graag hier de naam van de subsidieregeling vermelden.
</t>
        </r>
      </text>
    </comment>
    <comment ref="G51" authorId="1" shapeId="0" xr:uid="{F514513C-4EAF-4FFE-B8A9-4C709BC96A2A}">
      <text>
        <r>
          <rPr>
            <sz val="8"/>
            <color indexed="81"/>
            <rFont val="Tahoma"/>
            <family val="2"/>
          </rPr>
          <t xml:space="preserve">Graag hier de hoogte van de aangevraagde investeringssubsidie invullen. Hiertoe behoren alle subsidies die worden ontvangen voor de investeringen in alle productie-installaties waarvoor deze aanvrager binnen deze openstellingsronde aanvraagt.
</t>
        </r>
      </text>
    </comment>
    <comment ref="G55" authorId="1" shapeId="0" xr:uid="{A6ABAB8C-40E7-4477-9523-81E3BF52A493}">
      <text>
        <r>
          <rPr>
            <sz val="8"/>
            <color indexed="81"/>
            <rFont val="Tahoma"/>
            <family val="2"/>
          </rPr>
          <t>Het gaat hierbij specifiek om het eigen vermogen van uw onderneming dat beschikbaar is voor de investering in het project op het moment dat u de subsidie aanvraag/aanvragen indient.</t>
        </r>
      </text>
    </comment>
    <comment ref="G58" authorId="1" shapeId="0" xr:uid="{DCF300CC-A4EC-4178-B6C4-3F8E9F0B056E}">
      <text>
        <r>
          <rPr>
            <sz val="8"/>
            <color indexed="81"/>
            <rFont val="Tahoma"/>
            <family val="2"/>
          </rPr>
          <t xml:space="preserve">Hier vult u het totaalbedrag in dat middels crowdfunding of participaties wordt ingebracht.
</t>
        </r>
      </text>
    </comment>
    <comment ref="B61" authorId="1" shapeId="0" xr:uid="{B41E4B29-B323-444D-BE7F-E48FD4B6157D}">
      <text>
        <r>
          <rPr>
            <sz val="8"/>
            <color indexed="81"/>
            <rFont val="Tahoma"/>
            <family val="2"/>
          </rPr>
          <t>Eigen vermogen door derden of aandeelhouder(s) is onderbouwd met een contract.
Maak eventueel duidelijk dat de eigen vermogenverschaffer het geld beschikbaar heeft (jaarrekening of bedrijfsbalans).</t>
        </r>
      </text>
    </comment>
    <comment ref="B72" authorId="1" shapeId="0" xr:uid="{3E733C8E-2217-456D-9AD8-E0A85A7EAE96}">
      <text>
        <r>
          <rPr>
            <sz val="8"/>
            <color indexed="81"/>
            <rFont val="Tahoma"/>
            <family val="2"/>
          </rPr>
          <t>Eigen vermogen door achtergestelde leningen van derden is onderbouwd met een contract.
Maak eventueel duidelijk dat de verschaffer van de achtergestelde lening het geld beschikbaar heeft (jaarrekening of bedrijfsbalans).
Ingeval van een bij overheidswege verschafte achtergestelde lening hoeft u niet te onderbouwen dat deze geld beschikbaar heeft, maar volstaat het contract zelf.</t>
        </r>
      </text>
    </comment>
    <comment ref="B84" authorId="1" shapeId="0" xr:uid="{16A97686-2F0F-4EB4-AC18-7297D26217D0}">
      <text>
        <r>
          <rPr>
            <sz val="8"/>
            <color indexed="81"/>
            <rFont val="Tahoma"/>
            <family val="2"/>
          </rPr>
          <t xml:space="preserve">Onderbouwt u het vreemd vermogen zoveel mogelijk met contracten, offertes of intentieverklaring van de beoogde financier(s). 
</t>
        </r>
        <r>
          <rPr>
            <b/>
            <sz val="8"/>
            <color indexed="81"/>
            <rFont val="Tahoma"/>
            <family val="2"/>
          </rPr>
          <t>Let op:</t>
        </r>
        <r>
          <rPr>
            <sz val="8"/>
            <color indexed="81"/>
            <rFont val="Tahoma"/>
            <family val="2"/>
          </rPr>
          <t xml:space="preserve">
Als u voor de investeringskosten van het project, waarvoor u SDE++ subsidie aanvraagt, over minder dan 20% eigen vermogen beschikt voor deze investering, moet u verplicht een contract, offerte of intentieverklaring van een financier toevoegen. Hieruit moet blijken dat deze financier bereid is om het project te financieren in geval van een positieve SDE+ beschikking.
In het geval dat u wel over 20% van de investeringskosten aan eigen vermogen beschikt, maar dit niet in het project kan of wil investeren moet u eveneens verplicht een contract, offerte of intentieverklaring van de beoogde financier(s) toevoegen.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Hoekstra, ing. J.H. (Jan Hendrik)</author>
  </authors>
  <commentList>
    <comment ref="B17" authorId="0" shapeId="0" xr:uid="{F57BEF25-B077-429F-B020-C8DA35D060E9}">
      <text>
        <r>
          <rPr>
            <sz val="8"/>
            <color indexed="81"/>
            <rFont val="Tahoma"/>
            <family val="2"/>
          </rPr>
          <t xml:space="preserve">Hier vult u het vermogen van de productie-installatie in uitgedrukt in kW.
</t>
        </r>
      </text>
    </comment>
    <comment ref="A32" authorId="0" shapeId="0" xr:uid="{E9095E03-0134-4404-AE13-373076400717}">
      <text>
        <r>
          <rPr>
            <sz val="8"/>
            <color indexed="81"/>
            <rFont val="Tahoma"/>
            <family val="2"/>
          </rPr>
          <t>Alleen warmte die nuttig (volgens artikel 1 van de algemene uitvoeringsregeling stimulering duurzame energieproductie) wordt gebruikt, kan worden gesubsidieerd. Daarom vermeldt u hoe de warmte gebruikt gaat worden.
Als u de opgewekte warmte gebruikt in uw eigen bedrijf, vermeldt dan voor welke gebouwverwarming of welk productieproces u de warmte gaat aanwenden.
Als u warmte levert aan derden, vermeldt dan voor welke gebouwverwarming of welk productieproces uw warmteafnemer de warmte gaat aanwenden.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Oerlemans, ir. R.H.J. (Ruud)</author>
    <author>Hoekstra, ing. J.H. (Jan Hendrik)</author>
    <author>JHH</author>
    <author>RVO</author>
    <author>J.H. Hoekstra</author>
  </authors>
  <commentList>
    <comment ref="B17" authorId="0" shapeId="0" xr:uid="{BAB39E0C-D283-4CF4-BA97-74B02619CE25}">
      <text>
        <r>
          <rPr>
            <b/>
            <sz val="8"/>
            <color indexed="81"/>
            <rFont val="Tahoma"/>
            <family val="2"/>
          </rPr>
          <t>Investeringskosten:</t>
        </r>
        <r>
          <rPr>
            <sz val="8"/>
            <color indexed="81"/>
            <rFont val="Tahoma"/>
            <family val="2"/>
          </rPr>
          <t xml:space="preserve">
Hier beschrijft u de investeringen op niveau van hoofdcomponenten. Hieronder vallen alle te verwachten investeringskosten die moeten worden gemaakt ten behoeve van de realisatie productie-installatie voor duurzame energie. 
Het is voldoende om investeringskosten op het niveau van hoofdcomponenten te specificeren. </t>
        </r>
      </text>
    </comment>
    <comment ref="N17" authorId="1" shapeId="0" xr:uid="{C76EB25A-54F1-4B02-A0F2-3F0332D75775}">
      <text>
        <r>
          <rPr>
            <sz val="8"/>
            <color indexed="81"/>
            <rFont val="Tahoma"/>
            <family val="2"/>
          </rPr>
          <t xml:space="preserve">In dit blok vult u de investeringsbedragen in van de hoofdcomponenten.
</t>
        </r>
      </text>
    </comment>
    <comment ref="E34" authorId="1" shapeId="0" xr:uid="{FE96901E-954C-4690-88F7-3F921FC1A908}">
      <text>
        <r>
          <rPr>
            <b/>
            <sz val="8"/>
            <color indexed="81"/>
            <rFont val="Tahoma"/>
            <family val="2"/>
          </rPr>
          <t>Toelichting:</t>
        </r>
        <r>
          <rPr>
            <sz val="8"/>
            <color indexed="81"/>
            <rFont val="Tahoma"/>
            <family val="2"/>
          </rPr>
          <t xml:space="preserve">
De looptijd van de lening is in deze exploitatieberekening standaard gelijk aan de subsidielooptijd. Indien uw lening een kortere looptijd heeft kunt u de looptijd van de lening naar beneden aanpassen.    
</t>
        </r>
      </text>
    </comment>
    <comment ref="L34" authorId="1" shapeId="0" xr:uid="{D0ABC709-5B7A-4F9E-821F-D64705C99365}">
      <text>
        <r>
          <rPr>
            <b/>
            <sz val="8"/>
            <color indexed="81"/>
            <rFont val="Tahoma"/>
            <family val="2"/>
          </rPr>
          <t>Vreemd vermogen:</t>
        </r>
        <r>
          <rPr>
            <sz val="8"/>
            <color indexed="81"/>
            <rFont val="Tahoma"/>
            <family val="2"/>
          </rPr>
          <t xml:space="preserve">
In dit invulblok vult u het rentepercentage, de looptijd van de lening en de aflossingsvorm van de lening in. Het model rekent dan zelf de aflossing en rente per jaar uit. </t>
        </r>
      </text>
    </comment>
    <comment ref="E40" authorId="1" shapeId="0" xr:uid="{B9921934-3D48-4740-9A73-0017C2B6229C}">
      <text>
        <r>
          <rPr>
            <sz val="8"/>
            <color indexed="81"/>
            <rFont val="Tahoma"/>
            <family val="2"/>
          </rPr>
          <t xml:space="preserve">Hier vult u in welk deel van de door de productie-installatie opgewekte hernieuwbare elektriciteit u gemiddeld per jaar verwacht zelf te gaan gebruiken op uw locatie.
</t>
        </r>
      </text>
    </comment>
    <comment ref="H40" authorId="1" shapeId="0" xr:uid="{471D93E3-4320-42CE-82A0-632898E10BB1}">
      <text>
        <r>
          <rPr>
            <sz val="8"/>
            <color indexed="81"/>
            <rFont val="Tahoma"/>
            <family val="2"/>
          </rPr>
          <t>Voor de opgewekte elektriciteit die u zelf gebruikt, kunt u uitgaan van de vermeden inkoopkosten inclusief bijkomende kosten als energiebelasting (EB) en transportkosten.</t>
        </r>
        <r>
          <rPr>
            <b/>
            <sz val="8"/>
            <color indexed="81"/>
            <rFont val="Tahoma"/>
            <family val="2"/>
          </rPr>
          <t xml:space="preserve"> </t>
        </r>
        <r>
          <rPr>
            <sz val="8"/>
            <color indexed="81"/>
            <rFont val="Tahoma"/>
            <family val="2"/>
          </rPr>
          <t xml:space="preserve">
</t>
        </r>
      </text>
    </comment>
    <comment ref="L40" authorId="1" shapeId="0" xr:uid="{CA53BBD0-50E2-4ACC-9321-47B202327ABC}">
      <text>
        <r>
          <rPr>
            <sz val="8"/>
            <color indexed="81"/>
            <rFont val="Tahoma"/>
            <family val="2"/>
          </rPr>
          <t xml:space="preserve">In dit invulblok vult u de indexatie per soort energie of product waarvoor u subsidie aanvraagt in. Bij elektriciteit geldt het indexatiepercentage in de samengevoegde cel L40-43 voor zowel netlevering, niet-netlevering als gemiste productie.
In het geval dat er sprake is van langlopende energiecontracten of leveringscontracten voor uw product met een vaste prijs, kunt u deze op 0% zetten. Anders kunt u de indexatie invullen die u verwacht voor de prijsontwikkeling in Nederland voor de betreffende soort energie. 
</t>
        </r>
      </text>
    </comment>
    <comment ref="E41" authorId="2" shapeId="0" xr:uid="{3A00D9D8-BBD4-4D82-B5F1-56299B3B9EE6}">
      <text>
        <r>
          <rPr>
            <b/>
            <sz val="9"/>
            <color indexed="81"/>
            <rFont val="Tahoma"/>
            <family val="2"/>
          </rPr>
          <t>Toelichting bij netaansluiting teruglevering ≥ 200 kW</t>
        </r>
        <r>
          <rPr>
            <sz val="9"/>
            <color indexed="81"/>
            <rFont val="Tahoma"/>
            <charset val="1"/>
          </rPr>
          <t xml:space="preserve">
Voor netlevering van elektriciteit door productie-installaties zon-PV, wind, waterkracht en biomassavergisting-WKK op een netaansluiting ≥ 200 kW geldt de voorwaarde dat deze productie niet in aanmerking komt voor SDE++ subsidie tijdens periodes van negatieve elektriciteitsprijzen ≥ 1 uur op de European Power Exchange groothandelsbeurs voor elektriciteit (EPEX). 
Indien U de opgewekte elektriciteit gaat verkopen via een purchase power agreement (PPA) en u laat de productie-installatie doorproduceren tijdens negatieve prijsperioden op de EPEX-beurs, vult u in cel E41 de verwachte hoeveelheid elektriciteit in, die geproduceerd gaat worden ten tijde van negatieve elektriciteieitsprijzen op de EPEX-beurs.
Meer informatie over negatieve elektriciteitsprijzen vindt u op: https://www.rvo.nl/subsidies-financiering/sde/produceren#negatieve-elektriciteitsprijzen
</t>
        </r>
        <r>
          <rPr>
            <b/>
            <sz val="9"/>
            <color indexed="81"/>
            <rFont val="Tahoma"/>
            <family val="2"/>
          </rPr>
          <t>Toelichting bij netaansluiting teruglevering &lt; 200 kW</t>
        </r>
        <r>
          <rPr>
            <sz val="9"/>
            <color indexed="81"/>
            <rFont val="Tahoma"/>
            <charset val="1"/>
          </rPr>
          <t xml:space="preserve">
Indien uw netaansluiting voor teruglevering kleiner is dan 200 KW vult u in cel E41 0 kWh in, omdat de uitsluiting van SDE++ subsidie bij negatieve EPEX-prijzen voor uw productie-installatie niet van toepassing is. 
</t>
        </r>
      </text>
    </comment>
    <comment ref="H41" authorId="3" shapeId="0" xr:uid="{FF054D51-481B-4104-A613-7011D17EA6B5}">
      <text>
        <r>
          <rPr>
            <sz val="9"/>
            <color indexed="81"/>
            <rFont val="Tahoma"/>
            <charset val="1"/>
          </rPr>
          <t xml:space="preserve">In deze cel vult u de marktvergoeding in als u de elektriciteit verkoopt via een stroomafname-overeenkomst (ook wel PPA genoemd).  
</t>
        </r>
      </text>
    </comment>
    <comment ref="E42" authorId="3" shapeId="0" xr:uid="{254E4ACC-93D3-47C4-A795-240605E299A7}">
      <text>
        <r>
          <rPr>
            <b/>
            <sz val="9"/>
            <color indexed="81"/>
            <rFont val="Tahoma"/>
            <family val="2"/>
          </rPr>
          <t xml:space="preserve">Toelichting
</t>
        </r>
        <r>
          <rPr>
            <sz val="9"/>
            <color indexed="81"/>
            <rFont val="Tahoma"/>
            <family val="2"/>
          </rPr>
          <t xml:space="preserve">Voor netlevering van elektriciteit door productie-installaties zon-PV, wind, waterkracht en biomassavergisting-WKK op een netaansluiting ≥ 200 kW geldt de voorwaarde dat deze productie niet in aanmerking komt voor SDE++ subsidie tijdens periodes van negatieve elektriciteitsprijzen ≥ 1 uur op de European Power Exchange groothandelsbeurs voor elektriciteit (EPEX). 
Indien U de opgewekte elektriciteit gaat verkopen op de EPEX-beurs en zet uw productie-installatie stop tijdens negatieve prijzen op de EPEX-beurs, kunt u de  verwachte jaarlijkse germiste productie invullen in cel E42. De marktwaarde staat standaard op 0 €/kWh in cel H42. In het geval u bijvoorbeeld opbrengsten (onbalansvergoeding) verwacht door curtailment (terugregelen of stilzetten) van uw productie-installatie voor opwekking van hernieuwbare elektriciteit kunt u de gemiddelde vergoeding per kWh invullen in cel H42.
 </t>
        </r>
        <r>
          <rPr>
            <b/>
            <sz val="9"/>
            <color indexed="81"/>
            <rFont val="Tahoma"/>
            <family val="2"/>
          </rPr>
          <t xml:space="preserve">
</t>
        </r>
        <r>
          <rPr>
            <sz val="9"/>
            <color indexed="81"/>
            <rFont val="Tahoma"/>
            <family val="2"/>
          </rPr>
          <t xml:space="preserve">Meer informatie over negatieve elektriciteitsprijzen vindt u op: https://www.rvo.nl/subsidies-financiering/sde/produceren#negatieve-elektriciteitsprijzen
</t>
        </r>
        <r>
          <rPr>
            <b/>
            <sz val="9"/>
            <color indexed="81"/>
            <rFont val="Tahoma"/>
            <family val="2"/>
          </rPr>
          <t xml:space="preserve">
</t>
        </r>
      </text>
    </comment>
    <comment ref="H42" authorId="3" shapeId="0" xr:uid="{8B336CEC-8F55-497D-B483-80DDA680A48C}">
      <text>
        <r>
          <rPr>
            <sz val="9"/>
            <color indexed="81"/>
            <rFont val="Tahoma"/>
            <family val="2"/>
          </rPr>
          <t xml:space="preserve">Standaard staat de marktvergoeding voor gemiste productie op € 0/kWh
In het geval u bijvoorbeeld opbrengsten (onbalansvergoeding) verwacht door curtailment (terugregelen of stilzetten) van uw productie-installatie voor opwekking van hernieuwbare elektriciteit, kunt u deze hier invullen.
</t>
        </r>
      </text>
    </comment>
    <comment ref="H43" authorId="4" shapeId="0" xr:uid="{9D5D0B1D-97B4-49B7-AC12-E0FD4FD1F889}">
      <text>
        <r>
          <rPr>
            <sz val="9"/>
            <color indexed="81"/>
            <rFont val="Tahoma"/>
            <family val="2"/>
          </rPr>
          <t xml:space="preserve">In deze cel vult u de door u verwachte verkoopprijs van één kWh elektriciteit in. Hierbij dient u uit te gaan van het gemiddelde over een jaar.
Indien uw productie-installatie zon-PV, wind, osmose, waterkracht, of biomassavergisting-WKK betreft en u geen vaste leveringsprijs hebt, kunt u hier de waarde uit cel H58 overnemen. 
</t>
        </r>
      </text>
    </comment>
    <comment ref="H44" authorId="4" shapeId="0" xr:uid="{C02EE4DD-47AC-46E5-BF2B-A8E3D0728392}">
      <text>
        <r>
          <rPr>
            <sz val="9"/>
            <color indexed="81"/>
            <rFont val="Tahoma"/>
            <family val="2"/>
          </rPr>
          <t>In deze cel vult u de verwachte verkoopprijs van uw product in.
Voor de onderstaande producten is dat in €/kWh:
- hernieuwbare en CO</t>
        </r>
        <r>
          <rPr>
            <vertAlign val="subscript"/>
            <sz val="9"/>
            <color indexed="81"/>
            <rFont val="Tahoma"/>
            <family val="2"/>
          </rPr>
          <t>2</t>
        </r>
        <r>
          <rPr>
            <sz val="9"/>
            <color indexed="81"/>
            <rFont val="Tahoma"/>
            <family val="2"/>
          </rPr>
          <t>-arme warmte
- hernieuwbaar gas
- waterstof 
- hernieuwbare transportbrandstof
Voor de levering van CO</t>
        </r>
        <r>
          <rPr>
            <vertAlign val="subscript"/>
            <sz val="9"/>
            <color indexed="81"/>
            <rFont val="Tahoma"/>
            <family val="2"/>
          </rPr>
          <t>2</t>
        </r>
        <r>
          <rPr>
            <sz val="9"/>
            <color indexed="81"/>
            <rFont val="Tahoma"/>
            <family val="2"/>
          </rPr>
          <t xml:space="preserve"> aan de glastuinbouw (CCU) is dat in €/ton CO</t>
        </r>
        <r>
          <rPr>
            <vertAlign val="subscript"/>
            <sz val="9"/>
            <color indexed="81"/>
            <rFont val="Tahoma"/>
            <family val="2"/>
          </rPr>
          <t>2</t>
        </r>
        <r>
          <rPr>
            <sz val="9"/>
            <color indexed="81"/>
            <rFont val="Tahoma"/>
            <family val="2"/>
          </rPr>
          <t xml:space="preserve">
Hierbij dient u uit te gaan van een gemiddelde prijs over een jaar. 
Indien u warmte opwekt en (een deel van) de opgewekte warmte zelf gebruikt, kunt u (voor dat deel) uitgaan van de vermeden inkoopkosten aan gas inclusief bijkomende kosten als energiebelasting (EB) en transportkosten. 
</t>
        </r>
      </text>
    </comment>
    <comment ref="H49" authorId="4" shapeId="0" xr:uid="{E19CB5C3-9CB5-434E-908D-CB91212ED538}">
      <text>
        <r>
          <rPr>
            <sz val="9"/>
            <color indexed="81"/>
            <rFont val="Tahoma"/>
            <family val="2"/>
          </rPr>
          <t xml:space="preserve">De ETS-1 prijs is in deze exploitatieberekening standaard gelijk aan de ETS-1 component in het voorlopige correctiebedrag (cel H63 op dit tabblad). Indien u kunt onderbouwen dat voor u een andere waarde van toepassing is kunt u dit aanpassen.
</t>
        </r>
      </text>
    </comment>
    <comment ref="L49" authorId="1" shapeId="0" xr:uid="{1FA35F50-4D13-48B8-A56B-FE7F145A22FF}">
      <text>
        <r>
          <rPr>
            <sz val="8"/>
            <color indexed="81"/>
            <rFont val="Tahoma"/>
            <family val="2"/>
          </rPr>
          <t xml:space="preserve">Hier vult u de indexatie in die u verwacht voor de ontwikkeling van de 
ETS-prijs.
</t>
        </r>
      </text>
    </comment>
    <comment ref="E54" authorId="1" shapeId="0" xr:uid="{8CB8E13D-799B-48AC-BEE4-3DE7C9124366}">
      <text>
        <r>
          <rPr>
            <b/>
            <sz val="8"/>
            <color indexed="81"/>
            <rFont val="Tahoma"/>
            <family val="2"/>
          </rPr>
          <t>Toelichting:</t>
        </r>
        <r>
          <rPr>
            <sz val="8"/>
            <color indexed="81"/>
            <rFont val="Tahoma"/>
            <family val="2"/>
          </rPr>
          <t xml:space="preserve">
Hier vult u het bedrag in waarvoor u subsidie aanvraagt.
Standaard staat het maximum basisbedrag ingevuld, maar u kunt ook voor een lager bedrag aanvragen om meer kans op subsidie te maken.
</t>
        </r>
      </text>
    </comment>
    <comment ref="E55" authorId="2" shapeId="0" xr:uid="{47445DE8-7E9F-4DF9-8638-04A97D0CEB2A}">
      <text>
        <r>
          <rPr>
            <b/>
            <sz val="9"/>
            <color indexed="81"/>
            <rFont val="Tahoma"/>
            <family val="2"/>
          </rPr>
          <t>Toelichting:</t>
        </r>
        <r>
          <rPr>
            <sz val="9"/>
            <color indexed="81"/>
            <rFont val="Tahoma"/>
            <charset val="1"/>
          </rPr>
          <t xml:space="preserve">
Als hier een waarde staat, betreft het hier het opbrengstgrensbedrag voor de categorie wind of zon-PV.
Het opbrengstgrensbedrag ligt 0,0180 euro/kWh boven het basisbedrag van de betreffende categorie wind of zon-PV. Indien in enig jaar het correctiebedrag (generieke bepaalde marktprijs) boven het opbrengstgrensbedrag ligt, wordt dit gezien als teveel staatsteun en wordt dit in mindering gebracht op reeds ontvangen subsidies of nog uit te betalen subsidies in de toekomst. Omdat dit rekenmodel werkt met een prognose waarbij prijzen geindexeerd worden naar de toekomst, zullen in dit model alleen "te hoge correctiebedragen" (opbrengsten die uit de markt kunnen worden verkregen) worden verrekend (teruggevorderd) met reeds ontvangen subsidie. Deze terugvordering zal echter nooit hoger zijn dan de reeds ontvangen SDE++ subsidie in de jaren voorafgaand aan de terugvordering.    
</t>
        </r>
      </text>
    </comment>
    <comment ref="H58" authorId="4" shapeId="0" xr:uid="{003EF928-6114-4B7D-917D-4164CFDB6CA6}">
      <text>
        <r>
          <rPr>
            <sz val="9"/>
            <color indexed="81"/>
            <rFont val="Tahoma"/>
            <family val="2"/>
          </rPr>
          <t>Het verwachte correctiebedrag in deze exploitatieberekening is standaard gelijk aan de gemiddelde langetermijn energie-of productprijs die PBL berekend heeft voor de betreffende categorie, teruggerekend naar jaar 1 en eventueel vermeerderd met categorie-afhankelijke opslagen zoals vermeden energiebelasting, transportkosten voor elektriciteit, waarde Garantie van Oorsprong (GVO) en Hernieuwbare Brandstof Eenheden (HBE). Indien u kunt onderbouwen dat een andere set van beginwaarde en indexatie beter aansluit bij een verwachte prijsontwikkeling kunt u dit aanpassen.</t>
        </r>
      </text>
    </comment>
    <comment ref="L58" authorId="4" shapeId="0" xr:uid="{D602FB62-9EE3-4728-B11F-4845354C6EA3}">
      <text>
        <r>
          <rPr>
            <sz val="9"/>
            <color indexed="81"/>
            <rFont val="Tahoma"/>
            <family val="2"/>
          </rPr>
          <t>Hier vult u de indexatie in die u verwacht voor de ontwikkeling van de ETS-prijs.</t>
        </r>
      </text>
    </comment>
    <comment ref="H63" authorId="4" shapeId="0" xr:uid="{5C07FB91-B697-4CF7-80F9-922E45075749}">
      <text>
        <r>
          <rPr>
            <b/>
            <sz val="9"/>
            <color indexed="81"/>
            <rFont val="Tahoma"/>
            <family val="2"/>
          </rPr>
          <t>Toelichting</t>
        </r>
        <r>
          <rPr>
            <sz val="9"/>
            <color indexed="81"/>
            <rFont val="Tahoma"/>
            <family val="2"/>
          </rPr>
          <t xml:space="preserve">
De ETS-1 prijs voor warmtecategorieën is in deze exploitatieberekening standaard gelijk aan de ETS-1 component in het voorlopige correctiebedrag 2025. Bij CCS-categorieën voor ETS-1 installaties is het verwachte correctiebedrag voor ETS-1 in deze exploitatieberekening standaard gelijk aan de gemiddelde langetermijn ETS-1 prijs die PBL berekend heeft voor de betreffende CCS-categorie, teruggerekend naar jaar 1. Indien u kunt onderbouwen dat voor u een andere waarde van toepassing is kunt u dit aanpassen.
</t>
        </r>
        <r>
          <rPr>
            <b/>
            <sz val="9"/>
            <color indexed="81"/>
            <rFont val="Tahoma"/>
            <family val="2"/>
          </rPr>
          <t>NB:
1. Aanpassing rekenregels ETS-1 correctiebedrag</t>
        </r>
        <r>
          <rPr>
            <sz val="9"/>
            <color indexed="81"/>
            <rFont val="Tahoma"/>
            <family val="2"/>
          </rPr>
          <t xml:space="preserve">
Er zijn vanaf 2026 wijzigingen voorzien in de rekenformules voor de ETS-1 correctie voor de volgende categorieën productie-installaties:
- Elektroboiler;
- Categorieën met warmtepompen;
- Waterstofproductie door elektrolyse.
Vanaf 2026 kunnen namelijk vrije emissierechten worden toegekend aan warmte opgewekt door elektriciteit. Omdat elektroboilers warmte opwekken met elektriciteit en warmtepompen een deel van de warmte uit elektriciteit halen zullen installaties waarbij sprake is van een ETS-1 installatie een hoger ETS-1 voordeel behalen en daarom ook een hogere ETS-1 correctie op de SDE++ subsidie krijgen. Dit geldt ook bij restwarmtebenutting met warmtepomp waarbij er warmte wordt geleverd aan ETS-1-installaties.
Voor waterstofproductie door elektrolyse kunnen vanaf 2026 ook vrije emissierechten worden toegekend. Indien dit voor de subsidieontvanger het geval is zal ook hier het ETS-1 voordeel met de SDE++ subsidie worden verrekend.       
In het Model haalbaarheidsstudie SDE++ 2025 zijn standaard de opbrengsten uit ETS-1 en de ETS-1 correctie gelijk aan elkaar. Mocht u de waarden in de cel E49 en E63 handmatig aanpassen, houdt u dan rekening met het bovenstaande.    
</t>
        </r>
        <r>
          <rPr>
            <b/>
            <sz val="9"/>
            <color indexed="81"/>
            <rFont val="Tahoma"/>
            <family val="2"/>
          </rPr>
          <t xml:space="preserve">2. Aankondiging ETS-2 correctie in kamerbrief 6 juni 2025 door ministervan Klimaat &amp; Groen Groei </t>
        </r>
        <r>
          <rPr>
            <sz val="9"/>
            <color indexed="81"/>
            <rFont val="Tahoma"/>
            <family val="2"/>
          </rPr>
          <t xml:space="preserve">
Aanvragers in de SDE++ 2025 kunnen gekort worden op hun subsidie als ze leveren aan sectoren die onder het ETS-2 vallen zodra ETS-2 in werking is getreden. Bij het publiceren van de SDE++ 2025 regeling waren de details m.b.t. een ETS-2 correctie op de SDE++ subsidie nog niet bekend. </t>
        </r>
      </text>
    </comment>
    <comment ref="L63" authorId="4" shapeId="0" xr:uid="{A499367B-D128-4611-BEDF-F93E75B709F0}">
      <text>
        <r>
          <rPr>
            <sz val="9"/>
            <color indexed="81"/>
            <rFont val="Tahoma"/>
            <family val="2"/>
          </rPr>
          <t>Hier vult u de indexatie in die u verwacht voor de ontwikkeling van de ETS-prijs.</t>
        </r>
      </text>
    </comment>
    <comment ref="B70" authorId="1" shapeId="0" xr:uid="{A55D0FB1-30B2-4496-8AC2-0F6B0E8FCC86}">
      <text>
        <r>
          <rPr>
            <b/>
            <sz val="8"/>
            <color indexed="81"/>
            <rFont val="Tahoma"/>
            <family val="2"/>
          </rPr>
          <t>Overige exploitatiesubsidies:</t>
        </r>
        <r>
          <rPr>
            <sz val="8"/>
            <color indexed="81"/>
            <rFont val="Tahoma"/>
            <family val="2"/>
          </rPr>
          <t xml:space="preserve">
Hiertoe behoren alle exploitatiesubsidies die u naast SDE+ subsidie verwacht te ontvangen. Indien van toepassing vult u hier de naam in van exploitatiesubsidie.  
</t>
        </r>
      </text>
    </comment>
    <comment ref="O70" authorId="1" shapeId="0" xr:uid="{A4D96456-68BC-4EEF-8A0D-C47D5CE4D168}">
      <text>
        <r>
          <rPr>
            <sz val="8"/>
            <color indexed="81"/>
            <rFont val="Tahoma"/>
            <family val="2"/>
          </rPr>
          <t xml:space="preserve">Hier kunt u, indien van toepassing, per jaar het bedrag van de overige exploitatiesubsidies invullen.
</t>
        </r>
      </text>
    </comment>
    <comment ref="B71" authorId="1" shapeId="0" xr:uid="{0F6CB6A3-D6F2-4F66-8C2A-F215854F94A2}">
      <text>
        <r>
          <rPr>
            <b/>
            <sz val="8"/>
            <color indexed="81"/>
            <rFont val="Tahoma"/>
            <family val="2"/>
          </rPr>
          <t>Additionele inkomsten:</t>
        </r>
        <r>
          <rPr>
            <sz val="8"/>
            <color indexed="81"/>
            <rFont val="Tahoma"/>
            <family val="2"/>
          </rPr>
          <t xml:space="preserve">
Hieronder vallen alle opbrengsten die uit de exploitatie van het project verkregen worden, bijvoorbeeld verkoopopbrengst van geproduceerde goederen, anders dan de producten waarvoor u subsidie uit de SDE++ ontvangt. Indien van toepassing kunt u hier het type opbrengsten invullen. 
Additionele inkomsten door verkoop van bijproducten bij biomassa installaties kunt u invullen bij "Verwachte kosten (+) en opbrengsten (-) biomassa en bijproducten". </t>
        </r>
      </text>
    </comment>
    <comment ref="O71" authorId="1" shapeId="0" xr:uid="{4D709AE6-106F-446F-AD8E-AA6056055043}">
      <text>
        <r>
          <rPr>
            <sz val="8"/>
            <color indexed="81"/>
            <rFont val="Tahoma"/>
            <family val="2"/>
          </rPr>
          <t xml:space="preserve">Hier kunt u, indien van toepassing, per jaar het bedrag van de overige additionale inkomsten invullen.
</t>
        </r>
      </text>
    </comment>
    <comment ref="B78" authorId="4" shapeId="0" xr:uid="{8A671653-8A7F-44A4-BAEE-264894F976CF}">
      <text>
        <r>
          <rPr>
            <sz val="9"/>
            <color indexed="81"/>
            <rFont val="Tahoma"/>
            <family val="2"/>
          </rPr>
          <t xml:space="preserve">Er wordt hier een lijst met standaard kostenposten getoond. Deze lijst kunt u aanpassen aan uw specifieke project. 
</t>
        </r>
      </text>
    </comment>
    <comment ref="N78" authorId="1" shapeId="0" xr:uid="{0D24105D-03EB-4563-A6DB-4C8039A2BDCA}">
      <text>
        <r>
          <rPr>
            <sz val="8"/>
            <color indexed="81"/>
            <rFont val="Tahoma"/>
            <family val="2"/>
          </rPr>
          <t xml:space="preserve">In dit invulblok vult u per jaar de bedragen van de verschillende soorten aan operationele kosten in. 
</t>
        </r>
      </text>
    </comment>
    <comment ref="L97" authorId="1" shapeId="0" xr:uid="{027DB946-E109-4B00-82F2-F8DCDF57F56F}">
      <text>
        <r>
          <rPr>
            <b/>
            <sz val="8"/>
            <color indexed="81"/>
            <rFont val="Tahoma"/>
            <family val="2"/>
          </rPr>
          <t>Indexatie %:</t>
        </r>
        <r>
          <rPr>
            <sz val="8"/>
            <color indexed="81"/>
            <rFont val="Tahoma"/>
            <family val="2"/>
          </rPr>
          <t xml:space="preserve">
U kunt hierbij uitgaan van de actuele biomassaprijzen en hier een percentage invullen voor de verwachte indexatie (inflatie) van de biomassaprijzen.</t>
        </r>
      </text>
    </comment>
    <comment ref="L112" authorId="1" shapeId="0" xr:uid="{E4056B5B-D666-4019-8799-2514913D0D82}">
      <text>
        <r>
          <rPr>
            <b/>
            <sz val="8"/>
            <color indexed="81"/>
            <rFont val="Tahoma"/>
            <family val="2"/>
          </rPr>
          <t>Indexatie %:</t>
        </r>
        <r>
          <rPr>
            <sz val="8"/>
            <color indexed="81"/>
            <rFont val="Tahoma"/>
            <family val="2"/>
          </rPr>
          <t xml:space="preserve">
U kunt in dit blok een percentage invullen voor de verwachte indexatie (inflatie) van de transport- en opslagkosten van CO₂ </t>
        </r>
      </text>
    </comment>
    <comment ref="B118" authorId="2" shapeId="0" xr:uid="{C0E5D5B5-E5ED-40AA-ABDE-6AB21C8BCC27}">
      <text>
        <r>
          <rPr>
            <b/>
            <sz val="9"/>
            <color indexed="81"/>
            <rFont val="Tahoma"/>
            <family val="2"/>
          </rPr>
          <t xml:space="preserve">Toelichting:
</t>
        </r>
        <r>
          <rPr>
            <sz val="9"/>
            <color indexed="81"/>
            <rFont val="Tahoma"/>
            <family val="2"/>
          </rPr>
          <t xml:space="preserve">De afschrijvingsperiode is in deze exploitatieberekening standaard gelijk aan de economische levensduur van de categorie. Indien de afschrijvingsperiode voor deze productie-installatie korter is, kunt u deze naar beneden aanpassen.    </t>
        </r>
      </text>
    </comment>
    <comment ref="L140" authorId="1" shapeId="0" xr:uid="{306B3295-AB89-4EC2-A889-371D6195B516}">
      <text>
        <r>
          <rPr>
            <b/>
            <sz val="8"/>
            <color indexed="81"/>
            <rFont val="Tahoma"/>
            <family val="2"/>
          </rPr>
          <t>Tarief winstbelasting:</t>
        </r>
        <r>
          <rPr>
            <sz val="8"/>
            <color indexed="81"/>
            <rFont val="Tahoma"/>
            <family val="2"/>
          </rPr>
          <t xml:space="preserve">
Hier vult u het hoge tarief voor de vennootschapsbelasting in, dan wel (als het niet om een rechtspersoon gaat) het tarief in de hoogste schijf voor de inkomstenbelasting. 
Als u niet belastingplichtig bent, stelt u het tarief op 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RVO</author>
  </authors>
  <commentList>
    <comment ref="AC168" authorId="0" shapeId="0" xr:uid="{D9B069DE-A241-422A-B0F9-CEBC39CD9507}">
      <text>
        <r>
          <rPr>
            <b/>
            <sz val="9"/>
            <color indexed="81"/>
            <rFont val="Tahoma"/>
            <charset val="1"/>
          </rPr>
          <t>RVO:</t>
        </r>
        <r>
          <rPr>
            <sz val="9"/>
            <color indexed="81"/>
            <rFont val="Tahoma"/>
            <charset val="1"/>
          </rPr>
          <t xml:space="preserve">
"LT-prijs_e wordt"uit tabel 4b van het Erratum op SDE++ 2025 overgenomen en daarmee verder gerekend.</t>
        </r>
      </text>
    </comment>
    <comment ref="AC185" authorId="0" shapeId="0" xr:uid="{50324FA2-80F5-402A-8079-1BF9F1FF7A0E}">
      <text>
        <r>
          <rPr>
            <b/>
            <sz val="9"/>
            <color indexed="81"/>
            <rFont val="Tahoma"/>
            <charset val="1"/>
          </rPr>
          <t>RVO:</t>
        </r>
        <r>
          <rPr>
            <sz val="9"/>
            <color indexed="81"/>
            <rFont val="Tahoma"/>
            <charset val="1"/>
          </rPr>
          <t xml:space="preserve">
"LT-prijs_e wordt"uit tabel 4b van het Erratum op SDE++ 2025 overgenomen en daarmee verder gerekend.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Mugge, Matthijs</author>
    <author>Blok, Janneke</author>
  </authors>
  <commentList>
    <comment ref="D86" authorId="0" shapeId="0" xr:uid="{33285024-D10E-47F0-BF0A-D284F736126D}">
      <text>
        <r>
          <rPr>
            <sz val="11"/>
            <color theme="1"/>
            <rFont val="Calibri"/>
            <family val="2"/>
            <scheme val="minor"/>
          </rPr>
          <t>Mugge, Matthijs:
Update 17 September 2024</t>
        </r>
      </text>
    </comment>
    <comment ref="D89" authorId="0" shapeId="0" xr:uid="{7209549D-9768-4855-8F3B-8A29D588117D}">
      <text>
        <r>
          <rPr>
            <sz val="11"/>
            <color theme="1"/>
            <rFont val="Calibri"/>
            <family val="2"/>
            <scheme val="minor"/>
          </rPr>
          <t>Mugge, Matthijs:
Update 17 September 2024</t>
        </r>
      </text>
    </comment>
    <comment ref="D94" authorId="1" shapeId="0" xr:uid="{146E9E61-828D-4C4D-AEE8-B5304D8FFCA5}">
      <text>
        <r>
          <rPr>
            <sz val="11"/>
            <color theme="1"/>
            <rFont val="Calibri"/>
            <family val="2"/>
            <scheme val="minor"/>
          </rPr>
          <t>CH:
Update 16 september 2024</t>
        </r>
      </text>
    </comment>
    <comment ref="D101" authorId="1" shapeId="0" xr:uid="{7311BB55-D5D9-4191-98B1-F0CF9C8B187B}">
      <text>
        <r>
          <rPr>
            <sz val="11"/>
            <color theme="1"/>
            <rFont val="Calibri"/>
            <family val="2"/>
            <scheme val="minor"/>
          </rPr>
          <t>Blok, Janneke:
In een latere versie (september 2024) zal dit geactualiseerd worden.</t>
        </r>
      </text>
    </comment>
    <comment ref="H101" authorId="1" shapeId="0" xr:uid="{4DE04EDA-2C46-4042-BE56-FAF179B91E3E}">
      <text>
        <r>
          <rPr>
            <sz val="11"/>
            <color theme="1"/>
            <rFont val="Calibri"/>
            <family val="2"/>
            <scheme val="minor"/>
          </rPr>
          <t>17-09: geupdate a.d.h.v. KEV2024
20-9: vorige update leek verkeerd, nu waardes Carina gehanteerd</t>
        </r>
      </text>
    </comment>
    <comment ref="D102" authorId="1" shapeId="0" xr:uid="{F0DCB8ED-1840-48CE-8FA2-C2B1EEB95C66}">
      <text>
        <r>
          <rPr>
            <sz val="11"/>
            <color theme="1"/>
            <rFont val="Calibri"/>
            <family val="2"/>
            <scheme val="minor"/>
          </rPr>
          <t>Blok, Janneke:
In een latere versie (september 2024) zal dit geactualiseerd worden.</t>
        </r>
      </text>
    </comment>
    <comment ref="H102" authorId="1" shapeId="0" xr:uid="{9C60286E-61D3-4E98-A947-6B49A27D094B}">
      <text>
        <r>
          <rPr>
            <sz val="11"/>
            <color theme="1"/>
            <rFont val="Calibri"/>
            <family val="2"/>
            <scheme val="minor"/>
          </rPr>
          <t>17-09: geupdate a.d.h.v. KEV2024
20-9: Vorige waardes leken verkeerd, nu waardes van Carina gehanteerd.</t>
        </r>
      </text>
    </comment>
  </commentList>
</comments>
</file>

<file path=xl/sharedStrings.xml><?xml version="1.0" encoding="utf-8"?>
<sst xmlns="http://schemas.openxmlformats.org/spreadsheetml/2006/main" count="3181" uniqueCount="1059">
  <si>
    <t>Algemene instructies</t>
  </si>
  <si>
    <t xml:space="preserve">Handleiding haalbaarheidsstudie SDE++ </t>
  </si>
  <si>
    <t xml:space="preserve">De tabbladen van dit model haalbaarheidsstudie zijn aan elkaar gekoppeld. U vult eerst het tabblad 'Financiering en projectplan' in, daarna het tabblad 'Productie en afzet' en tenslotte het tabblad  'Exploitatieberekening'. </t>
  </si>
  <si>
    <t>Compatibiliteit Excelmodel met Microsoft Windows en andere besturingssystemen</t>
  </si>
  <si>
    <t xml:space="preserve">Dit Excelmodel functioneert het beste in combinatie met Microsoft Windows. Bij gebruik van dit Excelmodel op computers met andere besturingssystemen kunnen (compatiliteits)problemen ontstaan. In dat geval wordt u geadviseerd gebruik te maken van een computer met een Windows besturingssysteem. </t>
  </si>
  <si>
    <t>Instructie per tabblad</t>
  </si>
  <si>
    <t xml:space="preserve">Financiering en projectplan </t>
  </si>
  <si>
    <r>
      <t xml:space="preserve">In het tabblad  'Financiering en projectplan' moet u onderbouwen hoe u </t>
    </r>
    <r>
      <rPr>
        <u/>
        <sz val="10"/>
        <rFont val="Arial"/>
        <family val="2"/>
      </rPr>
      <t>alle productie-installaties</t>
    </r>
    <r>
      <rPr>
        <sz val="10"/>
        <rFont val="Arial"/>
        <family val="2"/>
      </rPr>
      <t xml:space="preserve"> waarvoor u in deze openstellingsronde subsidie aanvraagt gaat financieren. Dit wordt aan u gevraagd om te kunnen toetsen of u als aanvrager al uw aanvragen ook daadwerkelijk kunt realiseren.     </t>
    </r>
  </si>
  <si>
    <t xml:space="preserve">Productie en afzet </t>
  </si>
  <si>
    <r>
      <t xml:space="preserve">In het tabblad  'Productie en afzet' wordt u gevraagd voor de </t>
    </r>
    <r>
      <rPr>
        <u/>
        <sz val="10"/>
        <rFont val="Arial"/>
        <family val="2"/>
      </rPr>
      <t>betreffende aanvraag</t>
    </r>
    <r>
      <rPr>
        <sz val="10"/>
        <rFont val="Arial"/>
        <family val="2"/>
      </rPr>
      <t xml:space="preserve"> een omschrijving van de beoogde productie-installatie te geven met een product- of energieopbrengstberekening. Indien de productie-installatie warmte opwekt, moet u ook een onderbouwing geven van de beoogde toepassing voor warmteafzet.     </t>
    </r>
  </si>
  <si>
    <t>Exploitatieberekening</t>
  </si>
  <si>
    <t>In het tabblad  'Exploitatieberekening' zijn een aantal kentallen reeds ingevuld als u de tabbladen 'Financiering en projectplan' en 'Energieopbrengst en warmteafzet' hebt ingevuld. U vult voor de betreffende aanvraag nog de ontbrekende gegegevens in en het model rekent dan zelf het projectrendement, het rendement op eigen vermogen en de Debt Service Coverage Ratio (DSCR) uit.</t>
  </si>
  <si>
    <t>Exploitatieberekening en leasing</t>
  </si>
  <si>
    <t>Als u als aanvrager een leasemaatschappij bent, vermeldt u onder 'opbrengsten' de exploitatieopbrengsten uit het project. Hier moet u niet de leasetermijnen invullen.</t>
  </si>
  <si>
    <t xml:space="preserve">Onder 'inkopen en bedrijfskosten' vult u de exploitatiekosten voor het project in.  </t>
  </si>
  <si>
    <t>Ingeval van lease (bij vaste leasetermijnen) vult als aflossingsvorm onder het kopje 'Financiering' annuïteit in.</t>
  </si>
  <si>
    <t>Volledigheid haalbaarheidsstudie</t>
  </si>
  <si>
    <t>Vergeet u niet dit model haalbaarheidsstudie volledig in te vullen en alle verplichte bijlagen mee te sturen die bij deze haalbaarheidsstudie horen. Onvolledige aanvragen kunnen niet in behandeling worden genomen.</t>
  </si>
  <si>
    <t xml:space="preserve">Als u de tabbladen 'Financiering en projectplan', 'Productie en afzet' en 'Exploitatieberekening' volledig hebt ingevuld, kunt u in het tabblad 'Overzicht bijlagen' de stukken vinden die u in ieder geval met de haalbaarheidsstudie mee moet sturen bij uw subsidieaanvraag in eloket. </t>
  </si>
  <si>
    <t>Disclaimer</t>
  </si>
  <si>
    <t>Hoewel dit Model haalbaarheidsstudie met de grootst mogelijke zorg is samengesteld kan Rijksdienst voor Ondernemend Nederland geen enkele aansprakelijkheid aanvaarden voor eventuele fouten.</t>
  </si>
  <si>
    <t xml:space="preserve">Onderbouwing eigen vermogen en financiering voor alle productie-installaties waarvoor deze aanvrager binnen deze openstellingsronde subsidie aanvraagt </t>
  </si>
  <si>
    <t>Algemene gegevens</t>
  </si>
  <si>
    <t>Naam aanvrager/producent</t>
  </si>
  <si>
    <t>Is de aanvrager producent?</t>
  </si>
  <si>
    <t>Hoe financiert u als aanvrager SDE++ projecten?</t>
  </si>
  <si>
    <t xml:space="preserve">Heeft de aanvrager een jaarrekening?  </t>
  </si>
  <si>
    <t>Voor hoeveel productie-installaties vraagt de aanvrager subsidie aan?</t>
  </si>
  <si>
    <t xml:space="preserve">Overzicht van uw aanvraag of aanvragen binnen deze openstellingsronde  </t>
  </si>
  <si>
    <t>Financieringsplan voor alle productie-installaties waarvoor de aanvrager subsidie aanvraagt</t>
  </si>
  <si>
    <t>Totale investeringen voor alle productie-installaties waarvoor de aanvrager subsidie aanvraagt</t>
  </si>
  <si>
    <t xml:space="preserve">Investeringskosten per productie-installatie (€) </t>
  </si>
  <si>
    <t>Totale investeringskosten</t>
  </si>
  <si>
    <t xml:space="preserve">Eigen vermogen en rentedragende financiering bij balansfinanciering  </t>
  </si>
  <si>
    <t>Tekstvak voor toelichtingen aanvrager</t>
  </si>
  <si>
    <t xml:space="preserve">Productieberekening  </t>
  </si>
  <si>
    <t>Naam aanvrager</t>
  </si>
  <si>
    <t xml:space="preserve">Projectnaam </t>
  </si>
  <si>
    <t>Hoofdthema productie-installaties</t>
  </si>
  <si>
    <t>Indeling subthema's productie-installaties</t>
  </si>
  <si>
    <t>Categorie SDE+</t>
  </si>
  <si>
    <t xml:space="preserve">U hebt gekozen voor de categorie </t>
  </si>
  <si>
    <t>Verwachte productie</t>
  </si>
  <si>
    <t>Aantal vollasturen (uur/jaar)</t>
  </si>
  <si>
    <t>Onderbouwing energie- of productopbrengst</t>
  </si>
  <si>
    <t xml:space="preserve">Onderbouwing aanwending hernieuwbare of koolstofdioxide-arme warmte </t>
  </si>
  <si>
    <t>Onderbouwing warmtelevering aan derden</t>
  </si>
  <si>
    <t>Verklaring van de netbeheerder voor invoeden hernieuwbaar gas</t>
  </si>
  <si>
    <t>Capaciteitsverklaring transport- en opslagpartij voor transport en opslag van CO₂</t>
  </si>
  <si>
    <t>ETS-correctie/Geen ETS-correctie</t>
  </si>
  <si>
    <t>Categorie SDE++</t>
  </si>
  <si>
    <t>Subsidielooptijd (jaar)</t>
  </si>
  <si>
    <t>Investeringen</t>
  </si>
  <si>
    <t xml:space="preserve">Investeringskosten gespecificeerd op hoofdcomponenten (€) </t>
  </si>
  <si>
    <r>
      <t>Totale investeringskosten (€</t>
    </r>
    <r>
      <rPr>
        <b/>
        <sz val="10"/>
        <rFont val="Calibri"/>
        <family val="2"/>
      </rPr>
      <t>)</t>
    </r>
  </si>
  <si>
    <t>Financiering</t>
  </si>
  <si>
    <t>Eigen vermogen (%)</t>
  </si>
  <si>
    <t>Eigen vermogen (€)</t>
  </si>
  <si>
    <t>Vreemd vermogen (%)</t>
  </si>
  <si>
    <t>Vreemd vermogen (€)</t>
  </si>
  <si>
    <t>Eigen vermogen en vreemd vermogen</t>
  </si>
  <si>
    <t>Lening</t>
  </si>
  <si>
    <r>
      <t>Bedrag lening (€</t>
    </r>
    <r>
      <rPr>
        <sz val="10"/>
        <color indexed="8"/>
        <rFont val="Arial"/>
        <family val="2"/>
      </rPr>
      <t>)</t>
    </r>
  </si>
  <si>
    <t>Looptijd lening (jaar)</t>
  </si>
  <si>
    <t>Aflossingsvorm</t>
  </si>
  <si>
    <t xml:space="preserve">Rente lening (%) </t>
  </si>
  <si>
    <t>Kalenderjaar of boekjaar</t>
  </si>
  <si>
    <t>Opbrengsten</t>
  </si>
  <si>
    <t>Prijsindexatie marktwaarde (%)</t>
  </si>
  <si>
    <t>Opbrengsten energie-of productafnemer (€)</t>
  </si>
  <si>
    <t>Indexatie             ETS-prijs (%)</t>
  </si>
  <si>
    <t>Opbrengsten verminderde inkoop of verkoop ETS-rechten (€)</t>
  </si>
  <si>
    <t>Opbrengsten SDE++</t>
  </si>
  <si>
    <t>Indexatie correctie productprijs (%)</t>
  </si>
  <si>
    <t>Overige opbrengsten (€)</t>
  </si>
  <si>
    <t>Overige exploitatiesubsidies (€)</t>
  </si>
  <si>
    <t>Addtionele inkomsten (€)</t>
  </si>
  <si>
    <t>Totaal overige opbrengsten (€)</t>
  </si>
  <si>
    <t>Totale opbrengsten (€)</t>
  </si>
  <si>
    <t>Kosten</t>
  </si>
  <si>
    <t>Operationele kosten (exclusief afschrijving, rente, belasting en biomassa) (€)</t>
  </si>
  <si>
    <t>Garantie en onderhoud</t>
  </si>
  <si>
    <t>Netbeheer</t>
  </si>
  <si>
    <t>Personeelskosten en administratiekosten</t>
  </si>
  <si>
    <t>Administratiekosten</t>
  </si>
  <si>
    <t>Kosten elektriciteitsverbruik van de productieinstallatie</t>
  </si>
  <si>
    <t>Opstalvergoeding (ingeval van activering invullen onder investeringskosten)</t>
  </si>
  <si>
    <t>Monitoringssysteem/telefoon</t>
  </si>
  <si>
    <t>Onroerende zaakbelasting</t>
  </si>
  <si>
    <t>Verzekeringen</t>
  </si>
  <si>
    <t>Reservedelen</t>
  </si>
  <si>
    <t>Afvoerkosten (voor bijvoorbeeld afval)</t>
  </si>
  <si>
    <t>Onvoorzien</t>
  </si>
  <si>
    <t>Overige kosten</t>
  </si>
  <si>
    <t>Soort biomassa of bijproduct</t>
  </si>
  <si>
    <t>ton/jaar</t>
  </si>
  <si>
    <r>
      <rPr>
        <sz val="10"/>
        <rFont val="Calibri"/>
        <family val="2"/>
      </rPr>
      <t>€/</t>
    </r>
    <r>
      <rPr>
        <sz val="10"/>
        <rFont val="Arial"/>
        <family val="2"/>
      </rPr>
      <t>ton</t>
    </r>
  </si>
  <si>
    <t xml:space="preserve">Prijsindexatie % </t>
  </si>
  <si>
    <t>Totale kosten biomassa en bijproducten per jaar (€)</t>
  </si>
  <si>
    <t>Soort kosten</t>
  </si>
  <si>
    <t>Invoeden hub derden</t>
  </si>
  <si>
    <t>Overig</t>
  </si>
  <si>
    <t>Totale kosten CO₂ transport en opslag (€)</t>
  </si>
  <si>
    <t>Totale operationele kosten (€)</t>
  </si>
  <si>
    <t xml:space="preserve">Afschrijvingen </t>
  </si>
  <si>
    <t>Rentelasten annuïteitenlening</t>
  </si>
  <si>
    <t>Aflossingen annuïteitenlening</t>
  </si>
  <si>
    <t>Rentelasten lineaire lening</t>
  </si>
  <si>
    <t>Aflossingen lineaire lening</t>
  </si>
  <si>
    <t>Openstaande leensom lineaire lening</t>
  </si>
  <si>
    <t>jaar looptijd</t>
  </si>
  <si>
    <t>Totale kosten (€)</t>
  </si>
  <si>
    <t>Winst voor belasting (€)</t>
  </si>
  <si>
    <t xml:space="preserve">Overige aftrekbare bedragen (graag toelichten in tekstvak) </t>
  </si>
  <si>
    <t>Toegepaste overige aftrek</t>
  </si>
  <si>
    <t>Nog beschikbare aftrek</t>
  </si>
  <si>
    <t>Verliezen uit verleden</t>
  </si>
  <si>
    <t>Belastbaar inkomen (€)</t>
  </si>
  <si>
    <t>Tarief winstbelasting % invullen afhankelijk van of u IB-plichtig of VPB-plichtig bent</t>
  </si>
  <si>
    <t>Belasting</t>
  </si>
  <si>
    <t>Netto winst (€)</t>
  </si>
  <si>
    <t>Bruto cashflow na belasting exclusief rentelasten (€)</t>
  </si>
  <si>
    <t>Projectrentabiliteit</t>
  </si>
  <si>
    <t>Netto cashflow voor eigen vermogen verschaffer na belasting en na financieringslasten (€)</t>
  </si>
  <si>
    <t>Rendement op eigen vermogen</t>
  </si>
  <si>
    <t>Debt service coverage ratio (DSCR) per jaar</t>
  </si>
  <si>
    <t>Debt service coverage ratio (DSCR)</t>
  </si>
  <si>
    <t>Overzicht bijlagen</t>
  </si>
  <si>
    <t xml:space="preserve">Verplichte bijlagen behorende bij Financiering en projectplan </t>
  </si>
  <si>
    <t>Beschikking investeringssubsidie</t>
  </si>
  <si>
    <t xml:space="preserve">Onderbouwing eigen vermogen aanvrager (in geval van samenwerkingsverband, dan van alle deelnemers)  </t>
  </si>
  <si>
    <t>Gecontracteerd vermogen</t>
  </si>
  <si>
    <t>Gecontracteerde achtergestelde lening</t>
  </si>
  <si>
    <t>Crowdfunding of participaties</t>
  </si>
  <si>
    <t>Onderbouwing financiering</t>
  </si>
  <si>
    <t>Verplichte bijlagen behorende bij Productie en afzet</t>
  </si>
  <si>
    <t>Facultatieve bijlagen voor sterkere haalbaarheidsstudie</t>
  </si>
  <si>
    <t>Onderbouwing investeringskosten</t>
  </si>
  <si>
    <t>Onderbouwing liquiditeit bij grote projecten</t>
  </si>
  <si>
    <t>Thema's hoofdkeuzelijst</t>
  </si>
  <si>
    <t>Hernieuwbare elektriciteit</t>
  </si>
  <si>
    <t>Hernieuwbaar gas</t>
  </si>
  <si>
    <t>CO₂-arme warmte</t>
  </si>
  <si>
    <t>CO₂-arme productie</t>
  </si>
  <si>
    <t>Eerste vervolgkeuzelijst op basis van gekozen hoofdthema</t>
  </si>
  <si>
    <t>Waterkracht</t>
  </si>
  <si>
    <t>Wind</t>
  </si>
  <si>
    <t>Zon-PV</t>
  </si>
  <si>
    <t>Biomassavergisting (hernieuwbaar gas)</t>
  </si>
  <si>
    <t>Biomassavergassing (hernieuwbaar gas)</t>
  </si>
  <si>
    <t>Biomassaverbranding</t>
  </si>
  <si>
    <t>Biomassavergisting</t>
  </si>
  <si>
    <t>Biomassacompostering</t>
  </si>
  <si>
    <t>Aquathermie (thermische energie uit water met warmtepomp)</t>
  </si>
  <si>
    <t>Zon-PVT systeem met warmtepomp</t>
  </si>
  <si>
    <t>Geothermie (on)diep met warmtepomp</t>
  </si>
  <si>
    <t>Grootschalige elektrische boiler</t>
  </si>
  <si>
    <t>Industriële warmtepompen</t>
  </si>
  <si>
    <t>Restwarmtebenutting</t>
  </si>
  <si>
    <t>Geavanceerde hernieuwbare transportbrandstoffen (vloeibaar gas, benzine- en dieselvervangers)</t>
  </si>
  <si>
    <t>Tweede vervolgkeuzelijst op basis van gekozen subthema</t>
  </si>
  <si>
    <t>Categorieën productie-installaties</t>
  </si>
  <si>
    <t>Maximum basisbedrag (fase 5)</t>
  </si>
  <si>
    <t xml:space="preserve">Basisprijs </t>
  </si>
  <si>
    <t>Emissie-factor</t>
  </si>
  <si>
    <t>Subsidieintensiteit bij basisbedrag</t>
  </si>
  <si>
    <t>Maximum vollasturen</t>
  </si>
  <si>
    <t>Subsidielooptijd</t>
  </si>
  <si>
    <t>Maximum fasebedrag (met aftopping op basisbedrag)</t>
  </si>
  <si>
    <t>Teksten voor vermogen en productie op tabblad Productie_en_afzet</t>
  </si>
  <si>
    <t>Hulpveld voor tekstblok voor onderbouwing energie-of productopbrengst</t>
  </si>
  <si>
    <t xml:space="preserve">Hulpveld type product </t>
  </si>
  <si>
    <t>Type bijlage opbrengstberekening voor tabblad bijlagen</t>
  </si>
  <si>
    <t>Eenheid product</t>
  </si>
  <si>
    <t>Extra attenderingen</t>
  </si>
  <si>
    <t>Basisprijs generiek (bij zon-PV netlevering)</t>
  </si>
  <si>
    <t>(toegepaste GVO-of HBE-waarde)</t>
  </si>
  <si>
    <t>ETS (euro/ton CO2), bij WKK naar rato warmtedeel o.b.v. WK-factor</t>
  </si>
  <si>
    <t>Allesvergisting, gecombineerde opwekking</t>
  </si>
  <si>
    <t>Productie elektriciteit (kWh/jaar)</t>
  </si>
  <si>
    <t>Productie warmte (kWh/jaar)</t>
  </si>
  <si>
    <t>Vermogen productie-installatie (kW)</t>
  </si>
  <si>
    <t>Totale productie (kWh/jaar)</t>
  </si>
  <si>
    <t>Subsidiabele productie (kWh/jaar)</t>
  </si>
  <si>
    <t>Biomassa</t>
  </si>
  <si>
    <t>Gecombineerde opwekking</t>
  </si>
  <si>
    <t>Voeg een biomassa energieopbrengstberekening toe</t>
  </si>
  <si>
    <t>kWh</t>
  </si>
  <si>
    <t>RWZI verbeterde slibgisting, gecombineerde opwekking</t>
  </si>
  <si>
    <t>RWZI, verbeterde slibgisting</t>
  </si>
  <si>
    <t>Allesvergisting, warmte</t>
  </si>
  <si>
    <t>Warmte</t>
  </si>
  <si>
    <t>RWZI verbeterde slibgisting, warmte</t>
  </si>
  <si>
    <t>Warmte uit compostering ≥ 0,5 MWth</t>
  </si>
  <si>
    <t>Voor deze categorie geldt dat de ingezette brandstof voor ten minste 97% van de energetische waarde biogeen is!</t>
  </si>
  <si>
    <t>Allesvergisting, hernieuwbaar gas</t>
  </si>
  <si>
    <t>Productie gas (kWh/jaar)</t>
  </si>
  <si>
    <t>RWZI verbeterde slibgisting, hernieuwbaar gas</t>
  </si>
  <si>
    <t>Voor deze categorie gelden duurzaamheidseisen voor de ingezette biomassa!</t>
  </si>
  <si>
    <t>Biomassa, extra eisen</t>
  </si>
  <si>
    <t>Grote ketel op vaste of vloeibare biomassa ≥ 5 MWth, 4500 vollasturen</t>
  </si>
  <si>
    <t>Grote ketel op vaste of vloeibare biomassa ≥ 5 MWth, 5000 vollasturen</t>
  </si>
  <si>
    <t>Grote ketel op vaste of vloeibare biomassa ≥ 5 MWth, 5500 vollasturen</t>
  </si>
  <si>
    <t>Grote ketel op vaste of vloeibare biomassa ≥ 5 MWth, 6000 vollasturen</t>
  </si>
  <si>
    <t>Grote ketel op vaste of vloeibare biomassa ≥ 5 MWth, 6500 vollasturen</t>
  </si>
  <si>
    <t>Grote ketel op vaste of vloeibare biomassa ≥ 5 MWth, 7000 vollasturen</t>
  </si>
  <si>
    <t>Grote ketel op vaste of vloeibare biomassa ≥ 5 MWth, 7500 vollasturen</t>
  </si>
  <si>
    <t>Grote ketel op vaste of vloeibare biomassa ≥ 5 MWth, 8000 vollasturen</t>
  </si>
  <si>
    <t>Grote ketel op vaste of vloeibare biomassa ≥ 5 MWth, 8500 vollasturen</t>
  </si>
  <si>
    <t>De ingezette brandstof moet voor ten minste 97% van de energetische waarde biogeen zijn! Daarnaast gelden duurzaamheidseisen voor de ingezette biomassa!</t>
  </si>
  <si>
    <t>Geothermie warmte</t>
  </si>
  <si>
    <t>Ondiepe geothermie (6000 vollasturen)</t>
  </si>
  <si>
    <t>Geothermie met warmtepomp</t>
  </si>
  <si>
    <t>Voeg een geologisch onderzoek en een energieopbrengstberekening toe</t>
  </si>
  <si>
    <t xml:space="preserve">Voor deze categorie geldt een minimale COP-eis voor de warmtepomp! </t>
  </si>
  <si>
    <t>Ondiepe geothermie, verwarming gebouwde omgeving (3500 vollasturen)</t>
  </si>
  <si>
    <t>Diepe geothermie &lt; 12 MWth (6000 vollasturen)</t>
  </si>
  <si>
    <t>Geothermie zonder warmtepomp</t>
  </si>
  <si>
    <t>Diepe geothermie ≥ 12 MWth &lt; 20 MWth (6000 vollasturen)</t>
  </si>
  <si>
    <r>
      <t xml:space="preserve">Diepe geothermie </t>
    </r>
    <r>
      <rPr>
        <sz val="10"/>
        <rFont val="Calibri"/>
        <family val="2"/>
      </rPr>
      <t>≥</t>
    </r>
    <r>
      <rPr>
        <sz val="10"/>
        <rFont val="Arial"/>
        <family val="2"/>
      </rPr>
      <t xml:space="preserve"> 20 MWth (6000 vollasturen)</t>
    </r>
  </si>
  <si>
    <t>Diepe geothermie &lt; 12 MWth, ombouw van bestaande olie- en/of gasputten (6000 vollasturen)</t>
  </si>
  <si>
    <t>Diepe geothermie ≥ 12 MWth en &lt; 20 MWth, ombouw van bestaande olie- en/of gasputten (6000 vollasturen)</t>
  </si>
  <si>
    <r>
      <t xml:space="preserve">Diepe geothermie </t>
    </r>
    <r>
      <rPr>
        <sz val="10"/>
        <rFont val="Calibri"/>
        <family val="2"/>
      </rPr>
      <t>≥</t>
    </r>
    <r>
      <rPr>
        <sz val="10"/>
        <rFont val="Arial"/>
        <family val="2"/>
      </rPr>
      <t xml:space="preserve"> 20 MWth, basislast, ombouw van bestaande olie- en/of gasputten (6000 vollasturen)</t>
    </r>
  </si>
  <si>
    <t xml:space="preserve">Voor deze categorie geldt dat warmte uitsluitend wordt geleverd aan gebouwde omgeving! </t>
  </si>
  <si>
    <t>Diepe geothermie, verwarming gebouwde omgeving (5000 vollasturen)</t>
  </si>
  <si>
    <t>Diepe geothermie, uitbreiding productie-installatie met tenminste één aanvullende put (6000 vollasturen)</t>
  </si>
  <si>
    <t/>
  </si>
  <si>
    <t>Water elektriciteit</t>
  </si>
  <si>
    <t>Waterkracht nieuw, verval &lt; 50 cm (waaronder vrije stromingsenergie en golfenergie)</t>
  </si>
  <si>
    <t>Elektriciteit uit water</t>
  </si>
  <si>
    <t>Elektriciteit</t>
  </si>
  <si>
    <t>Voeg een waterenergieopbrengstberekening toe</t>
  </si>
  <si>
    <t>Water warmte</t>
  </si>
  <si>
    <t>Voeg een energieopbrengstberekening toe</t>
  </si>
  <si>
    <t xml:space="preserve">Voor deze categorie geldt een minimale COP-eis voor de warmtepomp en dat warmte uitsluitend wordt geleverd aan gebouwde omgeving!  </t>
  </si>
  <si>
    <t>Wind overig</t>
  </si>
  <si>
    <t>Voeg een windenergieopbrengstberekening toe</t>
  </si>
  <si>
    <t>Wind op land ≥ 7,5 en &lt; 8,0 m/s</t>
  </si>
  <si>
    <t>Wind op land ≥ 7,0 en &lt; 7,5 m/s</t>
  </si>
  <si>
    <t>Wind op land ≥ 6,75 en &lt; 7,0 m/s</t>
  </si>
  <si>
    <t>Wind op land &lt; 6,75 m/s</t>
  </si>
  <si>
    <t>Wind hoogtebeperkt</t>
  </si>
  <si>
    <t>Voeg een windenergieopbrengstberekening en een onderbouwing van de hoogtebeperking toe</t>
  </si>
  <si>
    <t>Wind op land, hoogtebeperkt ≥ 7,5 en &lt; 8,0 m/s</t>
  </si>
  <si>
    <t>Wind op land, hoogtebeperkt ≥ 7,0 en &lt; 7,5 m/s</t>
  </si>
  <si>
    <t>Wind op land, hoogtebeperkt ≥ 6,75 en &lt; 7,0 m/s</t>
  </si>
  <si>
    <t>Wind op land, hoogtebeperkt &lt; 6,75 m/s</t>
  </si>
  <si>
    <t>Wind op waterkering ≥ 7,5 en &lt; 8,0 m/s</t>
  </si>
  <si>
    <t>Wind op waterkering ≥ 7,0 en &lt; 7,5 m/s</t>
  </si>
  <si>
    <t>Wind op waterkering ≥ 6,75 en &lt; 7,0 m/s</t>
  </si>
  <si>
    <t>Wind op waterkering &lt; 6,75 m/s</t>
  </si>
  <si>
    <t>Zon elektriciteit</t>
  </si>
  <si>
    <t xml:space="preserve">Gebouwgebonden Zon-PV </t>
  </si>
  <si>
    <t xml:space="preserve">Voeg een gedetailleerde tekening op schaal toe waarop de aangevraagde Zon-PV-installatie nauwkeurig is ingetekend. </t>
  </si>
  <si>
    <t xml:space="preserve">Voor deze categorie geldt dat een project een gecontracteerd terugleververmogen van de netaansluiting voor de productie-installatie van maximaal 50% van het piekvermogen van de zonnepanelen mag hebben. </t>
  </si>
  <si>
    <t>Voeg een gedetailleerde tekening op schaal waarop de aangevraagde Zon-PV-installatie nauwkeurig is ingetekend en een zonne-energieopbrengstberekening toe.</t>
  </si>
  <si>
    <t>Zon-PV ≥ 1 MWp, zonvolgend op water</t>
  </si>
  <si>
    <t>Zon warmte</t>
  </si>
  <si>
    <t>Zonthermie ≥ 140 kW en &lt; 1 MW</t>
  </si>
  <si>
    <t>Zonthermie</t>
  </si>
  <si>
    <r>
      <t xml:space="preserve">Zonthermie </t>
    </r>
    <r>
      <rPr>
        <sz val="10"/>
        <rFont val="Calibri"/>
        <family val="2"/>
      </rPr>
      <t>≥</t>
    </r>
    <r>
      <rPr>
        <sz val="10"/>
        <rFont val="Arial"/>
        <family val="2"/>
      </rPr>
      <t xml:space="preserve"> 1 MW</t>
    </r>
  </si>
  <si>
    <t>Productie afvang en opslag CO₂ (ton/jaar)</t>
  </si>
  <si>
    <r>
      <t>Capaciteit afvanginstallatie CO</t>
    </r>
    <r>
      <rPr>
        <sz val="10"/>
        <rFont val="Calibri"/>
        <family val="2"/>
      </rPr>
      <t>₂ (ton/uur</t>
    </r>
    <r>
      <rPr>
        <sz val="10"/>
        <rFont val="Arial"/>
        <family val="2"/>
      </rPr>
      <t>)</t>
    </r>
  </si>
  <si>
    <r>
      <t>Totale productie CO</t>
    </r>
    <r>
      <rPr>
        <sz val="10"/>
        <rFont val="Calibri"/>
        <family val="2"/>
      </rPr>
      <t>₂</t>
    </r>
    <r>
      <rPr>
        <sz val="10"/>
        <rFont val="Arial"/>
        <family val="2"/>
      </rPr>
      <t xml:space="preserve"> (ton/jaar)</t>
    </r>
  </si>
  <si>
    <t>Subsidiabele productie CO₂ (ton/jaar)</t>
  </si>
  <si>
    <t>CO2 afvang en opslag (CCS)</t>
  </si>
  <si>
    <r>
      <t>CO</t>
    </r>
    <r>
      <rPr>
        <sz val="10"/>
        <rFont val="Calibri"/>
        <family val="2"/>
      </rPr>
      <t>₂</t>
    </r>
    <r>
      <rPr>
        <sz val="10"/>
        <rFont val="Arial"/>
        <family val="2"/>
      </rPr>
      <t>-opslag</t>
    </r>
  </si>
  <si>
    <r>
      <t>ton CO</t>
    </r>
    <r>
      <rPr>
        <sz val="10"/>
        <rFont val="Calibri"/>
        <family val="2"/>
      </rPr>
      <t>₂</t>
    </r>
  </si>
  <si>
    <t>CO2 afvang en opslag (CCS) met productie waterstof voor ondervuring</t>
  </si>
  <si>
    <t>CO2 afvang en hergebruik (CCU)</t>
  </si>
  <si>
    <r>
      <t>CO</t>
    </r>
    <r>
      <rPr>
        <sz val="10"/>
        <rFont val="Calibri"/>
        <family val="2"/>
      </rPr>
      <t>₂</t>
    </r>
    <r>
      <rPr>
        <sz val="10"/>
        <rFont val="Arial"/>
        <family val="2"/>
      </rPr>
      <t>-hergebruik</t>
    </r>
  </si>
  <si>
    <r>
      <t>Voeg een berekening voor CO</t>
    </r>
    <r>
      <rPr>
        <sz val="10"/>
        <rFont val="Calibri"/>
        <family val="2"/>
      </rPr>
      <t>₂</t>
    </r>
    <r>
      <rPr>
        <sz val="10"/>
        <rFont val="Arial"/>
        <family val="2"/>
      </rPr>
      <t xml:space="preserve"> afvang- en levering en een toelichting voor de beoogde infrastructuur toe</t>
    </r>
  </si>
  <si>
    <t>Industriële gesloten warmtepomp (8000 vollasturen)</t>
  </si>
  <si>
    <t>Warmtepomp gesloten</t>
  </si>
  <si>
    <t xml:space="preserve">Voor deze categorie geldt een minimale COP eis voor de warmtepomp! </t>
  </si>
  <si>
    <t>Industriële gesloten warmtepomp (3000 vollasturen)</t>
  </si>
  <si>
    <t>Industriële open warmtepomp (8000 vollasturen)</t>
  </si>
  <si>
    <t>Warmtepomp open</t>
  </si>
  <si>
    <t>Industriële open warmtepomp (3000 vollasturen)</t>
  </si>
  <si>
    <t>Restwarmte zonder warmtepomp</t>
  </si>
  <si>
    <t>Voeg een energieopbrengstberekening en een plattegrond van het beoogde leidingtracé toe</t>
  </si>
  <si>
    <t>Restwarmtebenutting (zonder warmtepomp), transportleiding ≥ 0,20 en &lt; 0,30 km/MWth</t>
  </si>
  <si>
    <t>Restwarmtebenutting (zonder warmtepomp), transportleiding ≥ 0,30 en &lt; 0,40 km/MWth</t>
  </si>
  <si>
    <t>Restwarmtebenutting met warmtepomp, transportleiding ≥ 0,10 en &lt; 0,20 km/MWth</t>
  </si>
  <si>
    <t>Restwarmte met warmtepomp</t>
  </si>
  <si>
    <t>Restwarmtebenutting met warmtepomp, transportleiding ≥ 0,20 en &lt; 0,30 km/MWth</t>
  </si>
  <si>
    <t>Restwarmtebenutting met warmtepomp, transportleiding ≥ 0,30 en &lt; 0,40 km/MWth</t>
  </si>
  <si>
    <t>Restwarmtebenutting met warmtepomp, transportleiding ≥ 0,40 km/MWth</t>
  </si>
  <si>
    <t>Elektrificatie industrie</t>
  </si>
  <si>
    <t>Elektroboiler</t>
  </si>
  <si>
    <t>Productie waterstof (kWh/jaar)</t>
  </si>
  <si>
    <t>Waterstof netgekoppeld</t>
  </si>
  <si>
    <t>Waterstof</t>
  </si>
  <si>
    <t>Waterstof directe lijn</t>
  </si>
  <si>
    <t>Geavanceerde hernieuwbare transportbrandstoffen (gas, benzine en diesel)</t>
  </si>
  <si>
    <t>Bio-ethanol uit vaste lignocellulosehoudende biomassa (benzinevervanger)</t>
  </si>
  <si>
    <t>Productie bio-ethanol (kWh/jaar)</t>
  </si>
  <si>
    <t>Bio-ethanol</t>
  </si>
  <si>
    <t>Bio-methanol uit vaste lignocellulosehoudende biomassa (benzinevervanger)</t>
  </si>
  <si>
    <t>Productie bio-methanol (kWh/jaar)</t>
  </si>
  <si>
    <t>Bio-methanol</t>
  </si>
  <si>
    <t>Bio-LNG uit monomestvergisting (vloeibaar gas)</t>
  </si>
  <si>
    <t>Productie vloeibaar gas (kWh/jaar)</t>
  </si>
  <si>
    <t>Vloeibaar gas</t>
  </si>
  <si>
    <t>Bio-LNG uit allesvergisting (vloeibaar gas)</t>
  </si>
  <si>
    <t xml:space="preserve">Diesel-en benzinevervangers uit vaste lignocellulosehoudende biomassa </t>
  </si>
  <si>
    <t>Productie diesel- en benzinevervangers (kWh/jaar)</t>
  </si>
  <si>
    <t>Diesel-en benzinevervangers</t>
  </si>
  <si>
    <t>Vragen tabblad Financiering_en_projectplan</t>
  </si>
  <si>
    <t>Vraag producent</t>
  </si>
  <si>
    <t>Antwoord bent u producent (1 = ja, 2 = nee)</t>
  </si>
  <si>
    <t>Vraag financiering</t>
  </si>
  <si>
    <t>Projectfinanciering</t>
  </si>
  <si>
    <t>Balansfinanciering</t>
  </si>
  <si>
    <t>Vraag ETS-bedrijf</t>
  </si>
  <si>
    <t>Antwoord ETS-installatie (1 = ja, 2 = nee)</t>
  </si>
  <si>
    <t>Vraag jaarrekening/bedrijfsbalans</t>
  </si>
  <si>
    <t>Ja</t>
  </si>
  <si>
    <t xml:space="preserve">Nee, aanvrager is kleine onderneming </t>
  </si>
  <si>
    <t>Nee, aanvrager is startende onderneming</t>
  </si>
  <si>
    <t>Vraag investeringssubsidie</t>
  </si>
  <si>
    <t>Nee</t>
  </si>
  <si>
    <t>Niet van toepassing</t>
  </si>
  <si>
    <t>Antwoord investeringssubsidie (1 = ja, 2 = nee)</t>
  </si>
  <si>
    <t>Vraag participaties</t>
  </si>
  <si>
    <t>Antwoord participaties (1= ja, 2 = nee)</t>
  </si>
  <si>
    <t>Vragen tabblad Exploitatieberekening</t>
  </si>
  <si>
    <t>Vragen aflossingsvorm lening</t>
  </si>
  <si>
    <t>Annuïteit</t>
  </si>
  <si>
    <t>Lineair</t>
  </si>
  <si>
    <t>Vragen met ja/nee opties</t>
  </si>
  <si>
    <t>Vragen netbeheerder gas</t>
  </si>
  <si>
    <t>Vragen transport en opslagpartij CO2</t>
  </si>
  <si>
    <t>Vragen ETS-inrichting</t>
  </si>
  <si>
    <t>Vraag verklaring netbeheerder gas en CO2-transport- en opslagpartij</t>
  </si>
  <si>
    <t>Antwoord doorlaatwaarde &gt; 40 Nm3 (1 = ja, 2 = nee)</t>
  </si>
  <si>
    <t>Hulpveld voor uitblauwen biomassablok bij niet biomassacategorieën</t>
  </si>
  <si>
    <t>(0 = wit, 1 = blauw)</t>
  </si>
  <si>
    <t>Hulpveld voor uitblauwen CO2 afvang en opslagblok bij niet CCS-categorieën</t>
  </si>
  <si>
    <t>Vragen tabblad Productie_en_afzet</t>
  </si>
  <si>
    <t>Tekst biomassa met extra eisen temperatuur</t>
  </si>
  <si>
    <t>Tekst biomassa RWZI, verbeterde slibgisting</t>
  </si>
  <si>
    <t>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Daarnaast stelt u een renovatieplan op waaruit blijkt dat de productie-installatie geschikt wordt gemaakt om 12 jaar door te kunnen produceren.</t>
  </si>
  <si>
    <t>Tekst biomassa (overig)</t>
  </si>
  <si>
    <t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t>
  </si>
  <si>
    <t>Tekst geothermische opbrengstberekening</t>
  </si>
  <si>
    <t>Als u subsidie aanvraagt in de categorie geothermie moet u ter onderbouwing van de energieopbrengst een geologisch onderzoek overleggen. Aan dit onderzoek worden nadere eisen gesteld. Het geologisch rapport dient te voldoen aan de eisen van het ‘Model Geologisch Onderzoek SDE+’, het ‘Model Geologisch Onderzoek van de Subsidieregeling Energie en Innovatie Risico’s dekken voor aardwarmte (SEI)’, of het ‘Model Geologisch Onderzoek van de Regeling nationale EZ-subsidies Risico’s dekken voor Aardwarmte (RNES)’.</t>
  </si>
  <si>
    <t>Tekst geothermie met warmtepomp opbrengstberekening</t>
  </si>
  <si>
    <t>₂</t>
  </si>
  <si>
    <t>Tekst waterenergie opbrengstberekening</t>
  </si>
  <si>
    <t>Tekst windenergieopbrengstberekening categorie hoogtebeperkt</t>
  </si>
  <si>
    <t>Tekst windenergieopbrengstberekening overige windcategorieën</t>
  </si>
  <si>
    <t xml:space="preserve">U vraagt subsidie aan in een categorie windenergie. Ter onderbouwing van de jaarlijks te verwachten energieproductie (netto P50-waarde) moet u een windenergie-opbrengstberekening meesturen. Aan dit onderzoek worden nadere eisen gesteld. Meer informatie vindt u in de 'Handleiding haalbaarheidstudie SDE++’.
</t>
  </si>
  <si>
    <t>Tekst energieopbrengstberekening gebouwgebonden zon-PV-installatie</t>
  </si>
  <si>
    <t>Tekst energieopbrengstberekening drijvende zon-PV-installatie zonder zonvolgsysteem</t>
  </si>
  <si>
    <t>Tekst energieopbrengstberekening zonthermie</t>
  </si>
  <si>
    <t>Tekst CO2 afvang en opslag (CCS) met productie waterstof uit restgassen voor ondervuring</t>
  </si>
  <si>
    <t>U onderbouwt de aangevraagde hoeveelheid CO₂ die u gaat afvangen en opslaan. Dit kunt u doen door bijvoorbeeld de specificatie-sheets van de CO₂ -afvanginstallatie en een beschrijving van het proces waarbij uit restgassen waterstof wordt geproduceert en CO₂ vrijkomt en afgevangen wordt toe te voegen. Daarnaast geeft u aan voor welk proces de geproduceerde waterstof voor ondervuring wordt ingezet. Tevens geeft u aan of uw project een bestaande of nieuwe afvanginstallatie betreft bij een bestaand of nieuw proces en vermeldt u of er gebruik wordt gemaakt van een nieuwe compressor of vervloeiingsinstallatie. 
Verder voegt u de capaciteitsverklaring(en) van de transport-en opslagpartijen toe waarmee u aantoont dat de afgevangen hoeveelheid CO₂ kan worden getransporteerd en opgeslagen. Ten slotte voegt u rapport(en) toe over de infrastructuur voor transport en de opslag die zijn opgesteld door de transport-en opslagpartijen, die voldoen aan het model 'Vereiste informatie transport- en opslagverklaring’, gepubliceerd op de website van de Rijksdienst voor Ondernemend Nederland.</t>
  </si>
  <si>
    <t>Tekst CO2 afvang en opslag (CCS)</t>
  </si>
  <si>
    <t>Tekst CO2 afvang en hergebruik (CCU)</t>
  </si>
  <si>
    <t>U onderbouwt de aangevraagde hoeveelheid CO₂ die u gaat afvangen en leveren aan de glastuinbouw. Dit kunt u doen door bijvoorbeeld de specificatie-sheets van de CO₂-afvanginstallatie en een beschrijving van het proces waarbij de CO₂ vrijkomt en afgevangen wordt toe te voegen. Daarbij geeft u tevens aan of het een bestaande of nieuwe afvanginstallatie en of het een bestaand of nieuw proces betreft. Daarnaast voegt u een plattegrond met het beoogde leidingtracé van CO₂ -afvang tot CO₂-levering toe. Ook geeft u aan of u als aanvrager zelf de CO₂ gaat transporteren of laat transporteren door een derde. Indien u gebruik maakt van vloeibaar transport per schip of vrachtwagen geeft u dat ook aan en beschrijft u over welk traject dat gaat plaatsvinden. Ook geeft u een onderbouwing van de CO₂-afzet in de glastuinbouw, bijvoorbeeld aan de hand van een intentieverklaring van afnemers.</t>
  </si>
  <si>
    <t>Tekst warmtepomp gesloten</t>
  </si>
  <si>
    <t>Tekst warmtepomp open</t>
  </si>
  <si>
    <t>Tekst restwarmte zonder warmtepomp</t>
  </si>
  <si>
    <t>U onderbouwt de hoeveelheid restwarmte die op jaarbasis wordt uitgekoppeld. U geeft daarbij aan uit welk productieproces de restwarmte afkomstig is, wat het temperatuurniveau is en wat er in de bestaande situatie met de restwarmte werd gedaan. Daarnaast geeft u aan wat het vermogen is van de restwarmtestroom en voor welke nuttige aanwending de restwarmte in de nieuwe situatie krijgt. Ook voegt u een plattegrond toe van het beoogde leidingtracé met leidingdiameters en leidinglengte van uitkoppeling tot aan de afnemer van de restwarmte. Ten slotte geeft u voor uw project een onderbouwing dat uw project voldoet aan de gestelde rato voor vermogen en leidinglengte van de categorie waarvoor u subsidie aanvraagt (deze rato is de som van nieuw aan te leggen warmtetransportleidingen en het vermogen van de restwarmtestroom, uitgedrukt in km/MWth).</t>
  </si>
  <si>
    <t>Tekst restwarmte met warmtepomp</t>
  </si>
  <si>
    <t>Tekst elektroboiler</t>
  </si>
  <si>
    <t>Tekst waterstof netgekoppeld</t>
  </si>
  <si>
    <t>Tekst waterstof directe lijn</t>
  </si>
  <si>
    <t>Tekst warmtelevering aan derden</t>
  </si>
  <si>
    <t>Tekst haalbaarheidsstudie netbeheerder voor invoeden hernieuwbaar gas</t>
  </si>
  <si>
    <t>U voegt een verklaring met prijsindicatie van de netbeheerder voor het invoeden van hernieuwbaar gas toe aan de haalbaarheidsstudie.</t>
  </si>
  <si>
    <t>Tekst capaciteitsverklaring CCS, aanvrager laat CO2 transporteren</t>
  </si>
  <si>
    <r>
      <t>U gaat niet zelf CO₂ te gaan transporteren én opslaan. U voegt een Capaciteitsverklaring van de partij die de transport en opslag van CO₂ zal realiseren toe aan de haalbaarheidsstudie en een rapport over de infrastructuur voor transport en opslag. Haalbaarheidsstudies van de beoogde opslagpartijen naar de geschikheid en capaciteit van de beoogde opslaglocaties maken deel uit van de capaciteitsverklaring. RVO biedt op haar website een verplicht Model haalbaarheidsstudie voor CO</t>
    </r>
    <r>
      <rPr>
        <sz val="10"/>
        <rFont val="Calibri"/>
        <family val="2"/>
      </rPr>
      <t>₂</t>
    </r>
    <r>
      <rPr>
        <sz val="10"/>
        <rFont val="Arial"/>
        <family val="2"/>
      </rPr>
      <t xml:space="preserve">-opslag aan.   </t>
    </r>
  </si>
  <si>
    <t>Tekst capaciteitsverklaring CCS, aanvrager transporteert zelf CO2</t>
  </si>
  <si>
    <r>
      <t>U gaat zelf CO</t>
    </r>
    <r>
      <rPr>
        <sz val="10"/>
        <rFont val="Calibri"/>
        <family val="2"/>
      </rPr>
      <t>₂</t>
    </r>
    <r>
      <rPr>
        <sz val="10"/>
        <rFont val="Arial"/>
        <family val="2"/>
      </rPr>
      <t xml:space="preserve"> te gaan transporteren én opslaan. U voegt een rapport over de infrastructuur voor transport en opslag toe. Onderdeel hiervan is de haalbaarheidsstudie(s) naar de geschikheid en capaciteit van de beoogde opslaglocatie(s). RVO biedt op haar website een verplicht Model haalbaarheidsstudie voor CO₂-opslag aan.   </t>
    </r>
  </si>
  <si>
    <t>Tabel voor onderbouwing energie-of productopbrengst</t>
  </si>
  <si>
    <t>Selectie tekstblok energie-of productopbrengst</t>
  </si>
  <si>
    <t>Tabel voor onderbouwing afzet warmte, gas, elektriciteit, CO2</t>
  </si>
  <si>
    <t>Gas</t>
  </si>
  <si>
    <t xml:space="preserve">Elektriciteit </t>
  </si>
  <si>
    <t>CO2</t>
  </si>
  <si>
    <t>Transportbrandstof</t>
  </si>
  <si>
    <t>Hoe gaat u de warmte aanwenden?</t>
  </si>
  <si>
    <t>Is voor de productie-installatie een aansluiting met een doorlaatwaarde groter dan 40 Nm3 per uur nodig?</t>
  </si>
  <si>
    <t>Hydropyrolyse-olie</t>
  </si>
  <si>
    <t>Selectie tekstje vraag aanwending warmte, invoeding hernieuwbaar gas of opslag CO2</t>
  </si>
  <si>
    <t>Vraag aanwending warmte</t>
  </si>
  <si>
    <t>Warmtegebruik binnen eigen bedrijf</t>
  </si>
  <si>
    <t>Vul hieronder in voor welke gebouwverwarming of welk productieproces u de warmte binnen uw bedrijf zal gaan aanwenden</t>
  </si>
  <si>
    <t>Warmtegebruik binnen eigen bedrijf én warmtelevering aan derden</t>
  </si>
  <si>
    <t>Vul hieronder zowel voor uw eigen bedrijf als voor uw warmteafnemer in voor welke gebouwverwarming of welk productieproces de warmte zal worden aangewend</t>
  </si>
  <si>
    <t>Warmtelevering aan derden</t>
  </si>
  <si>
    <t>Vul hieronder in voor welke gebouwverwarming of welk productieproces de warmte bij uw warmteafnemer zal worden aangewend</t>
  </si>
  <si>
    <t>Warmtegebruik binnen eigen bedrijf op een andere locatie</t>
  </si>
  <si>
    <t>Vul hieronder in voor welke gebouwverwarming of welk productieproces u de warmte binnen uw bedrijf op een andere locatie zal gaan aanwenden</t>
  </si>
  <si>
    <t xml:space="preserve">Berekening projectrendement en rendement eigen vermogen over de subsidielooptijd </t>
  </si>
  <si>
    <t xml:space="preserve">Toelichting: </t>
  </si>
  <si>
    <t>Bij jaarlijks sterk varierende cashflows en/of het optreden van negatieve cashflows gedurende de subsidielooptijd kan de standaard IR-berekening in Excel mogelijk onjuiste uitkomsten geven. In dat geval kan als indicatie voor het projectrendement en rendement op eigen vermogen gerekend worden met een gemiddelde cashflow over de subsidielooptijd.</t>
  </si>
  <si>
    <t>Berekening projectrendement</t>
  </si>
  <si>
    <t>Bruto cashflows per jaar conform tabblad explotatieberekening</t>
  </si>
  <si>
    <t xml:space="preserve">Standaard IR-berekening </t>
  </si>
  <si>
    <t>Gemiddelde bruto cashfow per jaar over subsidieperiode</t>
  </si>
  <si>
    <t>Aangepaste IR-berekening gemiddelde bruto cashflow</t>
  </si>
  <si>
    <t>Berekening rendement op eigen vermogen</t>
  </si>
  <si>
    <t>Netto cashflows per jaar conform tabblad explotatieberekening</t>
  </si>
  <si>
    <t>Gemiddelde netto cashfow per jaar over subsidieperiode</t>
  </si>
  <si>
    <t>Aangepaste IR-berekening gemiddelde netto cashflow</t>
  </si>
  <si>
    <t>Totaal verwachte opbrengst energie (vermeden inkoop en/of terugleververgoeding) (€)</t>
  </si>
  <si>
    <t>Totaal verwachte opbrengst SDE++ (€/jaar)</t>
  </si>
  <si>
    <t>Naam subsidieregeling</t>
  </si>
  <si>
    <t>Tekst ETS-voordeel</t>
  </si>
  <si>
    <t xml:space="preserve">Voor de categorie zonthermie hoeft u geen energie-opbrengstberekening toe te voegen. Bij een zonthermiesysteem met afgedekte collectoren bedraagt het vermogen van een zonthermie installatie 0,7 kWth/m2 apertuuroppervlakte. Bij zonnecollectorsystemen met zonvolgende concentrerende collectoren  bedraagt het vermogen van een zonthermie installatie 0,7 kWth/m2 aangestraald oppervlak van de spiegels of lenzen voor het concentreren van zonlicht. De energieopbrengst (kWh/jaar) wordt berekend door het totaal thermisch vermogen van de installatie (in kW) te vermenigvuldigen met 600 vollasturen/jaar. Wel wordt u gevraagd om een gedetailleerde tekening op schaal waarop de aangevraagde zonthermie-installatie nauwkeurig op de beoogde locatie is ingetekend, toe te voegen. Zijn of komen er op de beoogde locatie meer installaties, dan geeft u dit duidelijk aan. Uit de intekening moet ook de oriëntatie van de installatie blijken. Bereken ingeval van een dakgebonden systeem het beschikbare dakoppervlak en houd rekening met lichtstraten en klimaatinstallaties die op het dak staan.
</t>
  </si>
  <si>
    <t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Indien u gebruik maakt van houtige biomassa gelden minimum temperatuureisen voor toepassing van de warmte. Geeft u in dat geval een onderbouwing dat de geproduceerde warmte wordt toegepast in een verwarmingssysteem met een aanvoertemperatuur aan de gebruikerszijde van ten minste 100 °C in het stookseizoen of in een stoomsysteem (met gebruikerszijde wordt de eerste gebruiker van de warmte bedoeld).
</t>
  </si>
  <si>
    <r>
      <t>Voor deze categorie geldt een minimale COP-eis voor de warmtepomp en dat de warmte uitsluitend wordt geleverd aan de gebouwde omgeving met een minimale temperatuur van 90</t>
    </r>
    <r>
      <rPr>
        <sz val="10"/>
        <rFont val="Calibri"/>
        <family val="2"/>
      </rPr>
      <t>⁰</t>
    </r>
    <r>
      <rPr>
        <sz val="10"/>
        <rFont val="Arial"/>
        <family val="2"/>
      </rPr>
      <t xml:space="preserve">C aan gebruikerszijde (voor de eerste gebruiker van de warmte). </t>
    </r>
  </si>
  <si>
    <t>Stoomketel op houtpellets ≥ 5 MWth en &lt; 50 MWth</t>
  </si>
  <si>
    <t>Stoomketel op houtpellets ≥ 50 MWth</t>
  </si>
  <si>
    <t>Lucht warmte</t>
  </si>
  <si>
    <t>Zon-PV ≥ 15 kWp en &lt; 1 MWp aansluiting &gt; 3*80 A, gebouwgebonden (net = 50%)</t>
  </si>
  <si>
    <t>Zon-PV ≥ 1 MWp, gebouwgebonden (net = 50%)</t>
  </si>
  <si>
    <t>Zon-PV ≥ 15 kWp en &lt; 1 MWp aansluiting &gt; 3*80 A, drijvend op water (net = 50%)</t>
  </si>
  <si>
    <t>Zon-PV ≥ 1 MWp, drijvend op water (net = 50%)</t>
  </si>
  <si>
    <t>Lucht-water warmtepomp</t>
  </si>
  <si>
    <t>Fase 4 (300 euro/ton CO2)</t>
  </si>
  <si>
    <t>Economische levensduur (jaar)</t>
  </si>
  <si>
    <t>Economische levensduur</t>
  </si>
  <si>
    <t>Afschrijftermijn (jaar)</t>
  </si>
  <si>
    <t>Gewogen gemiddelde DSCR berekening afhankelijk van looptijd lening</t>
  </si>
  <si>
    <t>Looptijd lening</t>
  </si>
  <si>
    <t>Waarde DSCR</t>
  </si>
  <si>
    <t>Lange-termijnprijs totaal</t>
  </si>
  <si>
    <t>Methode-ID</t>
  </si>
  <si>
    <t>Omschrijving</t>
  </si>
  <si>
    <t>Categorie</t>
  </si>
  <si>
    <t>Waarde</t>
  </si>
  <si>
    <t>Formule</t>
  </si>
  <si>
    <t>2/3 x LT_e</t>
  </si>
  <si>
    <t>LT_e</t>
  </si>
  <si>
    <t>Elektriciteit-WOL</t>
  </si>
  <si>
    <t>2/3 x LT_e x LT_PIF_WOL</t>
  </si>
  <si>
    <t>LT_e x LT_PIF_WOL</t>
  </si>
  <si>
    <t>GVO_e</t>
  </si>
  <si>
    <t>Elektriciteit-ZonPV-netlevering</t>
  </si>
  <si>
    <t>2/3 x LT_e x LT_PIF_PV</t>
  </si>
  <si>
    <t>LT_e x LT_PIF_PV</t>
  </si>
  <si>
    <t>Elektricteit-ZonPV-niet-netlevering, klein</t>
  </si>
  <si>
    <t>Elektricteit-ZonPV-niet-netlevering, groot</t>
  </si>
  <si>
    <t>Hernieuwbaar gas HHV</t>
  </si>
  <si>
    <t>TTF[HHV]</t>
  </si>
  <si>
    <t>2/3 x LT_g[HHV]</t>
  </si>
  <si>
    <t>LT_g[HHV]</t>
  </si>
  <si>
    <t>Warmte, klein</t>
  </si>
  <si>
    <t>Warmte, middelklein</t>
  </si>
  <si>
    <t>Warmte, middelgroot</t>
  </si>
  <si>
    <t>Warmte, groot_1</t>
  </si>
  <si>
    <t>70% x TTF[LHV]</t>
  </si>
  <si>
    <t xml:space="preserve">70% x 2/3 x LT_g[LHV] </t>
  </si>
  <si>
    <t xml:space="preserve">70% x LT_g[LHV] </t>
  </si>
  <si>
    <t>Warmte, groot</t>
  </si>
  <si>
    <t xml:space="preserve">90% x TTF[LHV] </t>
  </si>
  <si>
    <t xml:space="preserve">90% x 2/3 x LT_g[LHV] </t>
  </si>
  <si>
    <t xml:space="preserve">90% x LT_g[LHV] </t>
  </si>
  <si>
    <t>Directe warmte</t>
  </si>
  <si>
    <t>WKK</t>
  </si>
  <si>
    <t>(0,29 + 49 x TTF[HHV])/39.32</t>
  </si>
  <si>
    <t>(0,29 + 49 x 2/3 x LT_g[HHV])/39.32</t>
  </si>
  <si>
    <t>(0,29 + 49 x LT_g[HHV])/39.32</t>
  </si>
  <si>
    <t>CCS</t>
  </si>
  <si>
    <t>EUA</t>
  </si>
  <si>
    <t>2/3 x LT_CO2</t>
  </si>
  <si>
    <t>LT_CO2</t>
  </si>
  <si>
    <t>CO2-gebruik</t>
  </si>
  <si>
    <t>CCU</t>
  </si>
  <si>
    <t>(2/3 x LT_g[LHV]) / ketel_co2 x 1000 - 2/3 x 1000 x (2/3 x LT_e)/wkk_co2</t>
  </si>
  <si>
    <t>LT_g[LHV] / ketel_co2 x 1000 - 2/3 x  1000 x LT_e/wkk_co2</t>
  </si>
  <si>
    <t>Benzine</t>
  </si>
  <si>
    <t>Brandstoffen</t>
  </si>
  <si>
    <t>ol</t>
  </si>
  <si>
    <t>2/3 x LT_ol</t>
  </si>
  <si>
    <t>LT_ol</t>
  </si>
  <si>
    <t>HBE</t>
  </si>
  <si>
    <t>Benzine/diesel</t>
  </si>
  <si>
    <t>57% x ol + 43% x dies</t>
  </si>
  <si>
    <t>2/3 x (57% x LG_ol + 43% x LT_dies)</t>
  </si>
  <si>
    <t>57% x LG_ol + 43% x LT_dies</t>
  </si>
  <si>
    <t>Offshore elektrificatie</t>
  </si>
  <si>
    <t>3,48 x TTF[LHV]</t>
  </si>
  <si>
    <t>3,48 x 2/3 x LT_g[LHV]</t>
  </si>
  <si>
    <t>3,48 x LT_g[LHV]</t>
  </si>
  <si>
    <t>Hernieuwbaar gas LHV</t>
  </si>
  <si>
    <t>TTF[LHV]</t>
  </si>
  <si>
    <t>2/3 x LT_g[LHV]</t>
  </si>
  <si>
    <t>LT_g[LHV]</t>
  </si>
  <si>
    <t>LNG</t>
  </si>
  <si>
    <t>TTF[LHV] + 0,00319</t>
  </si>
  <si>
    <t>2/3 x LT_g[LHV] + 0,00319</t>
  </si>
  <si>
    <t>LT_g[LHV] + 0,00319</t>
  </si>
  <si>
    <t>FT</t>
  </si>
  <si>
    <t>30% x ol + 70% x dies</t>
  </si>
  <si>
    <t>2/3 x (30% x LT_ol + 70% x LT_dies)</t>
  </si>
  <si>
    <t>30% x LT_ol + 70% x LT_dies</t>
  </si>
  <si>
    <t>Geen correctiebedrag</t>
  </si>
  <si>
    <t>(2/3 x LT_g[LHV]) / ketel_co2 x 1000 - 2/3 x 1000 x (2/3 x LT_e)/wkk_co2  +  co2_transp_kost</t>
  </si>
  <si>
    <t>LT_g[LHV] / ketel_co2 x 1000 - 2/3 x  1000 x LT_e/wkk_co2  + co2_transp_kost</t>
  </si>
  <si>
    <t>(2/3 x LT_g[LHV]) / ketel_co2 x 1000 - 90% x 1000 x (2/3 x LT_e)/wkk_co2  + (2/3)* LT_co2_verm_opex</t>
  </si>
  <si>
    <t>LT_g[LHV] / ketel_co2 x 1000 - 90% x  1000 x LT_e/wkk_co2  +  LT_co2_verm_opex</t>
  </si>
  <si>
    <t>Eenheid</t>
  </si>
  <si>
    <t>€/kWh</t>
  </si>
  <si>
    <t>Langetermijnelektriciteitsprijs</t>
  </si>
  <si>
    <t>PIF_WOL</t>
  </si>
  <si>
    <t>Profiel- en onbalansfactor wind op land</t>
  </si>
  <si>
    <t>LT_PIF_WOL</t>
  </si>
  <si>
    <t>Langetermijnprofiel- en langetermijnonbalansfactor wind op land</t>
  </si>
  <si>
    <t>PIF_PV</t>
  </si>
  <si>
    <t>Profiel- en onbalansfactor zon-PV</t>
  </si>
  <si>
    <t>LT_PIF_PV</t>
  </si>
  <si>
    <t>Langetermijnprofiel- en langetermijnonbalansfactor zon-PV</t>
  </si>
  <si>
    <t>Gasprijs in bovenwaarde</t>
  </si>
  <si>
    <t>Gasprijs in onderwaarde</t>
  </si>
  <si>
    <t>Langetermijngasprijs in bovenwaarde</t>
  </si>
  <si>
    <t>Langetermijngasprijs in onderwaarde</t>
  </si>
  <si>
    <t>Prijs CO2-emissierechten</t>
  </si>
  <si>
    <t>Langetermijn-CO2-prijs</t>
  </si>
  <si>
    <t>transport</t>
  </si>
  <si>
    <t>Marginale transporttarieven</t>
  </si>
  <si>
    <t>WK</t>
  </si>
  <si>
    <t>Warmtekrachtverhouding</t>
  </si>
  <si>
    <t>Categorie-specifiek</t>
  </si>
  <si>
    <t>EB3_e</t>
  </si>
  <si>
    <t>Energiebelasting elektriciteit, 3e schijf</t>
  </si>
  <si>
    <t>EB1</t>
  </si>
  <si>
    <t>Energiebelasting gas, 1e schijf</t>
  </si>
  <si>
    <t>EB2</t>
  </si>
  <si>
    <t>Energiebelasting gas, 2e schijf</t>
  </si>
  <si>
    <t>EB3</t>
  </si>
  <si>
    <t>Energiebelasting gas, 3e schijf</t>
  </si>
  <si>
    <t>dies</t>
  </si>
  <si>
    <t>Langetermijn kale pompprijs benzine</t>
  </si>
  <si>
    <t>LT_dies</t>
  </si>
  <si>
    <t>Langetermijn kale pompprijs diesel</t>
  </si>
  <si>
    <t>ketel_co2</t>
  </si>
  <si>
    <t>wkk_co2</t>
  </si>
  <si>
    <t>Hernieuwbare Brandstofeenheid</t>
  </si>
  <si>
    <t>ef_aardgas</t>
  </si>
  <si>
    <t>Emissiefactor aardgas</t>
  </si>
  <si>
    <t>co2_transp_kost</t>
  </si>
  <si>
    <t>CO2 transportkosten</t>
  </si>
  <si>
    <t>co2_vermeden_opex_wkk_ketel</t>
  </si>
  <si>
    <t>LT_co2_verm_opex</t>
  </si>
  <si>
    <t>Generiek (bij zon-PV netlevering)</t>
  </si>
  <si>
    <t>Correctiebedrag jaar 1 incl. GVO/HBE, excl. ETS, herleid o.b.v. LT-prijs PBL</t>
  </si>
  <si>
    <t>Methode ID PBL-correctiebedragen (bij zon-PV netlevering)</t>
  </si>
  <si>
    <r>
      <t>LT_e / (1,02)</t>
    </r>
    <r>
      <rPr>
        <vertAlign val="superscript"/>
        <sz val="10"/>
        <rFont val="Calibri"/>
        <family val="2"/>
        <scheme val="minor"/>
      </rPr>
      <t>7</t>
    </r>
  </si>
  <si>
    <r>
      <t>(LT_g[LHV] / (1,02)</t>
    </r>
    <r>
      <rPr>
        <vertAlign val="superscript"/>
        <sz val="10"/>
        <rFont val="Arial"/>
        <family val="2"/>
      </rPr>
      <t>7</t>
    </r>
    <r>
      <rPr>
        <sz val="10"/>
        <rFont val="Arial"/>
        <family val="2"/>
      </rPr>
      <t xml:space="preserve"> + EB3) / 90%</t>
    </r>
  </si>
  <si>
    <r>
      <t>(LT-g[LHV] / (1,02)</t>
    </r>
    <r>
      <rPr>
        <vertAlign val="superscript"/>
        <sz val="10"/>
        <rFont val="Arial"/>
        <family val="2"/>
      </rPr>
      <t>7</t>
    </r>
    <r>
      <rPr>
        <sz val="10"/>
        <rFont val="Arial"/>
        <family val="2"/>
      </rPr>
      <t xml:space="preserve"> + EB3) / 90%</t>
    </r>
  </si>
  <si>
    <r>
      <t>LT_g[LHV] /(1,02)</t>
    </r>
    <r>
      <rPr>
        <vertAlign val="superscript"/>
        <sz val="10"/>
        <rFont val="Arial"/>
        <family val="2"/>
      </rPr>
      <t>7</t>
    </r>
    <r>
      <rPr>
        <sz val="10"/>
        <rFont val="Arial"/>
        <family val="2"/>
      </rPr>
      <t xml:space="preserve"> + EB3 </t>
    </r>
  </si>
  <si>
    <r>
      <t>70% x LT_g[LHV] / (1,02)</t>
    </r>
    <r>
      <rPr>
        <vertAlign val="superscript"/>
        <sz val="10"/>
        <rFont val="Arial"/>
        <family val="2"/>
      </rPr>
      <t>7</t>
    </r>
  </si>
  <si>
    <r>
      <t>(LT_g[LHV] / (1,02)</t>
    </r>
    <r>
      <rPr>
        <vertAlign val="superscript"/>
        <sz val="10"/>
        <rFont val="Arial"/>
        <family val="2"/>
      </rPr>
      <t>7</t>
    </r>
    <r>
      <rPr>
        <sz val="10"/>
        <rFont val="Arial"/>
        <family val="2"/>
      </rPr>
      <t xml:space="preserve"> + EB2) / 90%</t>
    </r>
  </si>
  <si>
    <r>
      <t>(LTg[LHV] / (1,02)</t>
    </r>
    <r>
      <rPr>
        <vertAlign val="superscript"/>
        <sz val="10"/>
        <rFont val="Arial"/>
        <family val="2"/>
      </rPr>
      <t>7</t>
    </r>
    <r>
      <rPr>
        <sz val="10"/>
        <rFont val="Arial"/>
        <family val="2"/>
      </rPr>
      <t xml:space="preserve"> )/ ketel_co2 x 1000 - 90% x 1000 x EPEX/wkk_co2 + co2_vermeden_opex_wkk_ketel</t>
    </r>
  </si>
  <si>
    <r>
      <t>90% x LT_g[LHV]/ (1,02)</t>
    </r>
    <r>
      <rPr>
        <vertAlign val="superscript"/>
        <sz val="10"/>
        <rFont val="Arial"/>
        <family val="2"/>
      </rPr>
      <t xml:space="preserve">7 </t>
    </r>
  </si>
  <si>
    <r>
      <t>(0,29 + 49 x LT_g[HHV]) / (1,02)</t>
    </r>
    <r>
      <rPr>
        <vertAlign val="superscript"/>
        <sz val="10"/>
        <rFont val="Arial"/>
        <family val="2"/>
      </rPr>
      <t>7</t>
    </r>
    <r>
      <rPr>
        <sz val="10"/>
        <rFont val="Arial"/>
        <family val="2"/>
      </rPr>
      <t xml:space="preserve">) / 39.32 </t>
    </r>
  </si>
  <si>
    <t xml:space="preserve">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in het stookseizoen of in een stoomsysteem (met gebruikerszijde wordt de eerste gebruiker van de warmte bedoeld).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t>
  </si>
  <si>
    <t>Voeg een CO₂ afvang en opslagberekening en onderbouwend(e) rapport(en) over de infrastructuur voor transport en opslag toe</t>
  </si>
  <si>
    <t xml:space="preserve">Voor deze categorie geldt een minimale COP eis en temperatuurseis voor de warmtepomp! </t>
  </si>
  <si>
    <r>
      <t>LT_ol / (1,02)</t>
    </r>
    <r>
      <rPr>
        <vertAlign val="superscript"/>
        <sz val="10"/>
        <rFont val="Arial"/>
        <family val="2"/>
      </rPr>
      <t>7</t>
    </r>
    <r>
      <rPr>
        <sz val="10"/>
        <rFont val="Arial"/>
        <family val="2"/>
      </rPr>
      <t xml:space="preserve"> + HBE    (ol = kale pompprijs benzine)</t>
    </r>
  </si>
  <si>
    <r>
      <t>(LT_g[LHV] / (1,02)</t>
    </r>
    <r>
      <rPr>
        <vertAlign val="superscript"/>
        <sz val="10"/>
        <rFont val="Arial"/>
        <family val="2"/>
      </rPr>
      <t>7</t>
    </r>
    <r>
      <rPr>
        <sz val="10"/>
        <rFont val="Arial"/>
        <family val="2"/>
      </rPr>
      <t>) + 0,00319</t>
    </r>
    <r>
      <rPr>
        <vertAlign val="superscript"/>
        <sz val="10"/>
        <rFont val="Arial"/>
        <family val="2"/>
      </rPr>
      <t xml:space="preserve"> </t>
    </r>
    <r>
      <rPr>
        <sz val="10"/>
        <rFont val="Arial"/>
        <family val="2"/>
      </rPr>
      <t xml:space="preserve">+ HBE
</t>
    </r>
  </si>
  <si>
    <r>
      <t>(30% x LT_ol + 70% x LT_dies) / (1,02)</t>
    </r>
    <r>
      <rPr>
        <vertAlign val="superscript"/>
        <sz val="10"/>
        <rFont val="Arial"/>
        <family val="2"/>
      </rPr>
      <t>7</t>
    </r>
    <r>
      <rPr>
        <sz val="10"/>
        <rFont val="Arial"/>
        <family val="2"/>
      </rPr>
      <t xml:space="preserve"> + HBE</t>
    </r>
  </si>
  <si>
    <t>Zon-PV ≥ 20 MWp, op land natuurinclusief (net = 50%)</t>
  </si>
  <si>
    <t xml:space="preserve">Zon-PV ≥ 1 MWp en &lt; 20 MWp, zonvolgend op land natuurinclusief </t>
  </si>
  <si>
    <t xml:space="preserve">Zon-PV ≥ 20 MWp, zonvolgend op land natuurinclusief
</t>
  </si>
  <si>
    <t>Monomestvergisting, hernieuwbaar gas ≤ 110 kW</t>
  </si>
  <si>
    <t>Monomestvergisting, gecombineerde opwekking ≤ 110 kW</t>
  </si>
  <si>
    <t>Monomestvergisting, warmte ≤ 110 kW</t>
  </si>
  <si>
    <t>Restwarmtebenutting met warmtepomp, transportleiding &lt; 0,10 km/MWth</t>
  </si>
  <si>
    <t xml:space="preserve">Waterstof uit elektrolyse, netgekoppeld met hernieuwbare stroomafnameovereenkomsten </t>
  </si>
  <si>
    <t>Waterstof uit elektrolyse, directe lijn met windpark of zonnepark</t>
  </si>
  <si>
    <t>Aquathermie, basislast, verwarming gebouwde omgeving (6000 vollasturen)</t>
  </si>
  <si>
    <r>
      <t>90% x LT_g[LHV]/ (1,02)</t>
    </r>
    <r>
      <rPr>
        <vertAlign val="superscript"/>
        <sz val="10"/>
        <rFont val="Arial"/>
        <family val="2"/>
      </rPr>
      <t>7</t>
    </r>
    <r>
      <rPr>
        <sz val="10"/>
        <rFont val="Arial"/>
        <family val="2"/>
      </rPr>
      <t xml:space="preserve"> </t>
    </r>
  </si>
  <si>
    <t>Fase 1 (75 euro/ton CO2)</t>
  </si>
  <si>
    <t>Fase 2 (150 euro/ton CO2)</t>
  </si>
  <si>
    <t>Fase 3 (225 euro/ton CO2)</t>
  </si>
  <si>
    <t>Procesgeïntegreerde warmtepomp in een verdampingsproces (8000 uur)</t>
  </si>
  <si>
    <t>Procesgeïntegreerde warmtepomp in een verdampingsproces (3000 uur)</t>
  </si>
  <si>
    <t>Zon-PV ≥ 1 MWp, gebouwgebonden met lichte dakaanpassing of lichtgewicht panelen (net = 50%)</t>
  </si>
  <si>
    <t>LT_e x LT_PIF_PV + EB3_e + transport</t>
  </si>
  <si>
    <t>2/3 x LT_e x LT_PIF_PV + EB3_e + transport</t>
  </si>
  <si>
    <t>LT_e x LT_PIF_PV + EB3_e</t>
  </si>
  <si>
    <t>2/3 x LT_e x LT_PIF_PV + EB3_e</t>
  </si>
  <si>
    <t>(TTF[LHV] + EB1 ) / 90%</t>
  </si>
  <si>
    <t>(LT_g[LHV] + EB1) / 90%</t>
  </si>
  <si>
    <t>(2/3 x LT_g[LHV] + EB1) / 90%</t>
  </si>
  <si>
    <t>(TTF[LHV] + EB2 ) / 90%</t>
  </si>
  <si>
    <t>(LT_g[LHV] + EB2) / 90%</t>
  </si>
  <si>
    <t>(2/3 x LT_g[LHV] + EB2) / 90%</t>
  </si>
  <si>
    <t>(TTF[LHV] + EB3 ) / 90%</t>
  </si>
  <si>
    <t>(LT_g[LHV] + EB3) / 90%</t>
  </si>
  <si>
    <t>(2/3 x LT_g[LHV] + EB3) / 90%</t>
  </si>
  <si>
    <t>TTF[LHV] + EB3</t>
  </si>
  <si>
    <t>LT_g[LHV] + EB3</t>
  </si>
  <si>
    <t>2/3*LT_g[LHV] + EB3</t>
  </si>
  <si>
    <t xml:space="preserve">( LT_e + WK x ( LT_g[LHV] + EB1 )/ 90%)/(1 + WK-factor) </t>
  </si>
  <si>
    <t xml:space="preserve">(2/3 x LT_e + WK x (2/3 x  LT_g[LHV] + EB1) / 90%)/(1 + WK-factor) </t>
  </si>
  <si>
    <t xml:space="preserve">( LT_e + WK x ( LT_g[LHV] + EB2) / 90%)/(1 + WK-factor) </t>
  </si>
  <si>
    <t>CCS_AVI</t>
  </si>
  <si>
    <t>EUA x AVI_CO2</t>
  </si>
  <si>
    <t>LT_CO2 x AVI_CO2</t>
  </si>
  <si>
    <t>2/3 x EUA x AVI_CO2</t>
  </si>
  <si>
    <t>CCS buiten ETS</t>
  </si>
  <si>
    <t>Product heeft geen prijs</t>
  </si>
  <si>
    <t>CO2-gebruik incl. transportkosten</t>
  </si>
  <si>
    <t>CO2-gebruik incl. vermeden O&amp;M</t>
  </si>
  <si>
    <t>Voorlopige correcties 2024</t>
  </si>
  <si>
    <t>Type bate</t>
  </si>
  <si>
    <t>Berekeningswijze</t>
  </si>
  <si>
    <t>GvO</t>
  </si>
  <si>
    <t>Gelijk aan de meest recente waarde</t>
  </si>
  <si>
    <t>ETS-correctie-ID</t>
  </si>
  <si>
    <t>Geen ETS-correctie</t>
  </si>
  <si>
    <t>CCS 100% ETS-correctie</t>
  </si>
  <si>
    <t>Warmte 100% ETS-correctie</t>
  </si>
  <si>
    <t>ETS_max_warmte</t>
  </si>
  <si>
    <t>LT_ETS_max_warmte</t>
  </si>
  <si>
    <t>Elektrificatie offshore platforms</t>
  </si>
  <si>
    <t>Gasbesparing_EOP * (Ef_gas * 0,0036) / 1000 * EUA * (100%-Niet_CL_offshore_gas)</t>
  </si>
  <si>
    <t>Gasbesparing_EOP * (Ef_gas * 3,6/1000) / 1000 * LT_CO2 * (100%-Niet_CL_offshore_gas)</t>
  </si>
  <si>
    <t>Restwarmte zonder warmtepomp levering aan stadverwarming</t>
  </si>
  <si>
    <t>ETS_max_warmte * Allocatie_gratis_EUA_warmtenet</t>
  </si>
  <si>
    <t>LT_ETS_max_warmte * Allocatie_gratis_EUA_warmtenet</t>
  </si>
  <si>
    <t>Restwarmte met warmtepomp levering aan stadverwarming</t>
  </si>
  <si>
    <t>ETS_max_warmte * Allocatie_gratis_EUA_warmtenet*(COP-1)/COP</t>
  </si>
  <si>
    <t>LT_ETS_max_warmte * Allocatie_gratis_EUA_warmtenet * (COP-1)/COP</t>
  </si>
  <si>
    <t>Hernieuwbare warmte met warmtepomp</t>
  </si>
  <si>
    <t>ETS_max_warmte * (COP-1)/COP</t>
  </si>
  <si>
    <t>LT_ETS_max_warmte * (COP-1)/COP</t>
  </si>
  <si>
    <t>Hernieuwbare warmte zonder warmtepomp levering aan stadsverwarming</t>
  </si>
  <si>
    <t>ETS_max_warmte * D_ketel_warmtenet_inflex</t>
  </si>
  <si>
    <t>LT_ETS_max_warmte * D_ketel_warmtenet_inflex</t>
  </si>
  <si>
    <t>Hernieuwbare warmte met warmtepomp levering aan stadsverwarming</t>
  </si>
  <si>
    <t>ETS_max_warmte * D_ketel_warmtenet_inflex * Allocatie_gratis_EUA_warmtenet * (COP-1)/COP</t>
  </si>
  <si>
    <t>LT_ETS_max_warmte * D_ketel_warmtenet_inflex * Allocatie_gratis_EUA_warmtenet * (COP-1)/COP</t>
  </si>
  <si>
    <t>Elektrische boiler levering aan stadsverwarming</t>
  </si>
  <si>
    <t>ETS_max_warmte * D_ketel_warmtenet_flex * (1 - Allocatie_gratis_EUA_warmtenet)</t>
  </si>
  <si>
    <t>LT_ETS_max_warmte * D_ketel_warmtenet_flex * (1 - Allocatie_gratis_EUA_warmtenet)</t>
  </si>
  <si>
    <t>Waterstof 100% ETS-correctie</t>
  </si>
  <si>
    <t>ETS_max_waterstof</t>
  </si>
  <si>
    <t>Parameterwaardes</t>
  </si>
  <si>
    <t>Parameter</t>
  </si>
  <si>
    <t>Recent</t>
  </si>
  <si>
    <t>Lange termijn</t>
  </si>
  <si>
    <t>AVI_CO2</t>
  </si>
  <si>
    <t>Fossiele fractie van CO2-uitstoot bij AVI's</t>
  </si>
  <si>
    <t>1 - percentage biogeen in emissiefactor</t>
  </si>
  <si>
    <t>Transporttarieven op de lange termijn</t>
  </si>
  <si>
    <t>Categorie-specifiek en vast gedurende looptijd va beschikking</t>
  </si>
  <si>
    <t>Garantie van Oorsprong voor elektriciteit</t>
  </si>
  <si>
    <t>Vermeden O&amp;M WKK/ketel bij tuinder</t>
  </si>
  <si>
    <t>Langetermijn vermeden O&amp;M WKK/ketel bij tuinder</t>
  </si>
  <si>
    <t>eff_gasketel</t>
  </si>
  <si>
    <t>Rendement gasketel</t>
  </si>
  <si>
    <t>Allocatie_gratis_EUA_warmtenet</t>
  </si>
  <si>
    <t>Percentage gratis gealloceerde rechten bij levering aan warmtenet</t>
  </si>
  <si>
    <t>D_ketel_warmtenet_inflex</t>
  </si>
  <si>
    <t>Aanname aandeel gasketelwarmtevervanging in warmtenet (niet-flexibele warmte)</t>
  </si>
  <si>
    <t>D_ketel_warmtenet_flex</t>
  </si>
  <si>
    <t>Aanname aandeel gasketelwarmtevervanging in warmtenet (flexibele warmte)</t>
  </si>
  <si>
    <t>Niet_CL_offshore_gas</t>
  </si>
  <si>
    <t>Aandeel niet-Carbon-Leakage-gevoelig offshore gaswinning in EU ETS-fase 4</t>
  </si>
  <si>
    <t>COP</t>
  </si>
  <si>
    <t>Coefficient of Performance, ook wel Seasonal Performance Factor (SPF)</t>
  </si>
  <si>
    <t>Gasbesparing_EOP</t>
  </si>
  <si>
    <t>Verhouding vermeden aardgas op gebruikte elektriciteit</t>
  </si>
  <si>
    <t>Dit is een vast getal dat is berekend op basis van informatie uit de marktconsultatie</t>
  </si>
  <si>
    <t>Emfac_waterstof</t>
  </si>
  <si>
    <t>Techno-Economic Evaluation of SMR Based Standalone (Merchant) Hydrogen Plant with CCS</t>
  </si>
  <si>
    <t>Alle gemiddelden zijn ongewogen.</t>
  </si>
  <si>
    <t>Exclusief de uren met negatieve prijzen.</t>
  </si>
  <si>
    <t>Uitgaande van ketel in tuinbouw.</t>
  </si>
  <si>
    <t>WKK tuinbouw.</t>
  </si>
  <si>
    <t xml:space="preserve">De ratio die is genomen voor het gas dat een tuinder bespaart nu hij zelf niet meer die CO2 hoeft te genereren, per CO2 die hij krijgt geleverd. Bron reductiecoefficient: WEcR-studie (Van der velden &amp; Smit, 2020). </t>
  </si>
  <si>
    <t>Zie voetnoot 5 en met de aanname dat het elektrisch rendement van de WKK 37.5% is.</t>
  </si>
  <si>
    <t>Vermenigvuldigd met 2 (omdat elke geproduceerde geavanceerde hernieuwbare brandstofeenheid 2 HBE’s krijgt).</t>
  </si>
  <si>
    <t>Iinflatie t/m 2022.</t>
  </si>
  <si>
    <t>Inflatie t/m 7,5 jaar vooruit.</t>
  </si>
  <si>
    <t>Indien alle rechten zouden moeten worden ingekocht (per kWh geleverde warmte), indien de warmte zou zijn opgewekt met aardgas in een ketel (rekening houdend met een aangenomen ketelrendement en emissiefactor van gas)</t>
  </si>
  <si>
    <r>
      <t>(LT_e / (1,02)</t>
    </r>
    <r>
      <rPr>
        <vertAlign val="superscript"/>
        <sz val="10"/>
        <rFont val="Arial"/>
        <family val="2"/>
      </rPr>
      <t xml:space="preserve">7 </t>
    </r>
    <r>
      <rPr>
        <sz val="10"/>
        <rFont val="Arial"/>
        <family val="2"/>
      </rPr>
      <t>+ WK x (LT_g[LHV] / (1,02)</t>
    </r>
    <r>
      <rPr>
        <vertAlign val="superscript"/>
        <sz val="10"/>
        <rFont val="Arial"/>
        <family val="2"/>
      </rPr>
      <t>7</t>
    </r>
    <r>
      <rPr>
        <sz val="10"/>
        <rFont val="Arial"/>
        <family val="2"/>
      </rPr>
      <t xml:space="preserve"> + EB3) / 90%) / (1 + WK-factor 1,13) </t>
    </r>
  </si>
  <si>
    <r>
      <t>(LT_e / (1,02)</t>
    </r>
    <r>
      <rPr>
        <vertAlign val="superscript"/>
        <sz val="10"/>
        <rFont val="Arial"/>
        <family val="2"/>
      </rPr>
      <t>7</t>
    </r>
    <r>
      <rPr>
        <sz val="10"/>
        <rFont val="Arial"/>
        <family val="2"/>
      </rPr>
      <t xml:space="preserve"> + WK x (LT_g[LHV] / (1,02)</t>
    </r>
    <r>
      <rPr>
        <vertAlign val="superscript"/>
        <sz val="10"/>
        <rFont val="Arial"/>
        <family val="2"/>
      </rPr>
      <t xml:space="preserve">7 </t>
    </r>
    <r>
      <rPr>
        <sz val="10"/>
        <rFont val="Arial"/>
        <family val="2"/>
      </rPr>
      <t xml:space="preserve">+ EB1) / 90%) / (1 + WK-factor 0,62) </t>
    </r>
  </si>
  <si>
    <r>
      <t>(LT_e / (1,02)</t>
    </r>
    <r>
      <rPr>
        <vertAlign val="superscript"/>
        <sz val="10"/>
        <rFont val="Arial"/>
        <family val="2"/>
      </rPr>
      <t>7</t>
    </r>
    <r>
      <rPr>
        <sz val="10"/>
        <rFont val="Arial"/>
        <family val="2"/>
      </rPr>
      <t xml:space="preserve"> + WK x (LT_g[LHV] / (1,02)</t>
    </r>
    <r>
      <rPr>
        <vertAlign val="superscript"/>
        <sz val="10"/>
        <rFont val="Arial"/>
        <family val="2"/>
      </rPr>
      <t>7</t>
    </r>
    <r>
      <rPr>
        <sz val="10"/>
        <rFont val="Arial"/>
        <family val="2"/>
      </rPr>
      <t xml:space="preserve"> + EB3) / 90%) / (1 + WK-factor 0,62) </t>
    </r>
  </si>
  <si>
    <t>Biomassavergisting gecombineerde opwekking van elektriciteit en warmte</t>
  </si>
  <si>
    <t>Biomassavergisting warmte</t>
  </si>
  <si>
    <t>Biomassavergisting en vergassing hernieuwbaar gas</t>
  </si>
  <si>
    <t>Biomassaverbranding warmte</t>
  </si>
  <si>
    <t>Directe inzet van houtpellets voor industriële toepassingen ≥ 5 MWth</t>
  </si>
  <si>
    <t>Ketel op vloeibare biomassa voor stadsverwarming ≥ 0,5 MWth</t>
  </si>
  <si>
    <t>Ketel op vloeibare biomassa voor overige toepassingen ≥ 0,5 MWth</t>
  </si>
  <si>
    <t>Hernieuwbare warmte (en gecombineerde opwekking)</t>
  </si>
  <si>
    <t>Zon-PV met lichte dakaanpassing</t>
  </si>
  <si>
    <t>Zon-PV zonvolgend natuurinclusief</t>
  </si>
  <si>
    <t>Tekst energieopbrengstberekening zon-PV-installatie met lichte dakaanpassing</t>
  </si>
  <si>
    <t>Tekst energieopbrengstberekening zon-PV-installatie natuurinclusief met zonvolgsysteem</t>
  </si>
  <si>
    <t>Tekst energieopbrengstberekening zon-PV-installatie natuurinclusief zonder zonvolgsysteem</t>
  </si>
  <si>
    <t>Tekst lucht-water warmtepomp 70 graden eis</t>
  </si>
  <si>
    <t>Tekst lucht-water warmtepomp 40 graden eis</t>
  </si>
  <si>
    <t>Warmtepomp procesgeïntegreerd</t>
  </si>
  <si>
    <t>Lucht-water warmtepomp 70 graden eis</t>
  </si>
  <si>
    <t>Lucht-water warmtepomp 40 graden eis</t>
  </si>
  <si>
    <t>Tekst warmtepomp procesgeïntegreerd</t>
  </si>
  <si>
    <t>Elektroboiler met hogetemperatuuropslag</t>
  </si>
  <si>
    <t>Tekst elektroboiler met hogetemperatuuropslag</t>
  </si>
  <si>
    <t>Aquathermie, geen basislast, verwarming gebouwde omgeving (3500 vollasturen)</t>
  </si>
  <si>
    <t>Aquathermie, basislast, verwarming gebouwde omgeving, nieuw warmteoverdrachtstation (6000 vollasturen)</t>
  </si>
  <si>
    <t xml:space="preserve">Voor deze categorie geldt een minimale COP-eis voor de warmtepomp en dat warmte uitsluitend wordt geleverd aan gebouwde omgeving via een nieuw warmteoverdrachtsstation!  </t>
  </si>
  <si>
    <t xml:space="preserve">Voor deze categorie geldt een minimale COP-eis voor de warmtepomp en dat de warmte uitsluitend wordt geleverd voor verwarming van de gebouwde omgeving! </t>
  </si>
  <si>
    <t>Lucht-water-warmtepomp voor verwarming bestaande gebouwde omgeving, geen basislast, middentemperatuur (≥ 70 ⁰C)</t>
  </si>
  <si>
    <t xml:space="preserve">Voor deze categorie geldt een minimale COP eis en temperatuurseis voor de warmtepomp en dat de warmte uitsluitend wordt geleverd voor objecten in de gebouwde omgeving! </t>
  </si>
  <si>
    <t xml:space="preserve">Tekst energieopbrengstberekening thermische energie uit water met nieuw warmteoverdrachtstation </t>
  </si>
  <si>
    <t>Tekst energieopbrengstberekening thermische energie water</t>
  </si>
  <si>
    <t>Aquathermie met nieuw warmteoverdrachtsstation</t>
  </si>
  <si>
    <t>Aquathermie</t>
  </si>
  <si>
    <t xml:space="preserve">U vraagt subsidie aan in een categorie natuurinclusief grondgebonden zon-PV met een zonvolgend systeem. Ter onderbouwing van de jaarlijks te verwachten netto elektriciteitsproductie moet u een zonne-energie-opbrengstberekening meesturen. Aan dit onderzoek worden nadere eisen gesteld. Meer informatie vindt u in de 'Handleiding haalbaarheidstudie SDE++'. Daarnaast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t>
  </si>
  <si>
    <t>Check zon-PV wind verwachting overschrijding opbrengstgrensbedrag</t>
  </si>
  <si>
    <t>Subsidie verwacht? (Herleid correctiebedrag jaar 1 &lt; basisbedrag)</t>
  </si>
  <si>
    <t xml:space="preserve">U vraagt subsidie aan voor een drijvende zon-PV-installatie zonder zonvolgsysteem. U hoeft geen energie-opbrengstberekening toe te voegen. Bij een drijvende zon-PV-installatie zonder zonvolgsysteem wordt de energieopbrengst (kWh/jaar) berekend door het piekvermogen van de installatie (in kWp) te vermenigvuldigen met 855 vollasturen/jaar. Wel wordt u gevraagd om een gedetailleerde tekening op schaal met oriëntatie (richting noorden) waarop de aangevraagde zon-PV-installatie nauwkeurig op de beoogde locatie is ingetekend, toe te voegen. Zijn of komen er op de beoogde locatie meer installaties, dan geeft u dit duidelijk aan. Uit de intekening moet ook de oriëntatie van de installatie blijken. </t>
  </si>
  <si>
    <t xml:space="preserve">U vraagt subsidie aan voor een natuurinclusief grondgebonden zon-PV-installatie zonder zonvolgsysteem. U hoeft geen energie-opbrengstberekening toe te voegen. Bij een grondgebonden zon-PV-installatie zonder zonvolgsysteem wordt de energieopbrengst (kWh/jaar) berekend door het piekvermogen van de installatie (in kWp) te vermenigvuldigen met 855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t>
  </si>
  <si>
    <t xml:space="preserve">U vraagt subsidie aan in de categorie wind op land, hoogtebeperkt. Ter onderbouwing van de jaarlijks te verwachten energieproductie (netto P50-waarde) moet u een windenergie-opbrengstberekening meesturen. Aan dit onderzoek worden nadere eisen gesteld. Meer informatie vindt u in de 'Handleiding haalbaarheidstudie SDE++’.
Daarnaast geeft u een onderbouwing dat er op de locatie van de productie-installatie sprake is van een hoogterestrictie bij of krachtens landelijke wet- en regelgeving in verband met de aanwezigheid van een luchthaven in de omgeving waardoor de tiphoogte van de windturbine beperkt is tot 150 meter of lager. Vanaf 2024 komen ook projecten voor deze categorie in aanmerking als zij hogere turbines niet kunnen realiseren in verband met mogelijke verstoring van het militair radarbeeld. Het gaat hierbij om productie-installaties die worden gerealiseerd in een plaatselijk luchtverkeersleidingsgebied rond de luchthavens Schiphol, De Kooy, Deelen, Eindhoven, Gilze-Rijen, Leeuwarden, De Peel, Volkel, Woensdreacht of het boven Nederlands grondgebied gelegen deel van de Kleine-Brogel. Deze gebieden zijn vastgesteld door de Minister van Infrastructuur en Waterstaat en zijn  opgenomen in hoofdstuk ENR 6 van de luchtvaartgids (als bedoeld in artikel 605, onderdeel a, onder 1.vijfde lid van de Regeling luchtverkeersdienstverlening van het Luchtvaartreglement, hoofdstuk ENR 6). 
</t>
  </si>
  <si>
    <t>Allesvergisting voortzetting, gecombineerde opwekking</t>
  </si>
  <si>
    <t xml:space="preserve">Monomestvergisting voortzetting, gecombineerde opwekking ≤ 450 kW </t>
  </si>
  <si>
    <t>Allesvergisting voortzetting, warmte</t>
  </si>
  <si>
    <t>Monomestvergisting voortzetting, warmte ≤ 450 kW</t>
  </si>
  <si>
    <t>Allesvergisting voortzetting, hernieuwbaar gas</t>
  </si>
  <si>
    <t>Monomestvergisting voortzetting ≤ 450 kW, hernieuwbaar gas</t>
  </si>
  <si>
    <t xml:space="preserve">Grote ketel op vaste of vloeibare biomassa ≥ 5 MWth, voortzetting </t>
  </si>
  <si>
    <t>Tekst biomassa voortzetting (renovatie)</t>
  </si>
  <si>
    <t>Tekst biomassa extra faciliteit (ombouw)</t>
  </si>
  <si>
    <t>Biomassa extra faciliteit (ombouw)</t>
  </si>
  <si>
    <t>Biomassa voortzetting (renovatie)</t>
  </si>
  <si>
    <t>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Daarnaast geeft u aan in welke extra faciliteit (ombouw) u gaat investeren.</t>
  </si>
  <si>
    <t>Tekst biomassa voortzetting (renovatie), extra eisen</t>
  </si>
  <si>
    <t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Indien u gebruik maakt van houtige biomassa gelden minimum temperatuureisen voor toepassing van de warmte. Geeft u in dat geval een onderbouwing dat de geproduceerde warmte wordt toegepast in een verwarmingssysteem met een aanvoertemperatuur aan de gebruikerszijde van ten minste 100 °C in het stookseizoen of in een stoomsysteem (met gebruikerszijde wordt de eerste gebruiker van de warmte bedoeld).
Daarnaast stelt u een renovatieplan op waaruit blijkt dat de productie-installatie geschikt wordt gemaakt om 12 jaar door te kunnen produceren.
</t>
  </si>
  <si>
    <t>Biomassa voortzetting (renovatie), extra eisen</t>
  </si>
  <si>
    <t>Monomestvergisting extra faciliteit (ombouw naar gas) ≤ 450 kW, hernieuwbaar gas</t>
  </si>
  <si>
    <t>Allesvergisting extra faciliteit (ombouw naar gas), hernieuwbaar gas</t>
  </si>
  <si>
    <t>Als u subsidie aanvraagt in de categorie waterstof uit elektrolyse netgekoppeld, moet u ter onderbouwing een beschrijving van uw productie-installatie meesturen en een onderbouwing van de jaarlijkse hoeveelheid waterstofproductie. 
Verder geldt dat uitsluitend subsidie wordt verstrekt voor de waterstof die volledig hernieuwbaar is en voldoet aan de gedelegeerde verordening (er moeten hernieuwbare stroomovereenkomsten worden afgesloten die betrekking hebben op de levering van hernieuwbare elektriciteit uit wind- of zonne-energie). Tijdens de exploitatie dient u dan te beschikken over het bewijs van afboeking van garanties van oorsprong (GvO) voor hernieuwbare elektriciteit, die zijn uitgegeven voor productie-installaties voor de productie van hernieuwbare elektriciteit uit wind- of zonne-energie waarvoor de hernieuwbare stroomafnameovereenkomsten zijn aangegaan.</t>
  </si>
  <si>
    <t>Voeg een waterstofopbrengstberekening toe</t>
  </si>
  <si>
    <t>Model haalbaarheidsstudie SDE++ 2025</t>
  </si>
  <si>
    <t>Wind op land ≥ 8,0 m/s</t>
  </si>
  <si>
    <t>Wind op land, hoogtebeperkt ≥ 8,0 m/s</t>
  </si>
  <si>
    <t>Wind op waterkering ≥ 8,0 m/s</t>
  </si>
  <si>
    <t xml:space="preserve">Zon-PV ≥ 15kWp en &lt; 1 MWp aansluiting &gt; 3*80 A,  verticaal op land </t>
  </si>
  <si>
    <t>Zon-PV ≥ 15 kWp en &lt; 1 MWp aansluiting &gt; 3*80 A,  op oost-west gevels van gebouwen (net = 50%)</t>
  </si>
  <si>
    <t>Biomassavergassing</t>
  </si>
  <si>
    <t>Monomestvergisting, hernieuwbaar gas &gt; 110 kW en ≤ 275 kW</t>
  </si>
  <si>
    <t>Monomestvergisting, hernieuwbaar gas &gt; 275 kW en ≤ 1500 kW</t>
  </si>
  <si>
    <t>Monomestvergisting, hernieuwbaar gas &gt; 1500 kW</t>
  </si>
  <si>
    <t>RWZI slibgisting extra faciliteit (ombouw naar gas), hernieuwbaar gas</t>
  </si>
  <si>
    <t>Monomestvergisting, gecombineerde opwekking &gt; 110 kW en ≤ 275 kW</t>
  </si>
  <si>
    <t>Monomestvergisting, gecombineerde opwekking &gt; 1500 kW</t>
  </si>
  <si>
    <t>Monomestvergisting, gecombineerde opwekking &gt; 275 kW en ≤ 1500 kW</t>
  </si>
  <si>
    <t>Monomestvergisting, warmte &gt; 110 kW en ≤ 275 kW</t>
  </si>
  <si>
    <t>Monomestvergisting, warmte &gt; 1500 kW</t>
  </si>
  <si>
    <t>Monomestvergisting, warmte &gt; 275 kW en ≤ 1500 kW</t>
  </si>
  <si>
    <t>Diepe geothermie &lt; 12 MWth, verwarming gebouwde omgeving (3500 vollasturen)</t>
  </si>
  <si>
    <r>
      <t xml:space="preserve">Diepe geothermie </t>
    </r>
    <r>
      <rPr>
        <sz val="10"/>
        <rFont val="Calibri"/>
        <family val="2"/>
      </rPr>
      <t>≥</t>
    </r>
    <r>
      <rPr>
        <sz val="10"/>
        <rFont val="Arial"/>
        <family val="2"/>
      </rPr>
      <t xml:space="preserve"> 12 MWth, verwarming gebouwde omgeving (3500 vollasturen)</t>
    </r>
  </si>
  <si>
    <t>Voorlopig correctiebedrag 2025</t>
  </si>
  <si>
    <t>Zon-PV ≥ 15 kWp en &lt; 1 MWp aansluiting &gt; 3*80 A, gebouwgebonden met lichte dakaanpassing of lichtgewicht panelen (net = 50%)</t>
  </si>
  <si>
    <t>Zon-PV ≥ 15 kWp en &lt; 1 MWp aansluiting &gt; 3*80 A, op land natuurinclusief (net = 50%)</t>
  </si>
  <si>
    <t>Zon-PV ≥ 1 MWp en &lt; 20 MWp, op land natuurinclusief (net = 50%)</t>
  </si>
  <si>
    <t xml:space="preserve">Zon-PV ≥ 1 MWp aansluiting &gt; 3*80 A,  verticaal op land </t>
  </si>
  <si>
    <t>Restwarmtebenutting (zonder warmtepomp), transportleiding ≥ 0,40 km/MWth</t>
  </si>
  <si>
    <t>Restwarmtebenutting (zonder warmtepomp), transportleiding ≥ 0,10 en &lt; 0,20 km/MWth</t>
  </si>
  <si>
    <t>Diepe geothermie met warmtepomp &lt; 12 MWth, verwarming gebouwde omgeving (6000 vollasturen)</t>
  </si>
  <si>
    <t>Diepe geothermie met warmtepomp ≥ 12 MWth, verwarming gebouwde omgeving (6000 vollasturen)</t>
  </si>
  <si>
    <r>
      <t>Lucht-water-warmtepomp voor verwarming bestaande gebouwde omgeving of bestaande tuinbouwkassen, geen basislast, lagetemperatuur (</t>
    </r>
    <r>
      <rPr>
        <sz val="10"/>
        <rFont val="Calibri"/>
        <family val="2"/>
      </rPr>
      <t>≥</t>
    </r>
    <r>
      <rPr>
        <sz val="7.5"/>
        <rFont val="Arial"/>
        <family val="2"/>
      </rPr>
      <t xml:space="preserve"> </t>
    </r>
    <r>
      <rPr>
        <sz val="10"/>
        <rFont val="Arial"/>
        <family val="2"/>
      </rPr>
      <t>40</t>
    </r>
    <r>
      <rPr>
        <sz val="7.5"/>
        <rFont val="Arial"/>
        <family val="2"/>
      </rPr>
      <t xml:space="preserve"> </t>
    </r>
    <r>
      <rPr>
        <sz val="10"/>
        <rFont val="Calibri"/>
        <family val="2"/>
      </rPr>
      <t>⁰</t>
    </r>
    <r>
      <rPr>
        <sz val="10"/>
        <rFont val="Arial"/>
        <family val="2"/>
      </rPr>
      <t>C</t>
    </r>
    <r>
      <rPr>
        <sz val="5.65"/>
        <rFont val="Arial"/>
        <family val="2"/>
      </rPr>
      <t>)</t>
    </r>
  </si>
  <si>
    <t>Industriële gesloten warmtepomp (5000 vollasturen)</t>
  </si>
  <si>
    <t>Industriële open warmtepomp (5000 vollasturen)</t>
  </si>
  <si>
    <t>Procesgeïntegreerde warmtepomp in een verdampingsproces (5000 uur)</t>
  </si>
  <si>
    <t>Grootschalige elektrische boiler, stadsverwarming</t>
  </si>
  <si>
    <t>Grootschalige elektrische boiler voortzetting, stadsverwarming</t>
  </si>
  <si>
    <t>Grootschalige elektrische boiler, industriele toepassing niet zijnde tuinbouw</t>
  </si>
  <si>
    <t>Grootschalige elektrische boiler, industriele toepassing niet zijnde tuinbouw, met hogetemperatuuropslag</t>
  </si>
  <si>
    <t>Grootschalige elektrische boiler voortzetting, industriele toepassing niet zijnde tuinbouw</t>
  </si>
  <si>
    <t>Zon-PVT systeem, verwarming gebouwen in gebouwde omgeving</t>
  </si>
  <si>
    <t>Zon-PVT systeem, stadsverwarming</t>
  </si>
  <si>
    <t>Aquathermie met seizoensopslag, geen basislast, directe toepassing (3500 vollasturen)</t>
  </si>
  <si>
    <t>Waterstof uit vergassing van afval</t>
  </si>
  <si>
    <r>
      <t>CO</t>
    </r>
    <r>
      <rPr>
        <b/>
        <vertAlign val="subscript"/>
        <sz val="10"/>
        <color rgb="FF000000"/>
        <rFont val="Arial"/>
        <family val="2"/>
      </rPr>
      <t>2</t>
    </r>
    <r>
      <rPr>
        <b/>
        <sz val="10"/>
        <color rgb="FF000000"/>
        <rFont val="Arial"/>
        <family val="2"/>
      </rPr>
      <t>-afvang en opslag (CCS) 4.000 uur bij biomassaverbranding en biogene procesemissies (combinatie met 4.000 uur CCU mogelijk)</t>
    </r>
  </si>
  <si>
    <r>
      <t>CO</t>
    </r>
    <r>
      <rPr>
        <b/>
        <vertAlign val="subscript"/>
        <sz val="10"/>
        <color rgb="FF000000"/>
        <rFont val="Arial"/>
        <family val="2"/>
      </rPr>
      <t>2</t>
    </r>
    <r>
      <rPr>
        <b/>
        <sz val="10"/>
        <color rgb="FF000000"/>
        <rFont val="Arial"/>
        <family val="2"/>
      </rPr>
      <t xml:space="preserve">-afvang en opslag (CCS) 8.000 uur bij biomassaverbranding en biogene procesemissies </t>
    </r>
  </si>
  <si>
    <r>
      <t>CO</t>
    </r>
    <r>
      <rPr>
        <b/>
        <vertAlign val="subscript"/>
        <sz val="10"/>
        <color rgb="FF000000"/>
        <rFont val="Arial"/>
        <family val="2"/>
      </rPr>
      <t>2</t>
    </r>
    <r>
      <rPr>
        <b/>
        <sz val="10"/>
        <color rgb="FF000000"/>
        <rFont val="Arial"/>
        <family val="2"/>
      </rPr>
      <t>-afvang en opslag (CCS) 4.000 uur bij afvalverbrandingsinstallaties (AVI's) (combinatie met 4.000 uur CCU mogelijk)</t>
    </r>
  </si>
  <si>
    <r>
      <t>CO</t>
    </r>
    <r>
      <rPr>
        <b/>
        <vertAlign val="subscript"/>
        <sz val="10"/>
        <color rgb="FF000000"/>
        <rFont val="Arial"/>
        <family val="2"/>
      </rPr>
      <t>2</t>
    </r>
    <r>
      <rPr>
        <b/>
        <sz val="10"/>
        <color rgb="FF000000"/>
        <rFont val="Arial"/>
        <family val="2"/>
      </rPr>
      <t>-afvang en opslag (CCS) 4.000 uur bij (industriële) ETS-installaties (combinatie met 4.000 uur CCU mogelijk)</t>
    </r>
  </si>
  <si>
    <r>
      <t>CO</t>
    </r>
    <r>
      <rPr>
        <b/>
        <vertAlign val="subscript"/>
        <sz val="10"/>
        <color rgb="FF000000"/>
        <rFont val="Arial"/>
        <family val="2"/>
      </rPr>
      <t>2</t>
    </r>
    <r>
      <rPr>
        <b/>
        <sz val="10"/>
        <color rgb="FF000000"/>
        <rFont val="Arial"/>
        <family val="2"/>
      </rPr>
      <t>-afvang en opslag (CCS) 4.000 uur bij (industriële) niet-ETS-installaties (combinatie met 4.000 uur CCU mogelijk)</t>
    </r>
  </si>
  <si>
    <r>
      <t>CO</t>
    </r>
    <r>
      <rPr>
        <b/>
        <vertAlign val="subscript"/>
        <sz val="10"/>
        <color rgb="FF000000"/>
        <rFont val="Arial"/>
        <family val="2"/>
      </rPr>
      <t>2</t>
    </r>
    <r>
      <rPr>
        <b/>
        <sz val="10"/>
        <color rgb="FF000000"/>
        <rFont val="Arial"/>
        <family val="2"/>
      </rPr>
      <t>-afvang en opslag (CCS) 8.000 uur bij (industriële) niet-ETS-installaties</t>
    </r>
  </si>
  <si>
    <r>
      <t>CO</t>
    </r>
    <r>
      <rPr>
        <b/>
        <vertAlign val="subscript"/>
        <sz val="10"/>
        <color theme="1"/>
        <rFont val="Arial"/>
        <family val="2"/>
      </rPr>
      <t>2</t>
    </r>
    <r>
      <rPr>
        <b/>
        <sz val="10"/>
        <color theme="1"/>
        <rFont val="Arial"/>
        <family val="2"/>
      </rPr>
      <t>-afvang en gebruik (CCU) 4.000 uur, gasvormig (transport)</t>
    </r>
  </si>
  <si>
    <t>CCU - Nieuwe post-combustion CO₂-afvang bij biomassaverbrandingsinstallatie ≤ 50 MWth, gasvormig</t>
  </si>
  <si>
    <r>
      <t>CO</t>
    </r>
    <r>
      <rPr>
        <b/>
        <vertAlign val="subscript"/>
        <sz val="10"/>
        <color theme="1"/>
        <rFont val="Arial"/>
        <family val="2"/>
      </rPr>
      <t>2</t>
    </r>
    <r>
      <rPr>
        <b/>
        <sz val="10"/>
        <color theme="1"/>
        <rFont val="Arial"/>
        <family val="2"/>
      </rPr>
      <t>-afvang en gebruik (CCU) 4.000 uur, vloeibaar (transport)</t>
    </r>
  </si>
  <si>
    <t>CCU - Nieuwe post-combustion CO₂-afvang bij biomassaverbrandingsinstallatie ≤ 50 MWth, vloeibaar, nieuwe vervloeiingsinstallatie</t>
  </si>
  <si>
    <r>
      <t>CO</t>
    </r>
    <r>
      <rPr>
        <b/>
        <vertAlign val="subscript"/>
        <sz val="10"/>
        <color theme="1"/>
        <rFont val="Arial"/>
        <family val="2"/>
      </rPr>
      <t>2</t>
    </r>
    <r>
      <rPr>
        <b/>
        <sz val="10"/>
        <color theme="1"/>
        <rFont val="Arial"/>
        <family val="2"/>
      </rPr>
      <t>-afvang en gebruik (CCU) 4.000 uur, direct aircapture</t>
    </r>
  </si>
  <si>
    <r>
      <t>CCS - Gedeeltelijke CO</t>
    </r>
    <r>
      <rPr>
        <vertAlign val="subscript"/>
        <sz val="10"/>
        <rFont val="Arial"/>
        <family val="2"/>
      </rPr>
      <t>2</t>
    </r>
    <r>
      <rPr>
        <sz val="10"/>
        <rFont val="Arial"/>
        <family val="2"/>
      </rPr>
      <t>-opslag bij bestaande biomassaverbrandingsinstallatie ≤ 100 MWe of uit omgevingslucht, gasvormig transport</t>
    </r>
  </si>
  <si>
    <r>
      <t>CCS - Gedeeltelijke CO</t>
    </r>
    <r>
      <rPr>
        <vertAlign val="subscript"/>
        <sz val="10"/>
        <rFont val="Arial"/>
        <family val="2"/>
      </rPr>
      <t>2</t>
    </r>
    <r>
      <rPr>
        <sz val="10"/>
        <rFont val="Arial"/>
        <family val="2"/>
      </rPr>
      <t>-opslag bij bestaande biomassaverbrandingsinstallatie ≤ 100 MWe of uit omgevingslucht, vloeibaar transport, nieuwe vervloeiingsinstallatie</t>
    </r>
  </si>
  <si>
    <r>
      <t>CCS - Gedeeltelijke CO</t>
    </r>
    <r>
      <rPr>
        <vertAlign val="subscript"/>
        <sz val="10"/>
        <rFont val="Arial"/>
        <family val="2"/>
      </rPr>
      <t>2</t>
    </r>
    <r>
      <rPr>
        <sz val="10"/>
        <rFont val="Arial"/>
        <family val="2"/>
      </rPr>
      <t>-opslag bij bestaande biomassaverbrandingsinstallatie ≤ 100 MWe of uit omgevingslucht, vloeibaar transport</t>
    </r>
  </si>
  <si>
    <r>
      <t>CCS - Gedeeltelijke CO</t>
    </r>
    <r>
      <rPr>
        <vertAlign val="subscript"/>
        <sz val="10"/>
        <rFont val="Arial"/>
        <family val="2"/>
      </rPr>
      <t>2</t>
    </r>
    <r>
      <rPr>
        <sz val="10"/>
        <rFont val="Arial"/>
        <family val="2"/>
      </rPr>
      <t>-opslag biogene procesemissies, gasvormig transport</t>
    </r>
  </si>
  <si>
    <r>
      <t>CCS - Gedeeltelijke CO</t>
    </r>
    <r>
      <rPr>
        <vertAlign val="subscript"/>
        <sz val="10"/>
        <rFont val="Arial"/>
        <family val="2"/>
      </rPr>
      <t>2</t>
    </r>
    <r>
      <rPr>
        <sz val="10"/>
        <rFont val="Arial"/>
        <family val="2"/>
      </rPr>
      <t>-opslag biogene procesemissies, vloeibaar transport, nieuwe vervloeiingsinstallatie</t>
    </r>
  </si>
  <si>
    <r>
      <t>CCS - Gedeeltelijke CO</t>
    </r>
    <r>
      <rPr>
        <vertAlign val="subscript"/>
        <sz val="10"/>
        <rFont val="Arial"/>
        <family val="2"/>
      </rPr>
      <t>2</t>
    </r>
    <r>
      <rPr>
        <sz val="10"/>
        <rFont val="Arial"/>
        <family val="2"/>
      </rPr>
      <t>-opslag biogene procesemissies, vloeibaar transport</t>
    </r>
  </si>
  <si>
    <r>
      <t>CCS - Nieuwe zuivering biogene CO</t>
    </r>
    <r>
      <rPr>
        <vertAlign val="subscript"/>
        <sz val="10"/>
        <rFont val="Arial"/>
        <family val="2"/>
      </rPr>
      <t>2</t>
    </r>
    <r>
      <rPr>
        <sz val="10"/>
        <rFont val="Arial"/>
        <family val="2"/>
      </rPr>
      <t>-emissie, bestaande installatie, gasvormig transport</t>
    </r>
  </si>
  <si>
    <r>
      <t>CCS - Nieuwe zuivering biogene CO</t>
    </r>
    <r>
      <rPr>
        <vertAlign val="subscript"/>
        <sz val="10"/>
        <rFont val="Arial"/>
        <family val="2"/>
      </rPr>
      <t>2</t>
    </r>
    <r>
      <rPr>
        <sz val="10"/>
        <rFont val="Arial"/>
        <family val="2"/>
      </rPr>
      <t>-emissie, bestaande installatie, vloeibaar transport, nieuwe vervloeiingsinstallatie</t>
    </r>
  </si>
  <si>
    <r>
      <t>CCS - Nieuwe zuivering biogene CO</t>
    </r>
    <r>
      <rPr>
        <vertAlign val="subscript"/>
        <sz val="10"/>
        <rFont val="Arial"/>
        <family val="2"/>
      </rPr>
      <t>2</t>
    </r>
    <r>
      <rPr>
        <sz val="10"/>
        <rFont val="Arial"/>
        <family val="2"/>
      </rPr>
      <t>-emissie, nieuwe installatie, gasvormig transport</t>
    </r>
  </si>
  <si>
    <r>
      <t>CCS - Nieuwe zuivering biogene CO</t>
    </r>
    <r>
      <rPr>
        <vertAlign val="subscript"/>
        <sz val="10"/>
        <rFont val="Arial"/>
        <family val="2"/>
      </rPr>
      <t>2</t>
    </r>
    <r>
      <rPr>
        <sz val="10"/>
        <rFont val="Arial"/>
        <family val="2"/>
      </rPr>
      <t>-emissie, nieuwe installatie, vloeibaar transport, nieuwe vervloeiingsinstallatie</t>
    </r>
  </si>
  <si>
    <r>
      <t>CCS - Gedeeltelijke CO</t>
    </r>
    <r>
      <rPr>
        <vertAlign val="subscript"/>
        <sz val="10"/>
        <rFont val="Arial"/>
        <family val="2"/>
      </rPr>
      <t>2</t>
    </r>
    <r>
      <rPr>
        <sz val="10"/>
        <rFont val="Arial"/>
        <family val="2"/>
      </rPr>
      <t>-opslag bij bestaande afvalverbrandingsinstallaties, gasvormig transport</t>
    </r>
  </si>
  <si>
    <r>
      <t>CCS - Gedeeltelijke CO</t>
    </r>
    <r>
      <rPr>
        <vertAlign val="subscript"/>
        <sz val="10"/>
        <rFont val="Arial"/>
        <family val="2"/>
      </rPr>
      <t>2</t>
    </r>
    <r>
      <rPr>
        <sz val="10"/>
        <rFont val="Arial"/>
        <family val="2"/>
      </rPr>
      <t>-opslag bij bestaande afvalverbrandingsinstallaties, vloeibaar transport, nieuwe vervloeiingsinstallatie</t>
    </r>
  </si>
  <si>
    <r>
      <t>CCS - Gedeeltelijke CO</t>
    </r>
    <r>
      <rPr>
        <vertAlign val="subscript"/>
        <sz val="10"/>
        <rFont val="Arial"/>
        <family val="2"/>
      </rPr>
      <t>2</t>
    </r>
    <r>
      <rPr>
        <sz val="10"/>
        <rFont val="Arial"/>
        <family val="2"/>
      </rPr>
      <t>-opslag bij bestaande afvalverbrandingsinstallaties, vloeibaar transport</t>
    </r>
  </si>
  <si>
    <r>
      <t>CCS - Nieuwe post-combustion CO</t>
    </r>
    <r>
      <rPr>
        <vertAlign val="subscript"/>
        <sz val="10"/>
        <rFont val="Arial"/>
        <family val="2"/>
      </rPr>
      <t>2</t>
    </r>
    <r>
      <rPr>
        <sz val="10"/>
        <rFont val="Arial"/>
        <family val="2"/>
      </rPr>
      <t>-afvang, bestaande afvalverbrandingsinstallatie, gasvormig transport</t>
    </r>
  </si>
  <si>
    <r>
      <t>CCS - Nieuwe post-combustion CO</t>
    </r>
    <r>
      <rPr>
        <vertAlign val="subscript"/>
        <sz val="10"/>
        <rFont val="Arial"/>
        <family val="2"/>
      </rPr>
      <t>2</t>
    </r>
    <r>
      <rPr>
        <sz val="10"/>
        <rFont val="Arial"/>
        <family val="2"/>
      </rPr>
      <t>-afvang, bestaande afvalverbrandingsinstallatie, vloeibaar transport, nieuwe vervloeiingsinstallatie</t>
    </r>
  </si>
  <si>
    <r>
      <t>CCS - Gedeeltelijke opslag van niet biogene CO</t>
    </r>
    <r>
      <rPr>
        <vertAlign val="subscript"/>
        <sz val="10"/>
        <rFont val="Arial"/>
        <family val="2"/>
      </rPr>
      <t>2</t>
    </r>
    <r>
      <rPr>
        <sz val="10"/>
        <rFont val="Arial"/>
        <family val="2"/>
      </rPr>
      <t>-procesemissie bij bestaande of nieuwe installaties, gasvormig transport</t>
    </r>
  </si>
  <si>
    <r>
      <t>CCS - Gedeeltelijke opslag van niet biogene CO</t>
    </r>
    <r>
      <rPr>
        <vertAlign val="subscript"/>
        <sz val="10"/>
        <rFont val="Arial"/>
        <family val="2"/>
      </rPr>
      <t>2</t>
    </r>
    <r>
      <rPr>
        <sz val="10"/>
        <rFont val="Arial"/>
        <family val="2"/>
      </rPr>
      <t>-procesemissie bij bestaande of nieuwe installaties, vloeibaar transport, nieuwe vervloeiingsinstallatie</t>
    </r>
  </si>
  <si>
    <r>
      <t>CCS - Gedeeltelijke opslag van niet biogene CO</t>
    </r>
    <r>
      <rPr>
        <vertAlign val="subscript"/>
        <sz val="10"/>
        <rFont val="Arial"/>
        <family val="2"/>
      </rPr>
      <t>2</t>
    </r>
    <r>
      <rPr>
        <sz val="10"/>
        <rFont val="Arial"/>
        <family val="2"/>
      </rPr>
      <t>-procesemissie bij bestaande of nieuwe installaties, vloeibaar transport</t>
    </r>
  </si>
  <si>
    <r>
      <t>CCS - Volledige CO</t>
    </r>
    <r>
      <rPr>
        <vertAlign val="subscript"/>
        <sz val="10"/>
        <rFont val="Arial"/>
        <family val="2"/>
      </rPr>
      <t>2</t>
    </r>
    <r>
      <rPr>
        <sz val="10"/>
        <rFont val="Arial"/>
        <family val="2"/>
      </rPr>
      <t>-opslag bij bestaande installaties, gasvormig transport</t>
    </r>
  </si>
  <si>
    <r>
      <t>CCS - Volledige CO</t>
    </r>
    <r>
      <rPr>
        <vertAlign val="subscript"/>
        <sz val="10"/>
        <rFont val="Arial"/>
        <family val="2"/>
      </rPr>
      <t>2</t>
    </r>
    <r>
      <rPr>
        <sz val="10"/>
        <rFont val="Arial"/>
        <family val="2"/>
      </rPr>
      <t>-opslag bij bestaande installaties, vloeibaar transport, nieuwe vervloeiingsinstallatie</t>
    </r>
  </si>
  <si>
    <r>
      <t>CCS - Nieuwe pre-combustion zuivering van niet biogene CO</t>
    </r>
    <r>
      <rPr>
        <vertAlign val="subscript"/>
        <sz val="10"/>
        <rFont val="Arial"/>
        <family val="2"/>
      </rPr>
      <t>2</t>
    </r>
    <r>
      <rPr>
        <sz val="10"/>
        <rFont val="Arial"/>
        <family val="2"/>
      </rPr>
      <t>-procesemissie, bestaande installatie, gasvormig transport</t>
    </r>
  </si>
  <si>
    <r>
      <t>CCS - Nieuwe pre-combustion zuivering van niet biogene CO</t>
    </r>
    <r>
      <rPr>
        <vertAlign val="subscript"/>
        <sz val="10"/>
        <rFont val="Arial"/>
        <family val="2"/>
      </rPr>
      <t>2</t>
    </r>
    <r>
      <rPr>
        <sz val="10"/>
        <rFont val="Arial"/>
        <family val="2"/>
      </rPr>
      <t>-procesemissie, bestaande installatie, vloeibaar transport, nieuwe vervloeiingsinstallatie</t>
    </r>
  </si>
  <si>
    <r>
      <t>CCS - Nieuwe pre-combustion CO</t>
    </r>
    <r>
      <rPr>
        <vertAlign val="subscript"/>
        <sz val="10"/>
        <rFont val="Arial"/>
        <family val="2"/>
      </rPr>
      <t>2</t>
    </r>
    <r>
      <rPr>
        <sz val="10"/>
        <rFont val="Arial"/>
        <family val="2"/>
      </rPr>
      <t>-zuivering, nieuwe installatie, gasvormig transport</t>
    </r>
  </si>
  <si>
    <r>
      <t>CCS - Nieuwe pre-combustion CO</t>
    </r>
    <r>
      <rPr>
        <vertAlign val="subscript"/>
        <sz val="10"/>
        <rFont val="Arial"/>
        <family val="2"/>
      </rPr>
      <t>2</t>
    </r>
    <r>
      <rPr>
        <sz val="10"/>
        <rFont val="Arial"/>
        <family val="2"/>
      </rPr>
      <t>-zuivering, nieuwe installatie, vloeibaar transport, nieuwe vervloeiingsinstallatie</t>
    </r>
  </si>
  <si>
    <r>
      <t>CCS - Nieuwe pre-combustion CO</t>
    </r>
    <r>
      <rPr>
        <vertAlign val="subscript"/>
        <sz val="10"/>
        <rFont val="Arial"/>
        <family val="2"/>
      </rPr>
      <t>2</t>
    </r>
    <r>
      <rPr>
        <sz val="10"/>
        <rFont val="Arial"/>
        <family val="2"/>
      </rPr>
      <t>-afvang bij waterstofproductie uit restgassen voor ondervuring, gasvormig transport</t>
    </r>
  </si>
  <si>
    <r>
      <t>CCS - Nieuwe pre-combustion CO</t>
    </r>
    <r>
      <rPr>
        <vertAlign val="subscript"/>
        <sz val="10"/>
        <rFont val="Arial"/>
        <family val="2"/>
      </rPr>
      <t>2</t>
    </r>
    <r>
      <rPr>
        <sz val="10"/>
        <rFont val="Arial"/>
        <family val="2"/>
      </rPr>
      <t>-afvang bij waterstofproductie uit restgassen voor ondervuring, vloeibaar transport, nieuwe vervloeiingsinstallatie</t>
    </r>
  </si>
  <si>
    <r>
      <t>CCS - Nieuwe post-combustion CO</t>
    </r>
    <r>
      <rPr>
        <vertAlign val="subscript"/>
        <sz val="10"/>
        <rFont val="Arial"/>
        <family val="2"/>
      </rPr>
      <t>2</t>
    </r>
    <r>
      <rPr>
        <sz val="10"/>
        <rFont val="Arial"/>
        <family val="2"/>
      </rPr>
      <t>-afvang, bestaande installatie, gasvormig transport</t>
    </r>
  </si>
  <si>
    <r>
      <t>CCS - Nieuwe post-combustion CO</t>
    </r>
    <r>
      <rPr>
        <vertAlign val="subscript"/>
        <sz val="10"/>
        <rFont val="Arial"/>
        <family val="2"/>
      </rPr>
      <t>2</t>
    </r>
    <r>
      <rPr>
        <sz val="10"/>
        <rFont val="Arial"/>
        <family val="2"/>
      </rPr>
      <t>-afvang, bestaande installatie, vloeibaar transport, nieuwe vervloeiingsinstallatie</t>
    </r>
  </si>
  <si>
    <r>
      <t>CCS - Nieuwe post-combustion CO</t>
    </r>
    <r>
      <rPr>
        <vertAlign val="subscript"/>
        <sz val="10"/>
        <rFont val="Arial"/>
        <family val="2"/>
      </rPr>
      <t>2</t>
    </r>
    <r>
      <rPr>
        <sz val="10"/>
        <rFont val="Arial"/>
        <family val="2"/>
      </rPr>
      <t>-afvang, nieuwe installatie, gasvormig transport</t>
    </r>
  </si>
  <si>
    <r>
      <t>CCS - Nieuwe post-combustion CO</t>
    </r>
    <r>
      <rPr>
        <vertAlign val="subscript"/>
        <sz val="10"/>
        <rFont val="Arial"/>
        <family val="2"/>
      </rPr>
      <t>2</t>
    </r>
    <r>
      <rPr>
        <sz val="10"/>
        <rFont val="Arial"/>
        <family val="2"/>
      </rPr>
      <t>-afvang, nieuwe installatie, vloeibaar transport, nieuwe vervloeiingsinstallatie</t>
    </r>
  </si>
  <si>
    <r>
      <t>CCS - Gedeeltelijke opslag niet biogene CO</t>
    </r>
    <r>
      <rPr>
        <vertAlign val="subscript"/>
        <sz val="10"/>
        <rFont val="Arial"/>
        <family val="2"/>
      </rPr>
      <t>2</t>
    </r>
    <r>
      <rPr>
        <sz val="10"/>
        <rFont val="Arial"/>
        <family val="2"/>
      </rPr>
      <t>-emissie bij bestaande of nieuwe installaties niet-ETS-bedrijf, gasvormig transport</t>
    </r>
  </si>
  <si>
    <r>
      <t>CCS - Gedeeltelijke opslag niet biogene CO</t>
    </r>
    <r>
      <rPr>
        <vertAlign val="subscript"/>
        <sz val="10"/>
        <rFont val="Arial"/>
        <family val="2"/>
      </rPr>
      <t>2</t>
    </r>
    <r>
      <rPr>
        <sz val="10"/>
        <rFont val="Arial"/>
        <family val="2"/>
      </rPr>
      <t>-emissie bij bestaande of nieuwe installaties niet-ETS-bedrijf, vloeibaar transport, nieuwe vervloeiingsinstallatie</t>
    </r>
  </si>
  <si>
    <r>
      <t>CCS - Gedeeltelijke opslag niet biogene CO</t>
    </r>
    <r>
      <rPr>
        <vertAlign val="subscript"/>
        <sz val="10"/>
        <rFont val="Arial"/>
        <family val="2"/>
      </rPr>
      <t>2</t>
    </r>
    <r>
      <rPr>
        <sz val="10"/>
        <rFont val="Arial"/>
        <family val="2"/>
      </rPr>
      <t>-emissie bij bestaande of nieuwe installaties niet-ETS-bedrijf, vloeibaar transport</t>
    </r>
  </si>
  <si>
    <r>
      <t>CCS - Volledige opslag niet biogene CO</t>
    </r>
    <r>
      <rPr>
        <vertAlign val="subscript"/>
        <sz val="10"/>
        <color rgb="FF000000"/>
        <rFont val="Arial"/>
        <family val="2"/>
      </rPr>
      <t>2</t>
    </r>
    <r>
      <rPr>
        <sz val="10"/>
        <color rgb="FF000000"/>
        <rFont val="Arial"/>
        <family val="2"/>
      </rPr>
      <t>-emissie bij bestaande installaties niet-ETS-bedrijf, gasvormig transport</t>
    </r>
  </si>
  <si>
    <r>
      <t>CCS - Volledige opslag niet biogene CO</t>
    </r>
    <r>
      <rPr>
        <vertAlign val="subscript"/>
        <sz val="10"/>
        <color rgb="FF000000"/>
        <rFont val="Arial"/>
        <family val="2"/>
      </rPr>
      <t>2</t>
    </r>
    <r>
      <rPr>
        <sz val="10"/>
        <color rgb="FF000000"/>
        <rFont val="Arial"/>
        <family val="2"/>
      </rPr>
      <t>-emissie bij bestaande installaties niet-ETS-bedrijf, vloeibaar transport, nieuwe vervloeiingsinstallatie</t>
    </r>
  </si>
  <si>
    <r>
      <t>CCS - Nieuwe pre-combustion zuivering niet biogene CO</t>
    </r>
    <r>
      <rPr>
        <vertAlign val="subscript"/>
        <sz val="10"/>
        <color rgb="FF000000"/>
        <rFont val="Arial"/>
        <family val="2"/>
      </rPr>
      <t>2</t>
    </r>
    <r>
      <rPr>
        <sz val="10"/>
        <color rgb="FF000000"/>
        <rFont val="Arial"/>
        <family val="2"/>
      </rPr>
      <t>-emissie, bestaande installatie niet-ETS-bedrijf, gasvormig transport</t>
    </r>
  </si>
  <si>
    <r>
      <t>CCS - Nieuwe pre-combustion zuivering niet biogene CO</t>
    </r>
    <r>
      <rPr>
        <vertAlign val="subscript"/>
        <sz val="10"/>
        <color rgb="FF000000"/>
        <rFont val="Arial"/>
        <family val="2"/>
      </rPr>
      <t>2</t>
    </r>
    <r>
      <rPr>
        <sz val="10"/>
        <color rgb="FF000000"/>
        <rFont val="Arial"/>
        <family val="2"/>
      </rPr>
      <t>-emissie, bestaande installatie niet-ETS-bedrijf, vloeibaar transport, nieuwe vervloeiingsinstallatie</t>
    </r>
  </si>
  <si>
    <r>
      <t>CCS - Nieuwe pre-combustion zuivering niet biogene CO</t>
    </r>
    <r>
      <rPr>
        <vertAlign val="subscript"/>
        <sz val="10"/>
        <color rgb="FF000000"/>
        <rFont val="Arial"/>
        <family val="2"/>
      </rPr>
      <t>2</t>
    </r>
    <r>
      <rPr>
        <sz val="10"/>
        <color rgb="FF000000"/>
        <rFont val="Arial"/>
        <family val="2"/>
      </rPr>
      <t>-emissie, nieuwe installatie niet-ETS-bedrijf, gasvormig transport</t>
    </r>
  </si>
  <si>
    <r>
      <t>CCS - Nieuwe pre-combustion zuivering niet biogene CO</t>
    </r>
    <r>
      <rPr>
        <vertAlign val="subscript"/>
        <sz val="10"/>
        <color rgb="FF000000"/>
        <rFont val="Arial"/>
        <family val="2"/>
      </rPr>
      <t>2</t>
    </r>
    <r>
      <rPr>
        <sz val="10"/>
        <color rgb="FF000000"/>
        <rFont val="Arial"/>
        <family val="2"/>
      </rPr>
      <t>-emissie, nieuwe installatie niet-ETS-bedrijf, vloeibaar transport, nieuwe vervloeiingsinstallatie</t>
    </r>
  </si>
  <si>
    <r>
      <t>CCS - Nieuwe pre-combustion CO</t>
    </r>
    <r>
      <rPr>
        <vertAlign val="subscript"/>
        <sz val="10"/>
        <color rgb="FF000000"/>
        <rFont val="Arial"/>
        <family val="2"/>
      </rPr>
      <t>2</t>
    </r>
    <r>
      <rPr>
        <sz val="10"/>
        <color rgb="FF000000"/>
        <rFont val="Arial"/>
        <family val="2"/>
      </rPr>
      <t>-afvang bij waterstofproductie uit restgassen voor ondervuring niet-ETS-bedrijf, gasvormig transport</t>
    </r>
  </si>
  <si>
    <r>
      <t>CCS - Nieuwe pre-combustion CO</t>
    </r>
    <r>
      <rPr>
        <vertAlign val="subscript"/>
        <sz val="10"/>
        <color rgb="FF000000"/>
        <rFont val="Arial"/>
        <family val="2"/>
      </rPr>
      <t>2</t>
    </r>
    <r>
      <rPr>
        <sz val="10"/>
        <color rgb="FF000000"/>
        <rFont val="Arial"/>
        <family val="2"/>
      </rPr>
      <t>-afvang bij waterstofproductie uit restgassen voor ondervuring niet-ETS-bedrijf, vloeibaar transport, nieuwe vervloeiingsinstallatie</t>
    </r>
  </si>
  <si>
    <r>
      <t>CCS - Nieuwe post-combustion CO</t>
    </r>
    <r>
      <rPr>
        <vertAlign val="subscript"/>
        <sz val="10"/>
        <rFont val="Arial"/>
        <family val="2"/>
      </rPr>
      <t>2</t>
    </r>
    <r>
      <rPr>
        <sz val="10"/>
        <rFont val="Arial"/>
        <family val="2"/>
      </rPr>
      <t>-afvang, bestaande installatie niet-ETS-bedrijf, gasvormig transport</t>
    </r>
  </si>
  <si>
    <r>
      <t>CCS - Nieuwe post-combustion CO</t>
    </r>
    <r>
      <rPr>
        <vertAlign val="subscript"/>
        <sz val="10"/>
        <rFont val="Arial"/>
        <family val="2"/>
      </rPr>
      <t>2</t>
    </r>
    <r>
      <rPr>
        <sz val="10"/>
        <rFont val="Arial"/>
        <family val="2"/>
      </rPr>
      <t>-afvang, bestaande installatie niet-ETS-bedrijf, vloeibaar transport, nieuwe vervloeiingsinstallatie</t>
    </r>
  </si>
  <si>
    <r>
      <t>CCS - Nieuwe post-combustion CO</t>
    </r>
    <r>
      <rPr>
        <vertAlign val="subscript"/>
        <sz val="10"/>
        <rFont val="Arial"/>
        <family val="2"/>
      </rPr>
      <t>2</t>
    </r>
    <r>
      <rPr>
        <sz val="10"/>
        <rFont val="Arial"/>
        <family val="2"/>
      </rPr>
      <t>-afvang, nieuwe installatie niet-ETS-bedrijf, gasvormig transport</t>
    </r>
  </si>
  <si>
    <r>
      <t>CCS - Nieuwe post-combustion CO</t>
    </r>
    <r>
      <rPr>
        <vertAlign val="subscript"/>
        <sz val="10"/>
        <rFont val="Arial"/>
        <family val="2"/>
      </rPr>
      <t>2</t>
    </r>
    <r>
      <rPr>
        <sz val="10"/>
        <rFont val="Arial"/>
        <family val="2"/>
      </rPr>
      <t>-afvang, nieuwe installatie niet-ETS-bedrijf, vloeibaar transport, nieuwe vervloeiingsinstallatie</t>
    </r>
  </si>
  <si>
    <r>
      <t>CCU - Nieuwe pre-combustion CO</t>
    </r>
    <r>
      <rPr>
        <vertAlign val="subscript"/>
        <sz val="10"/>
        <rFont val="Arial"/>
        <family val="2"/>
      </rPr>
      <t>2</t>
    </r>
    <r>
      <rPr>
        <sz val="10"/>
        <rFont val="Arial"/>
        <family val="2"/>
      </rPr>
      <t>-zuivering, bestaande installatie, gasvormig transport</t>
    </r>
  </si>
  <si>
    <r>
      <t>CCU - Nieuwe pre-combustion CO</t>
    </r>
    <r>
      <rPr>
        <vertAlign val="subscript"/>
        <sz val="10"/>
        <rFont val="Arial"/>
        <family val="2"/>
      </rPr>
      <t>2</t>
    </r>
    <r>
      <rPr>
        <sz val="10"/>
        <rFont val="Arial"/>
        <family val="2"/>
      </rPr>
      <t>-zuivering, bestaande installatie, gasvormig transport, nieuwe transportleiding</t>
    </r>
  </si>
  <si>
    <r>
      <t>CCU - Nieuwe pre-combustion CO</t>
    </r>
    <r>
      <rPr>
        <vertAlign val="subscript"/>
        <sz val="10"/>
        <rFont val="Arial"/>
        <family val="2"/>
      </rPr>
      <t>2</t>
    </r>
    <r>
      <rPr>
        <sz val="10"/>
        <rFont val="Arial"/>
        <family val="2"/>
      </rPr>
      <t>-zuivering, nieuwe installatie, gasvormig transport</t>
    </r>
  </si>
  <si>
    <r>
      <t>CCU - Nieuwe pre-combustion CO</t>
    </r>
    <r>
      <rPr>
        <vertAlign val="subscript"/>
        <sz val="10"/>
        <rFont val="Arial"/>
        <family val="2"/>
      </rPr>
      <t>2</t>
    </r>
    <r>
      <rPr>
        <sz val="10"/>
        <rFont val="Arial"/>
        <family val="2"/>
      </rPr>
      <t>-zuivering, nieuwe installatie, gasvormig transport, nieuwe transportleiding</t>
    </r>
  </si>
  <si>
    <r>
      <t>CCU - Nieuwe post-combustion CO</t>
    </r>
    <r>
      <rPr>
        <vertAlign val="subscript"/>
        <sz val="10"/>
        <rFont val="Arial"/>
        <family val="2"/>
      </rPr>
      <t>2</t>
    </r>
    <r>
      <rPr>
        <sz val="10"/>
        <rFont val="Arial"/>
        <family val="2"/>
      </rPr>
      <t>-afvang, bestaande installatie, gasvormig transport</t>
    </r>
  </si>
  <si>
    <r>
      <t>CCU - Nieuwe post-combustion CO</t>
    </r>
    <r>
      <rPr>
        <vertAlign val="subscript"/>
        <sz val="10"/>
        <rFont val="Arial"/>
        <family val="2"/>
      </rPr>
      <t>2</t>
    </r>
    <r>
      <rPr>
        <sz val="10"/>
        <rFont val="Arial"/>
        <family val="2"/>
      </rPr>
      <t>-afvang, bestaande installatie, gasvormig transport, nieuwe transportleiding</t>
    </r>
  </si>
  <si>
    <r>
      <t>CCU - Nieuwe post-combustion CO</t>
    </r>
    <r>
      <rPr>
        <vertAlign val="subscript"/>
        <sz val="10"/>
        <rFont val="Arial"/>
        <family val="2"/>
      </rPr>
      <t>2</t>
    </r>
    <r>
      <rPr>
        <sz val="10"/>
        <rFont val="Arial"/>
        <family val="2"/>
      </rPr>
      <t>-afvang, nieuwe installatie, gasvormig transport</t>
    </r>
  </si>
  <si>
    <r>
      <t>CCU - Nieuwe post-combustion CO</t>
    </r>
    <r>
      <rPr>
        <vertAlign val="subscript"/>
        <sz val="10"/>
        <rFont val="Arial"/>
        <family val="2"/>
      </rPr>
      <t>2</t>
    </r>
    <r>
      <rPr>
        <sz val="10"/>
        <rFont val="Arial"/>
        <family val="2"/>
      </rPr>
      <t>-afvang, nieuwe installatie, gasvormig transport, nieuwe transportleiding</t>
    </r>
  </si>
  <si>
    <r>
      <t>CCU - Nieuwe post-combustion CO</t>
    </r>
    <r>
      <rPr>
        <vertAlign val="subscript"/>
        <sz val="10"/>
        <rFont val="Arial"/>
        <family val="2"/>
      </rPr>
      <t>2</t>
    </r>
    <r>
      <rPr>
        <sz val="10"/>
        <rFont val="Arial"/>
        <family val="2"/>
      </rPr>
      <t>-afvang bij bestaande afvalverbrandingsinstallatie of bestaande biomassaverbrandingsinstallatie &gt; 50 MWth, gasvormig transport</t>
    </r>
  </si>
  <si>
    <r>
      <t>CCU - Nieuwe post-combustion CO</t>
    </r>
    <r>
      <rPr>
        <vertAlign val="subscript"/>
        <sz val="10"/>
        <rFont val="Arial"/>
        <family val="2"/>
      </rPr>
      <t>2</t>
    </r>
    <r>
      <rPr>
        <sz val="10"/>
        <rFont val="Arial"/>
        <family val="2"/>
      </rPr>
      <t>-afvang bij bestaande afvalverbrandingsinstallatie of bestaande biomassaverbrandingsinstallatie &gt; 50 MWth, gasvormig transport, nieuwe transportleiding</t>
    </r>
  </si>
  <si>
    <r>
      <t>CCU - Nieuwe pre-combustion CO</t>
    </r>
    <r>
      <rPr>
        <vertAlign val="subscript"/>
        <sz val="10"/>
        <rFont val="Arial"/>
        <family val="2"/>
      </rPr>
      <t>2</t>
    </r>
    <r>
      <rPr>
        <sz val="10"/>
        <rFont val="Arial"/>
        <family val="2"/>
      </rPr>
      <t>-zuivering, bestaande installatie, vloeibaar transport, nieuwe vervloeiingsinstallatie</t>
    </r>
  </si>
  <si>
    <r>
      <t>Extra CCU - Bestaande CO</t>
    </r>
    <r>
      <rPr>
        <vertAlign val="subscript"/>
        <sz val="10"/>
        <rFont val="Arial"/>
        <family val="2"/>
      </rPr>
      <t>2</t>
    </r>
    <r>
      <rPr>
        <sz val="10"/>
        <rFont val="Arial"/>
        <family val="2"/>
      </rPr>
      <t>-afvang, bestaande installatie, vloeibaar transport, nieuwe vervloeiingsinstallatie</t>
    </r>
  </si>
  <si>
    <r>
      <t>CCU - Nieuwe pre-combustion CO</t>
    </r>
    <r>
      <rPr>
        <vertAlign val="subscript"/>
        <sz val="10"/>
        <rFont val="Arial"/>
        <family val="2"/>
      </rPr>
      <t>2</t>
    </r>
    <r>
      <rPr>
        <sz val="10"/>
        <rFont val="Arial"/>
        <family val="2"/>
      </rPr>
      <t>-zuivering, nieuwe installatie, vloeibaar transport, nieuwe vervloeiingsinstallatie</t>
    </r>
  </si>
  <si>
    <r>
      <t>CCU - Nieuwe post-combustion CO</t>
    </r>
    <r>
      <rPr>
        <vertAlign val="subscript"/>
        <sz val="10"/>
        <rFont val="Arial"/>
        <family val="2"/>
      </rPr>
      <t>2</t>
    </r>
    <r>
      <rPr>
        <sz val="10"/>
        <rFont val="Arial"/>
        <family val="2"/>
      </rPr>
      <t>-afvang, bestaande installatie, vloeibaar transport, nieuwe vervloeiingsinstallatie</t>
    </r>
  </si>
  <si>
    <r>
      <t>CCU - Nieuwe post-combustion CO</t>
    </r>
    <r>
      <rPr>
        <vertAlign val="subscript"/>
        <sz val="10"/>
        <rFont val="Arial"/>
        <family val="2"/>
      </rPr>
      <t>2</t>
    </r>
    <r>
      <rPr>
        <sz val="10"/>
        <rFont val="Arial"/>
        <family val="2"/>
      </rPr>
      <t>-afvang, nieuwe installatie, vloeibaar transport, nieuwe vervloeiingsinstallatie</t>
    </r>
  </si>
  <si>
    <r>
      <t>CCU - Nieuwe post-combustion CO</t>
    </r>
    <r>
      <rPr>
        <vertAlign val="subscript"/>
        <sz val="10"/>
        <rFont val="Arial"/>
        <family val="2"/>
      </rPr>
      <t>2</t>
    </r>
    <r>
      <rPr>
        <sz val="10"/>
        <rFont val="Arial"/>
        <family val="2"/>
      </rPr>
      <t>-afvang bij bestaande afvalverbrandingsinstallatie of bestaande biomassaverbrandingsinstallatie &gt; 50 MWth, vloeibaar transport, nieuwe vervloeiingsinstallatie</t>
    </r>
  </si>
  <si>
    <r>
      <t>CCU - CO</t>
    </r>
    <r>
      <rPr>
        <vertAlign val="subscript"/>
        <sz val="10"/>
        <rFont val="Arial"/>
        <family val="2"/>
      </rPr>
      <t>2</t>
    </r>
    <r>
      <rPr>
        <sz val="10"/>
        <rFont val="Arial"/>
        <family val="2"/>
      </rPr>
      <t xml:space="preserve"> afvang uit omgevingslucht voor gebruik in tuinbouwkassen </t>
    </r>
  </si>
  <si>
    <r>
      <t>CO</t>
    </r>
    <r>
      <rPr>
        <vertAlign val="subscript"/>
        <sz val="10"/>
        <color rgb="FF000000"/>
        <rFont val="Arial"/>
        <family val="2"/>
      </rPr>
      <t>2</t>
    </r>
    <r>
      <rPr>
        <sz val="10"/>
        <color rgb="FF000000"/>
        <rFont val="Arial"/>
        <family val="2"/>
      </rPr>
      <t>-afvang en opslag (CCS) 4.000 uur bij biomassaverbranding en biogene procesemissies (combinatie met 4.000 uur CCU mogelijk)</t>
    </r>
  </si>
  <si>
    <r>
      <t>CO</t>
    </r>
    <r>
      <rPr>
        <vertAlign val="subscript"/>
        <sz val="10"/>
        <color rgb="FF000000"/>
        <rFont val="Arial"/>
        <family val="2"/>
      </rPr>
      <t>2</t>
    </r>
    <r>
      <rPr>
        <sz val="10"/>
        <color rgb="FF000000"/>
        <rFont val="Arial"/>
        <family val="2"/>
      </rPr>
      <t>-afvang en opslag (CCS) 4.000 uur bij afvalverbrandingsinstallaties (AVI's) (combinatie met 4.000 uur CCU mogelijk)</t>
    </r>
  </si>
  <si>
    <r>
      <t>CO</t>
    </r>
    <r>
      <rPr>
        <vertAlign val="subscript"/>
        <sz val="10"/>
        <color rgb="FF000000"/>
        <rFont val="Arial"/>
        <family val="2"/>
      </rPr>
      <t>2</t>
    </r>
    <r>
      <rPr>
        <sz val="10"/>
        <color rgb="FF000000"/>
        <rFont val="Arial"/>
        <family val="2"/>
      </rPr>
      <t>-afvang en opslag (CCS) 4.000 uur bij (industriële) ETS-installaties (combinatie met 4.000 uur CCU mogelijk)</t>
    </r>
  </si>
  <si>
    <r>
      <t>CO</t>
    </r>
    <r>
      <rPr>
        <vertAlign val="subscript"/>
        <sz val="10"/>
        <color rgb="FF000000"/>
        <rFont val="Arial"/>
        <family val="2"/>
      </rPr>
      <t>2</t>
    </r>
    <r>
      <rPr>
        <sz val="10"/>
        <color rgb="FF000000"/>
        <rFont val="Arial"/>
        <family val="2"/>
      </rPr>
      <t>-afvang en opslag (CCS) 4.000 uur bij (industriële) niet-ETS-installaties (combinatie met 4.000 uur CCU mogelijk)</t>
    </r>
  </si>
  <si>
    <r>
      <t>CO</t>
    </r>
    <r>
      <rPr>
        <vertAlign val="subscript"/>
        <sz val="10"/>
        <color rgb="FF000000"/>
        <rFont val="Arial"/>
        <family val="2"/>
      </rPr>
      <t>2</t>
    </r>
    <r>
      <rPr>
        <sz val="10"/>
        <color rgb="FF000000"/>
        <rFont val="Arial"/>
        <family val="2"/>
      </rPr>
      <t>-afvang en opslag (CCS) 8.000 uur bij (industriële) niet-ETS-installaties</t>
    </r>
  </si>
  <si>
    <r>
      <t>CO</t>
    </r>
    <r>
      <rPr>
        <vertAlign val="subscript"/>
        <sz val="10"/>
        <color theme="1"/>
        <rFont val="Arial"/>
        <family val="2"/>
      </rPr>
      <t>2</t>
    </r>
    <r>
      <rPr>
        <sz val="10"/>
        <color theme="1"/>
        <rFont val="Arial"/>
        <family val="2"/>
      </rPr>
      <t>-afvang en gebruik (CCU) 4.000 uur, gasvormig (transport)</t>
    </r>
  </si>
  <si>
    <r>
      <t>CO</t>
    </r>
    <r>
      <rPr>
        <vertAlign val="subscript"/>
        <sz val="10"/>
        <color theme="1"/>
        <rFont val="Arial"/>
        <family val="2"/>
      </rPr>
      <t>2</t>
    </r>
    <r>
      <rPr>
        <sz val="10"/>
        <color theme="1"/>
        <rFont val="Arial"/>
        <family val="2"/>
      </rPr>
      <t>-afvang en gebruik (CCU) 4.000 uur, vloeibaar (transport)</t>
    </r>
  </si>
  <si>
    <r>
      <t>CO</t>
    </r>
    <r>
      <rPr>
        <vertAlign val="subscript"/>
        <sz val="10"/>
        <color theme="1"/>
        <rFont val="Arial"/>
        <family val="2"/>
      </rPr>
      <t>2</t>
    </r>
    <r>
      <rPr>
        <sz val="10"/>
        <color theme="1"/>
        <rFont val="Arial"/>
        <family val="2"/>
      </rPr>
      <t>-afvang en gebruik (CCU) 4.000 uur, direct aircapture</t>
    </r>
  </si>
  <si>
    <t>Gekozen categorie productie-installatie</t>
  </si>
  <si>
    <r>
      <t>CO</t>
    </r>
    <r>
      <rPr>
        <sz val="10"/>
        <rFont val="Calibri"/>
        <family val="2"/>
      </rPr>
      <t>₂</t>
    </r>
    <r>
      <rPr>
        <sz val="10"/>
        <rFont val="Arial"/>
        <family val="2"/>
      </rPr>
      <t>-gebruik</t>
    </r>
  </si>
  <si>
    <t>CO2 afvang en gebruik (CCU)</t>
  </si>
  <si>
    <t>Productie afvang en gebruik CO₂ (ton/jaar)</t>
  </si>
  <si>
    <t>Basisprijs Zon-PV niet-netlevering (vervallen!)</t>
  </si>
  <si>
    <t>Correctiebedrag generiek (alleen netlevering bij zon-PV en wind) incl. waarde GVO voor zon-PV, Wind, hernieuwbaar gas en waarde HBE voor transportbrandstoffen</t>
  </si>
  <si>
    <t xml:space="preserve">Voor deze categorie geldt een minimale COP-eis voor de warmtepomp en dat de warmte uitsluitend wordt geleverd aan gebouwde omgeving! </t>
  </si>
  <si>
    <t>Berekeningswijzen productprijzen</t>
  </si>
  <si>
    <t>1.3</t>
  </si>
  <si>
    <t>Elektriciteit (negatieve uren niet meegenomen)</t>
  </si>
  <si>
    <t>EPEX2</t>
  </si>
  <si>
    <t>4.3</t>
  </si>
  <si>
    <t>EPEX2 x PIF_WOL</t>
  </si>
  <si>
    <t>6.3</t>
  </si>
  <si>
    <t>EPEX2 x PIF_PV</t>
  </si>
  <si>
    <t>7.3</t>
  </si>
  <si>
    <t>EPEX2 x PIF_PV + EB3_e + ODE3_e + transport</t>
  </si>
  <si>
    <t>8.3</t>
  </si>
  <si>
    <t>EPEX2 x PIF_PV + EB3_e + ODE3_e</t>
  </si>
  <si>
    <t>18.1</t>
  </si>
  <si>
    <t>Warmte, groot, 5 jaar</t>
  </si>
  <si>
    <t>90% x LT_5jaar_g[LHV]</t>
  </si>
  <si>
    <t>90% x 2/3 x LT_5jaar_g[LHV]</t>
  </si>
  <si>
    <t>23.3.062</t>
  </si>
  <si>
    <t>WKK, klein (vanaf 2023)</t>
  </si>
  <si>
    <t xml:space="preserve">(EPEX2 + WK x (TTF[LHV] + EB1 + ODE1) / 90%) / (1 + WK-factor) </t>
  </si>
  <si>
    <t>23.3.076</t>
  </si>
  <si>
    <t>24.3.062</t>
  </si>
  <si>
    <t>WKK, middelklein (2016-2023)</t>
  </si>
  <si>
    <t xml:space="preserve">(EPEX2 + WK x (TTF[LHV] + EB2 + ODE2) / 90%) / (1 + WK-factor) </t>
  </si>
  <si>
    <t>25.3.029</t>
  </si>
  <si>
    <t>WKK, middelgroot (vanaf 2023)</t>
  </si>
  <si>
    <t xml:space="preserve">(EPEX2 + WK x (TTF[LHV] + EB3 + ODE3) / 90%) / (1 + WK-factor) </t>
  </si>
  <si>
    <t>25.3.062</t>
  </si>
  <si>
    <t>25.3.064</t>
  </si>
  <si>
    <t>25.3.113</t>
  </si>
  <si>
    <t>TTF[LHV] / ketel_co2 x 1000 - 2/3 x 1000 x EPEX1/wkk_co2</t>
  </si>
  <si>
    <t>TTF[LHV] / ketel_co2 x 1000 - 2/3 x 1000 x EPEX1/wkk_co2 + co2_transp_kost</t>
  </si>
  <si>
    <t>TTF[LHV] / ketel_co2 x 1000 - 90% x 1000 x EPEX1/wkk_co2 + co2_vermeden_opex_wkk_ketel</t>
  </si>
  <si>
    <t>Berekeningswijzen overige correcties: GvO</t>
  </si>
  <si>
    <t>Berekeningswijzen overige correcties: HBE</t>
  </si>
  <si>
    <t>Berekeningswijzen overige correcties: ETS</t>
  </si>
  <si>
    <t>t CO2</t>
  </si>
  <si>
    <t>2.000</t>
  </si>
  <si>
    <t>kWhth</t>
  </si>
  <si>
    <t>2.029</t>
  </si>
  <si>
    <t>Warmte 100% ETS-correctie voor warmtelevering met WKK</t>
  </si>
  <si>
    <t>(ETS_max_warmte * WK-factor)/(1+WK-factor)</t>
  </si>
  <si>
    <t>(LT_ETS_max_warmte * WK-factor)/(1+WK-factor)</t>
  </si>
  <si>
    <t>2.062</t>
  </si>
  <si>
    <t>2.064</t>
  </si>
  <si>
    <t>2.076</t>
  </si>
  <si>
    <t>2.113</t>
  </si>
  <si>
    <t>kWhe,input</t>
  </si>
  <si>
    <t>6.275</t>
  </si>
  <si>
    <t>6.350</t>
  </si>
  <si>
    <t>7.300</t>
  </si>
  <si>
    <t>7.350</t>
  </si>
  <si>
    <t>7.500</t>
  </si>
  <si>
    <t>7.1400</t>
  </si>
  <si>
    <t>9.230</t>
  </si>
  <si>
    <t>9.250</t>
  </si>
  <si>
    <t>9.290</t>
  </si>
  <si>
    <t>9.300</t>
  </si>
  <si>
    <t>9.310</t>
  </si>
  <si>
    <t>9.320</t>
  </si>
  <si>
    <t>9.330</t>
  </si>
  <si>
    <t>9.360</t>
  </si>
  <si>
    <t>9.400</t>
  </si>
  <si>
    <t>kWhHHV H2</t>
  </si>
  <si>
    <t>LT_ETS_max_waterstof</t>
  </si>
  <si>
    <t>12</t>
  </si>
  <si>
    <t>Waterstof uit afval</t>
  </si>
  <si>
    <t>ETS_max_waterstof * (1 - AVI_CO2)</t>
  </si>
  <si>
    <t>LT_ETS_max_waterstof * (1 - AVI_CO2)</t>
  </si>
  <si>
    <t>13</t>
  </si>
  <si>
    <t>ETS-correctie CCS AVI</t>
  </si>
  <si>
    <t>EUA * AVI_CO2</t>
  </si>
  <si>
    <t>LT_CO2 * %_niet_biogeen_CO2</t>
  </si>
  <si>
    <t>Berekeningswijze1</t>
  </si>
  <si>
    <t>EPEX1</t>
  </si>
  <si>
    <t>Elektriciteitsprijs (inclusief negatieve uren)</t>
  </si>
  <si>
    <t>Gemiddelde EPEX (day-ahead) periode 1-9-2023 t/m 31-8-2024 incl negatieve uren</t>
  </si>
  <si>
    <t>Elektriciteitsprijs (negatieve uren niet meegenomen)</t>
  </si>
  <si>
    <t>€/kWhHHV</t>
  </si>
  <si>
    <t>€/kWhLHV</t>
  </si>
  <si>
    <t>LT_5jaar_g[HHV]</t>
  </si>
  <si>
    <t>Vijfjaars gasprijs in bovenwaarde</t>
  </si>
  <si>
    <t>LT_5jaar_g[LHV]</t>
  </si>
  <si>
    <t>Vijfjaars gasprijs in onderwaarde</t>
  </si>
  <si>
    <t>€/tCO2</t>
  </si>
  <si>
    <t>Kale pompprijs benzine</t>
  </si>
  <si>
    <t>Kale pompprijs dieselprijs</t>
  </si>
  <si>
    <t>CO2 vermeden door tuinder per gasinput</t>
  </si>
  <si>
    <t>kg CO2/kWhLHV</t>
  </si>
  <si>
    <t>Emissiefactor van gas aardgas (RVO) en gemiddelde reductiecoëfficiënt van 0,93.5</t>
  </si>
  <si>
    <t>CO2 vermeden door tuinder per elektriciteitsoutput</t>
  </si>
  <si>
    <t>kg CO2/kWhe</t>
  </si>
  <si>
    <t>Emissiefactor van gas aardgas (RVO) en gemiddelde reductiecoëfficiënt van 0,93.6</t>
  </si>
  <si>
    <t>€/kWhe</t>
  </si>
  <si>
    <t>HBE7</t>
  </si>
  <si>
    <t>kg CO2/GJLHV</t>
  </si>
  <si>
    <t xml:space="preserve">Nederlandse lijst van energiedragers en standaard CO2 emissiefactoren, RVO (2024) </t>
  </si>
  <si>
    <t>Op basis van  KWIN (2017), met verhouding 90% WKK en 10% ketel8</t>
  </si>
  <si>
    <t>Op basis van  KWIN (2017), met verhouding 90% WKK en 10% ketel9</t>
  </si>
  <si>
    <t>Voorlopige waarde van de maximale kosten voor ETS10</t>
  </si>
  <si>
    <t>€/kWhth</t>
  </si>
  <si>
    <t>kWhLHV gas/kWhe,input</t>
  </si>
  <si>
    <t>SMR heeft een emissiefactor van 9 kg CO2 /r kg H2 (0,229 kg CO2 / kWhHHV H2)</t>
  </si>
  <si>
    <t>kg CO2/kWhHHV H2</t>
  </si>
  <si>
    <r>
      <t>(LT_g[HHV] / (1,02)</t>
    </r>
    <r>
      <rPr>
        <vertAlign val="superscript"/>
        <sz val="10"/>
        <rFont val="Arial"/>
        <family val="2"/>
      </rPr>
      <t xml:space="preserve">7 </t>
    </r>
    <r>
      <rPr>
        <sz val="10"/>
        <rFont val="Arial"/>
        <family val="2"/>
      </rPr>
      <t>+ GVO_hg</t>
    </r>
  </si>
  <si>
    <t>23.2.076</t>
  </si>
  <si>
    <r>
      <t>(LT_e / (1,02)</t>
    </r>
    <r>
      <rPr>
        <vertAlign val="superscript"/>
        <sz val="10"/>
        <rFont val="Arial"/>
        <family val="2"/>
      </rPr>
      <t>7</t>
    </r>
    <r>
      <rPr>
        <sz val="10"/>
        <rFont val="Arial"/>
        <family val="2"/>
      </rPr>
      <t xml:space="preserve"> + WK x (LT_g[LHV] / (1,02)</t>
    </r>
    <r>
      <rPr>
        <vertAlign val="superscript"/>
        <sz val="10"/>
        <rFont val="Arial"/>
        <family val="2"/>
      </rPr>
      <t xml:space="preserve">7 </t>
    </r>
    <r>
      <rPr>
        <sz val="10"/>
        <rFont val="Arial"/>
        <family val="2"/>
      </rPr>
      <t xml:space="preserve">+ EB1) / 90%) / (1 + WK-factor 0,76) </t>
    </r>
  </si>
  <si>
    <r>
      <t>(LT_e / (1,02)</t>
    </r>
    <r>
      <rPr>
        <vertAlign val="superscript"/>
        <sz val="10"/>
        <rFont val="Arial"/>
        <family val="2"/>
      </rPr>
      <t>7</t>
    </r>
    <r>
      <rPr>
        <sz val="10"/>
        <rFont val="Arial"/>
        <family val="2"/>
      </rPr>
      <t xml:space="preserve"> + WK x (LT_g[LHV] / (1,02)</t>
    </r>
    <r>
      <rPr>
        <vertAlign val="superscript"/>
        <sz val="10"/>
        <rFont val="Arial"/>
        <family val="2"/>
      </rPr>
      <t xml:space="preserve">7 </t>
    </r>
    <r>
      <rPr>
        <sz val="10"/>
        <rFont val="Arial"/>
        <family val="2"/>
      </rPr>
      <t xml:space="preserve">+ EB2) / 90%) / (1 + WK-factor 0,62) </t>
    </r>
  </si>
  <si>
    <r>
      <t>(LT_e / (1,02)</t>
    </r>
    <r>
      <rPr>
        <vertAlign val="superscript"/>
        <sz val="10"/>
        <rFont val="Arial"/>
        <family val="2"/>
      </rPr>
      <t>7</t>
    </r>
    <r>
      <rPr>
        <sz val="10"/>
        <rFont val="Arial"/>
        <family val="2"/>
      </rPr>
      <t xml:space="preserve"> + WK x (LT_g[LHV] / (1,02)</t>
    </r>
    <r>
      <rPr>
        <vertAlign val="superscript"/>
        <sz val="10"/>
        <rFont val="Arial"/>
        <family val="2"/>
      </rPr>
      <t>7</t>
    </r>
    <r>
      <rPr>
        <sz val="10"/>
        <rFont val="Arial"/>
        <family val="2"/>
      </rPr>
      <t xml:space="preserve"> + EB3) / 90%) / (1 + WK-factor 0,66) </t>
    </r>
  </si>
  <si>
    <r>
      <t>(LTe x LT_PF_WOL / (1,02)</t>
    </r>
    <r>
      <rPr>
        <vertAlign val="superscript"/>
        <sz val="10"/>
        <rFont val="Arial"/>
        <family val="2"/>
      </rPr>
      <t>7</t>
    </r>
    <r>
      <rPr>
        <sz val="10"/>
        <rFont val="Arial"/>
        <family val="2"/>
      </rPr>
      <t>) + GVO_e</t>
    </r>
  </si>
  <si>
    <r>
      <t>((LT_e x LT_PF_PV) / (1,02)</t>
    </r>
    <r>
      <rPr>
        <vertAlign val="superscript"/>
        <sz val="10"/>
        <rFont val="Arial"/>
        <family val="2"/>
      </rPr>
      <t>7</t>
    </r>
    <r>
      <rPr>
        <sz val="10"/>
        <rFont val="Arial"/>
        <family val="2"/>
      </rPr>
      <t>) + GVO_e</t>
    </r>
  </si>
  <si>
    <t xml:space="preserve">Dit model is bedoeld ter onderbouwing van de financiële en economische haalbaarheid voor SDE++ projecten. U voegt de haalbaarheidsstudie toe bij de aanvraag. </t>
  </si>
  <si>
    <t>Tekst energieopbrengstberekening zon-PV-installatie op oost-westgevels</t>
  </si>
  <si>
    <t>Tekst energieopbrengstberekening zon-PV-installatie vertikaal op land</t>
  </si>
  <si>
    <t xml:space="preserve">U vraagt subsidie aan voor een natuurinclusief grondgebonden vertikaal zon-PV-installatie zonder zonvolgsysteem. U hoeft geen energie-opbrengstberekening toe te voegen. Bij een grondgebonden zon-PV-installatie zonder zonvolgsysteem wordt de energieopbrengst (kWh/jaar) berekend door het piekvermogen van de installatie (in kWp) te vermenigvuldigen met 825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t>
  </si>
  <si>
    <t>Tekst energieopbrengstberekening drijvende zon-PV categorie met zonvolgsysteem</t>
  </si>
  <si>
    <t xml:space="preserve">U vraagt subsidie aan in een categorie drijvende zon-PV met een zonvolgend systeem. Ter onderbouwing van de jaarlijks te verwachten netto elektriciteitsproductie moet u een zonne-energie-opbrengstberekening meesturen. Aan dit onderzoek worden nadere eisen gesteld. Meer informatie vindt u in de 'Handleiding haalbaarheidstudie SDE++'. Daarnaast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t>
  </si>
  <si>
    <t>Zon-PV op oost-westgevels</t>
  </si>
  <si>
    <t>Zon-PV drijvend met zonvolgsysteem</t>
  </si>
  <si>
    <t>Zon-PV natuurinclusief regulier op land</t>
  </si>
  <si>
    <t>Zon-PV natuurinclusief vertikaal op land</t>
  </si>
  <si>
    <t>Zon-PV drijvend</t>
  </si>
  <si>
    <t xml:space="preserve">Als u subsidie aanvraagt in de categorie waterstof uit elektrolyse met directe lijn met een wind- of zonnepark, moet u ter onderbouwing een beschrijving van uw productie-installatie voor waterstof en een beschrijving van het wind-of zonnepark waaraan de waterstofproductie-installatie is gekoppeld meesturen. Daarnaast moet u een onderbouwing geven van de jaarlijkse hoeveelheid waterstofproductie. 
</t>
  </si>
  <si>
    <t>U onderbouwt de aangevraagde energieproductie uit de verbeterde slibgisting bij RWZI's. Bij de aanvraag maakt u aannemelijk dat de bestaande biogasproductie per ton slib met minimaal 25% kan worden verhoogd ten opzichte van voor de verbetering. De verbetering betreft 25% ten opzichte van de gemiddelde productie van het jaar voorafgaande aan de aanvraag, of, wanneer de producent minder dan een jaar produceert, ten opzichte van de totale gemiddelde productie tot het moment van de aanvraag. U geeft in een projectbeschrijving aan wat er verandert ten opzichte van de bestaande situatie en voegt hierbij een massa-energiebalans en een processchema toe van de bestaande en de nieuwe situatie. De installatiedelen die verantwoordelijk zijn voor de meerproductie van biogas moeten nieuw zijn. Geef in uw projectbeschrijving aan welke dit zijn.</t>
  </si>
  <si>
    <t>Als u subsidie aanvraagt in de categorie waterkracht moet u ter onderbouwing van de jaarlijks te verwachten energieproductie een waterenergie-opbrengstberekening meesturen.</t>
  </si>
  <si>
    <t xml:space="preserve">U vraagt aan voor de categorie elektroboiler met thermische opslag met een vermogen van minimaal 2 MWth voor gebruik op locatie voor een industriële toepassing, niet zijnde tuinbouw, waarbij sprake is van de uitgestelde levering van warmte door de toepassing van thermische opslag. 
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of in een stoomsysteem.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Het nominaal elektrisch vermogen van de productie-installatie bedraagt minstens anderhalf keer het nominaal thermisch vermogen van de productie-installatie, waarbij de opslagcapaciteit ten minste 4 MWh per MW thermisch vermogen van de productie-installatie moet bedragen. Het nominaal thermisch vermogen van de productie-installatie bedraagt ten hoogste 50 MWth. </t>
  </si>
  <si>
    <t>Als u warmte gaat leveren aan derden, dient u een onderbouwing te geven van de warmteafzet. Een intentieverklaring of contract voor de warmteafname is een verplicht onderdeel bij uw subsidieaanvraag.</t>
  </si>
  <si>
    <r>
      <t>CO</t>
    </r>
    <r>
      <rPr>
        <b/>
        <vertAlign val="subscript"/>
        <sz val="10"/>
        <color rgb="FF000000"/>
        <rFont val="Arial"/>
        <family val="2"/>
      </rPr>
      <t>2</t>
    </r>
    <r>
      <rPr>
        <b/>
        <sz val="10"/>
        <color rgb="FF000000"/>
        <rFont val="Arial"/>
        <family val="2"/>
      </rPr>
      <t>-afvang en opslag (CCS) 8.000 uur bij afvalverbrandingsinstallaties (AVI's)</t>
    </r>
  </si>
  <si>
    <r>
      <t>CO</t>
    </r>
    <r>
      <rPr>
        <b/>
        <vertAlign val="subscript"/>
        <sz val="10"/>
        <color rgb="FF000000"/>
        <rFont val="Arial"/>
        <family val="2"/>
      </rPr>
      <t>2</t>
    </r>
    <r>
      <rPr>
        <b/>
        <sz val="10"/>
        <color rgb="FF000000"/>
        <rFont val="Arial"/>
        <family val="2"/>
      </rPr>
      <t>-afvang en opslag (CCS) 8.000 uur bij (industriële) ETS-installaties</t>
    </r>
  </si>
  <si>
    <r>
      <t>CO</t>
    </r>
    <r>
      <rPr>
        <vertAlign val="subscript"/>
        <sz val="10"/>
        <color rgb="FF000000"/>
        <rFont val="Arial"/>
        <family val="2"/>
      </rPr>
      <t>2</t>
    </r>
    <r>
      <rPr>
        <sz val="10"/>
        <color rgb="FF000000"/>
        <rFont val="Arial"/>
        <family val="2"/>
      </rPr>
      <t>-afvang en opslag (CCS) 8.000 uur bij afvalverbrandingsinstallaties (AVI's)</t>
    </r>
  </si>
  <si>
    <r>
      <t>CO</t>
    </r>
    <r>
      <rPr>
        <vertAlign val="subscript"/>
        <sz val="10"/>
        <color rgb="FF000000"/>
        <rFont val="Arial"/>
        <family val="2"/>
      </rPr>
      <t>2</t>
    </r>
    <r>
      <rPr>
        <sz val="10"/>
        <color rgb="FF000000"/>
        <rFont val="Arial"/>
        <family val="2"/>
      </rPr>
      <t>-afvang en opslag (CCS) 8.000 uur bij (industriële) ETS-installaties</t>
    </r>
  </si>
  <si>
    <t>Geothermie diep</t>
  </si>
  <si>
    <r>
      <t>CO</t>
    </r>
    <r>
      <rPr>
        <vertAlign val="subscript"/>
        <sz val="10"/>
        <color rgb="FF000000"/>
        <rFont val="Arial"/>
        <family val="2"/>
      </rPr>
      <t>2</t>
    </r>
    <r>
      <rPr>
        <sz val="10"/>
        <color rgb="FF000000"/>
        <rFont val="Arial"/>
        <family val="2"/>
      </rPr>
      <t>-afvang en opslag (CCS) 8.000 uur bij biomassaverbranding en biogene procesemissies</t>
    </r>
  </si>
  <si>
    <t>Elektroboiler voortzetting</t>
  </si>
  <si>
    <t>Tekst elektroboiler voortzetting</t>
  </si>
  <si>
    <t>Tekst waterstof vergassing uit afval</t>
  </si>
  <si>
    <t xml:space="preserve">Om voor deze categorie te mogen indienen moet de producent die met een productie-installatie waterstof produceert uit afvalstoffen houder zijn van een vergunning voor het exploiteren van een afvalverwerkingsinstallatie, waarin, ingevolge die vergunning, uitsluitend afvalstoffen of voorbewerkte afvalstoffen mogen worden ingezet die op basis van de minimumstandaarden in het afvalbeheerplan, bedoeld in artikel 10.3 van de Wet milieubeheer, mogen worden verbrand of mogen worden gestort of die zijn geproduceerd uit dergelijke afvalstoffen. U wordt gevraagd een processchema mee te sturen met een massa-energiebalans voor de productie van waterstof door middel van vergassing van afval. </t>
  </si>
  <si>
    <t>Waterstofproductie</t>
  </si>
  <si>
    <t>Voeg een energieopbrengstberekening en een berekening van de jaargemiddelde COP van de warmtepomp toe</t>
  </si>
  <si>
    <t>Voeg een geologisch onderzoek, een energieopbrengstberekening en een berekening van de jaargemiddelde COP van de warmtepomp toe</t>
  </si>
  <si>
    <t>Voeg een energieopbrengstberekening, een berekening van de jaargemiddelde COP van de warmtepomp en een plattegrond van het beoogde leidingtracé toe</t>
  </si>
  <si>
    <t>Tekst Zon-PVT systeem, verwarming gebouwen in gebouwde omgeving</t>
  </si>
  <si>
    <t>Tekst Zon-PVT systeem, stadsverwarming</t>
  </si>
  <si>
    <t>Zon-PVT systeem met warmtepomp, stadsverwarming</t>
  </si>
  <si>
    <t xml:space="preserve">Correctiebedrag ETS 2025, bij CCS-ETS herleid LT-prijs ETS </t>
  </si>
  <si>
    <t>Toelichting (formule) productprijs, bij CCS ETS-prijs</t>
  </si>
  <si>
    <t xml:space="preserve">Als de productie-installatie deel uitmaakt van een ETS-1 installatie wordt de SDE++-subsidie ook gecorrigeerd voor voordelen die voortvloeien uit het ETS-1 systeem. Op het tabblad Exploitatieberekening zijn de verwachte ETS-1 voordelen en ETS-1 correcties voor de betreffende categorie vooringevuld. </t>
  </si>
  <si>
    <t>Indexatie correctie ETS-1 prijs (%)</t>
  </si>
  <si>
    <t xml:space="preserve">U onderbouwt de aangevraagde energieproductie uit het zon-PVT met warmtepompsysteem: 
- Dit doet u onder andere door het opstellen van een massa-energiebalans over het jaar: Deze bevat temperaturen en debieten. Dit kunt u doen door bijvoorbeeld de specificatie-sheets van de installatie mee te sturen. Daarnaast stuurt u een processchema van de gehele productie-installatie mee, met daarin aangegeven het zonthermische systeem, de eventuele seizoensopslag voor warmte, de warmtepomp en temperaturen en debieten.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Verder onderbouwt u dat de oppervlakte aan fotovoltaïsch-thermische panelen minimaal 1,2 m² per kWth aan vermogen van de warmtepomp bedraagt en voegt u een gedetailleerde tekening op schaal toe waarop de zonnepanelen nauwkeurig op de beoogde locatie zijn ingetekend. Zijn of komen er op de beoogde locatie meer installaties, dan geeft u dit duidelijk aan. Uit de intekening moet ook de oriëntatie van de installatie blijken. 
- Tenslotte voegt u, in geval de installatie op een gebouw wordt geplaatst, een "Draagkracht dakconstructieberekening" bij de haalbaarheidsstudie.
</t>
  </si>
  <si>
    <t xml:space="preserve">U onderbouwt de aangevraagde energieproductie uit het zon-PVT met warmtepompsysteem: 
- Dit doet u onder andere door het opstellen van een massa-energiebalans over het jaar: Deze bevat temperaturen en debieten. Dit kunt u doen door bijvoorbeeld de specificatie-sheets van de installatie mee te sturen. Daarnaast stuurt u een processchema van de gehele productie-installatie mee, met daarin aangegeven het zonthermische systeem, de eventuele seizoensopslag voor warmte, de warmtepomp en temperaturen en debieten.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Verder onderbouwt u dat de oppervlakte aan fotovoltaïsch-thermische panelen minimaal 3,0 m² per kWth aan vermogen van de warmtepomp bedraagt en voegt u een gedetailleerde tekening op schaal toe waarop de zonnepanelen nauwkeurig op de beoogde locatie zijn ingetekend. Zijn of komen er op de beoogde locatie meer installaties, dan geeft u dit duidelijk aan. Uit de intekening moet ook de oriëntatie van de installatie blijken. 
- Tenslotte voegt u, in geval de installatie op een gebouw wordt geplaatst, een "Draagkracht dakconstructieberekening" bij de haalbaarheidsstudie.
</t>
  </si>
  <si>
    <t xml:space="preserve">U onderbouwt de aangevraagde energieproductie uit de lucht-water warmtepomp. Dit doet u onder andere door het opstellen van een energiebalans over het jaar. Deze bevat temperaturen en debieten. Dit kunt u doen door bijvoorbeeld de specificatie-sheets van de installatie mee te sturen. Daarnaast stuurt u een processchema van de gehele productie-installatie mee, met daarin aangegeven de lucht-water warmtepomp.  
Aan de lucht-water warmtepomp worden temperatuur- en rendementseisen gesteld:
- De leveringstemperatuur van de warmtepomp bedraagt tenminste 40 ⁰C in het stookseizoen bij -10⁰ C buitentemperatuur of lager. Bij hogere buitentemperaturen mag de warmtepomp ook op een lagere aanvoertemperatuur leveren.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De geproduceerde warmte mag enkel worden gebruikt voor de verwarming van bestaande gebouwen en tuinbouwkassen. </t>
  </si>
  <si>
    <t xml:space="preserve">U onderbouwt de aangevraagde energieproductie uit warmteontrekking aan drinkwater, afvalwater, zeewater of oppervlaktewater:
- Dit doet u onder andere door het opstellen van een massa-energiebalans. Deze bevat temperaturen en debieten. Dit kunt u doen door bijvoorbeeld de specificatie-sheets van de installatie mee te sturen. Bij complexere installaties stuurt u een processchema van de installatie mee.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Tevens toont u aan dat er sprake is van een nieuw warmteoverdrachtsstation. </t>
  </si>
  <si>
    <t xml:space="preserve">U onderbouwt de aangevraagde energieproductie uit warmteontrekking aan drinkwater, afvalwater, zeewater of oppervlaktewater:
- Dit doet u onder andere door het opstellen van een massa-energiebalans. Deze bevat temperaturen en debieten. Dit kunt u doen door bijvoorbeeld de specificatie-sheets van de installatie mee te sturen. Bij complexere installaties stuurt u een processchema van de installatie mee.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t>
  </si>
  <si>
    <t xml:space="preserve">U onderbouwt de hoeveelheid warmte die het elektrisch aangedreven gesloten warmtepompsysteem op jaarbasis gaat leveren:
- U voegt een processchema toe met debieten en temperaturen waaruit blijkt uit welke warmtebron of warmtestroom de warmtepomp de warmte onttrekt, welke warmstroom door de warmtepomp wordt opgewaardeerd en voor welk proces deze warmte benut wordt. 
- Ook geeft u een berekening van de jaargemiddelde COP-waarde van de warmtepomp voor de gebruiksomstandigheden binnen het productieproces waarbij de warmtepomp wordt toegepast, met onderbouwing van de gemiddelde brontemperatuur, gemiddelde bronretour en de gemiddelde aanvoer en retourtemperatuur van het warmtenet/afnemer bij gebruikersomstandigheden. Deze jaargemiddelde COP-waarde van de warmtepomp dient ten minste 2,3 te bedragen. 
- Tenslotte geldt dat de productie-installatie warmte produceert die op dezelfde locatie wordt gebruikt voor een industriële toepassing, niet zijnde tuinbouw, en dat er geen koude wordt geleverd. </t>
  </si>
  <si>
    <t xml:space="preserve">U onderbouwt de hoeveelheid warmte die het elektrisch aangedreven open warmtepompsysteem (damprecompressie) op jaarbasis gaat leveren:
- U geeft daarbij aan voor welk industrieel proces het open warmtepompsysteem wordt toegepast en voegt een processchema toe met temperaturen en debieten. 
- Ook geeft u een berekening van de jaargemiddelde COP-waarde van de warmtepomp voor de gebruiksomstandigheden binnen het productieproces waarbij de warmtepomp wordt toegepast, met onderbouwing van de gemiddelde brontemperatuur, gemiddelde bronretour en de gemiddelde aanvoer en retourtemperatuur van het warmtenet/afnemer bij gebruikersomstandigheden. Deze jaargemiddelde COP-waarde van de warmtepomp dient ten minste 2,3 te bedragen. 
- Tenslotte geldt dat de productie-installatie warmte produceert die op dezelfde locatie wordt gebruikt voor een industriële toepassing, niet zijnde tuinbouw, en dat er geen koude wordt geleverd. </t>
  </si>
  <si>
    <t xml:space="preserve">U vraagt aan in de categorie procesgeïntegreerde warmtepomp waarbij warmte wordt hergebruikt in een op het moment van de aanvraag bestaand verdampingsproces door middel van een of meerdere elektrisch aangedreven warmtepompen met een totaal thermisch vermogen van minimaal 500 kWth waarbij de hoeveelheid bespaarde ingaande warmte per hoeveelheid extra opgenomen elektriciteit bij vollast bedrijf bedraagt ten minste 2,5 bedraagt, bepaald op een fictieve gesloten omhulling waarbinnen zich de warmtepomp of warmtepompen en de tot de productie-installatie behorende procesaanpassingen bevinden. De hoeveelheid subsidiabele warmte is voor deze categorie vastgesteld op een factor 3 keer de hoeveelheid extra opgenomen elektriciteit van de warmtepomp. Het bestaande verdampingsproces wordt ten minste aangepast door: 
a) over te stappen van een bedrijfsvoering waarbij de reactor telkens een bepaalde hoeveelheid product verwerkt, waarbij de reactor helemaal geleegd moet worden alvorens te worden gevuld, naar een bedrijfsvoering waarbij voortdurend product wordt toegevoegd en verwijderd, waarbij het verdampingsproces behoudens uitval of pauzes in stationaire toestand plaatsvindt; of 
b) het plaatsen van een nieuw verdampingsvat of een nieuwe verdampingsreactor om de warmtepomp te kunnen integreren; of 
c) het installeren van een nieuwe verdampingskap of een nieuwe warmtewisselaar ten behoeve van het terugwinnen van latente warmte uit de verdampingsinstallatie. 
U onderbouwt welke van de hierboven genoemde procesaanpassingen u gaat doen. Daarnaast onderbouwt u de hoeveelheid warmte die het elektrisch aangedreven procesgeintegreerde warmtepompsysteem op jaarbasis gaat leveren:
- U geeft daarbij aan voor welk industrieel proces het warmtepompsysteem wordt toegepast en voegt een processchema toe met temperaturen en debieten. Ook geeft u een berekening van de uitgespaarde hoeveelheid warmte en het extra opgenomen elektrische energie van het warmtepompsysteem. 
- U toont aan dat het geïntegreerde warmtepompsysteem kan voldoen aan de COP-eis van 2,5 (COP = reductie warmtevraag gedeeld door de extra opgenomen elektrische energie) binnen het bestaande verdampingsproces waarbij de warmtepomp wordt toegepast. 
- Tenslotte geldt dat de productie-installatie warmte produceert die op dezelfde locatie wordt gebruikt voor een industriële toepassing, niet zijnde tuinbouw, en dat er geen koude wordt geleverd. </t>
  </si>
  <si>
    <t>U onderbouwt de hoeveelheid restwarmte die op jaarbasis wordt uitgekoppeld:
- U geeft daarbij aan uit welk productieproces de restwarmte afkomstig is, wat het temperatuurniveau is en wat er in de bestaande situatie met de restwarmte werd gedaan. Daarnaast geeft u aan wat het vermogen is van de restwarmtestroom en voor welke nuttige aanwending en op welk temperatuurniveau de restwarmte die opgewaardeerd wordt met een warmtepomp in de nieuwe situatie krijgt. 
- Ook voegt u een plattegrond toe van het beoogde leidingtracé met warmtepomp van uitkoppeling tot aan de afnemer van de restwarmte. 
- Ten slotte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t>
  </si>
  <si>
    <t>Voeg een energieopbrengstberekening en een berekening van de COP bij gemiddelde gebruiksomstandigheden van de warmtepomp toe</t>
  </si>
  <si>
    <t>Als u subsidie aanvraagt in de categorie geothermie moet u ter onderbouwing van de energieopbrengst een geologisch onderzoek overleggen: 
- Aan dit geologisch onderzoek worden nadere eisen gesteld: Het geologisch rapport dient te voldoen aan de eisen van het ‘Model Geologisch Onderzoek SDE+’, het ‘Model Geologisch Onderzoek van de Subsidieregeling Energie en Innovatie Risico’s dekken voor aardwarmte (SEI)’, of het ‘Model Geologisch Onderzoek van de Regeling nationale EZ-subsidies Risico’s dekken voor Aardwarmte (RNES)’. 
- Daarnaast stuurt u een processchema van de gehele productie-installatie mee, met daarin aangegeven de geothermische bron, de warmtepomp en temperaturen en debieten.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Tenslotte geldt dat het warmtevermogen van de warmtepomp tenminste 20% bedraagt van het warmtevermogen van de geothermische bron.</t>
  </si>
  <si>
    <r>
      <t>U onderbouwt de aangevraagde energieproductie uit de lucht-water warmtepomp. Dit doet u onder andere door het opstellen van een energiebalans over het jaar. Deze bevat temperaturen en debieten. Dit kunt u doen door bijvoorbeeld de specificatie-sheets van de installatie mee te sturen. Daarnaast stuurt u een processchema van de gehele productie-installatie mee, met daarin aangegeven de lucht-water warmtepomp.  
Aan de lucht-water warmtepomp worden temperatuur- en rendementseisen gesteld:
- De leveringstemperatuur van de warmtepomp bedraagt tenminste 70 ⁰C in het stookseizoen bij -10</t>
    </r>
    <r>
      <rPr>
        <sz val="10"/>
        <rFont val="Calibri"/>
        <family val="2"/>
      </rPr>
      <t>⁰</t>
    </r>
    <r>
      <rPr>
        <sz val="10"/>
        <rFont val="Arial"/>
        <family val="2"/>
      </rPr>
      <t xml:space="preserve"> C buitentemperatuur of lager. Bij hogere buitentemperaturen mag de warmtepomp ook op een lagere aanvoertemperatuur leveren.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De geproduceerde warmte mag enkel worden gebruikt voor de verwarming van bestaande gebouwen in de gebouwde omgeving. </t>
    </r>
  </si>
  <si>
    <t xml:space="preserve">Indien u aanvraagt in de categorie elektroboiler voortzetting, moet u aantonen dat de exploitatiekosten van de productie-installatie ertoe leiden dat die voortzetting onrendabel is. Indien u reeds eerder een SDE++ subsidieverlening hebt ontvangen dan dient u een verzoek tot intrekking in te dienen voor deze subsidieverlening.
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in het stookseizoen of in een stoomsysteem (met gebruikerszijde wordt de eerste gebruiker van de warmte bedoeld).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t>
  </si>
  <si>
    <t xml:space="preserve">Aanvullende onderbouwing eigen vermogen </t>
  </si>
  <si>
    <t>Geen vreemd vermogen of leningduur opgegeven</t>
  </si>
  <si>
    <r>
      <t>U onderbouwt de aangevraagde hoeveelheid CO₂ die u gaat afvangen en opslaan. Dit kunt u doen door bijvoorbeeld de specificatie-sheets van de CO₂ -afvanginstallatie en een beschrijving van het proces waarbij de CO₂ vrijkomt en afgevangen wordt toe te voegen. Daarbij geeft u tevens aan of uw project een bestaande of nieuwe afvanginstallatie betreft bij een bestaand of nieuw proces. Daarnaast vermeldt u of er gebruik wordt gemaakt van een nieuwe compressor of vervloeiingsinstallatie. 
Verder voegt u de capaciteitsverklaring(en) van de transport-en opslagpartijen toe waarmee u aantoont dat de afgevangen hoeveelheid CO</t>
    </r>
    <r>
      <rPr>
        <sz val="10"/>
        <rFont val="Calibri"/>
        <family val="2"/>
      </rPr>
      <t>₂</t>
    </r>
    <r>
      <rPr>
        <sz val="10"/>
        <rFont val="Arial"/>
        <family val="2"/>
      </rPr>
      <t xml:space="preserve"> kan worden getransporteerd en opgeslagen, hiervoor is een model beschikbaar op de website van Rijksdienst voor Ondernemend Nederland. Ten slotte voegt u rapport(en) toe over de infrastructuur voor transport en de opslag die zijn opgesteld door de transport-en opslagpartijen, die voldoen aan het model 'Vereiste informatie transport- en opslagverklaring’, gepubliceerd op de website van de Rijksdienst voor Ondernemend Nederland. Alleen ETS-bedrijven  kunnen in de SDE++ gebruik maken van de optie om CO2 in het buitenland op te laten slaan. </t>
    </r>
  </si>
  <si>
    <t xml:space="preserve">U vraagt subsidie aan voor een gebouwgebonden zon-PV-installatie. U hoeft geen energie-opbrengstberekening toe te voegen. Bij een gebouwgebonden zon-PV-installatie wordt de energieopbrengst (kWh/jaar) berekend door het piekvermogen van de installatie (in kWp) te vermenigvuldigen met 840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Ten slotte bent u verplicht om het ‘Verklaring van een constructeur’ bij uw aanvraag te voegen (het model vindt u op de website van RVO). Hierin moet een constructeur een verklaring geven over de belastbaarheid van het dak of de gevel volgens het Besluit bouwwerken leefomgeving. Het onderzoek laat u uitvoeren en ondertekenen door een constructeur.  Reden voor het invoeren van deze eis is dat de realisatie van gebouw gebonden projecten achterblijft op de verwachting. Eén van de meest aangegeven redenen hiervoor is dat na het ontvangen van een beschikking het dak alsnog niet geschikt blijkt en de kosten om het dak geschikt te maken te hoog zijn. </t>
  </si>
  <si>
    <t xml:space="preserve">U hoeft geen energie-opbrengstberekening toe te voegen. Bij een gebouwgebonden zon-PV-installatie wordt de energieopbrengst (kWh/jaar) berekend door het piekvermogen van de installatie (in kWp) te vermenigvuldigen met 840 vollasturen/jaar. 
Omdat u subsidie aanvraagt voor een categorie gebouwgebonden zon-PV-installatie waarbij het dak van een bestaand gebouw constructief moet worden aangepast of een draagconstructie moet worden toegepast die het dak ontlast en waarbij deze constructieve dakaanpassing of draagconstructie noodzakelijk is voor de realisatie van de productie-installatie, danwel bij het gebruik van het dak van een bestaand gebouw gebruik zal worden gemaakt van een productie-installatie met een maximaal gewicht van 10 kilogram per vierkante meter met zonnepanelen bedekt dakoppervlak wordt u  gevraagd toe te lichten welke aanpassing u gaat doen aan het dak om de plaatsing van de zon-PV-installatie mogelijk te maken tegen welke kosten. Of als u lichtgewicht zonnepanelen gaat plaatsen een onderbouwing van de kosten van de lichtgewichtpanelen. Het is belangrijk dat u aannemelijk maakt dat ook bij deze extra investeringskosten het project economisch haalbaar is. 
Daarbij bent u verplicht een 'Verklaring van een constructeur' bij uw aanvraag te voegen (het model vindt u op de website van RVO). In de verklaring vult de constructeur in wat er aan de constructie moet worden aangepast om deze geschikt te maken. 
Ten slotte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t>
  </si>
  <si>
    <t xml:space="preserve">U vraagt subsidie aan voor een zon-PV-installatie op oost-westgevels. U hoeft geen energie-opbrengstberekening toe te voegen. Bij zon-PV-installatie op oost-westgevels wordt de energieopbrengst (kWh/jaar) berekend door het piekvermogen van de installatie (in kWp) te vermenigvuldigen met 600 vollasturen/jaar. 
Wel wordt u gevraagd om een gedetailleerde tekening op schaal waarop de aangevraagde zon-PV-installatie nauwkeurig op de beoogde locatie is ingetekend, toe te voegen. Op deze tekening moet tevens de oriëntatie Oost – West van de zonnepanelen zijn aangegeven met de eventuele afwijking in aantal graden op het Oosten of het Westen. De afwijking van de zonnepaneeloriëntatie op het Oosten of het Westen mag niet meer dan 30 graden bedragen. Zijn of komen er op de beoogde locatie meer installaties, dan geeft u dit duidelijk aan. Uit de intekening moet naast het beschikbare geveloppervlak ook de oriëntatie van de installatie blijken. Alleen elektriciteit opgewekt door zonnepanelen met een oriëntatie op het oosten of het westen met een afwijking van ten hoogste dertig graden op die oriëntatie komt in aanmerking voor subsidie.
Ten slotte bent u verplicht om de ‘Verklaring van een constructeur’ bij uw aanvraag te voegen (het model vindt u op de website van RVO). Hierin moet een constructeur een verklaring geven over de belastbaarheid van de gevel volgens het Besluit bouwwerken leefomgeving. Het onderzoek laat u uitvoeren en ondertekenen door een constructeur. </t>
  </si>
  <si>
    <t xml:space="preserve">Voeg een gedetailleerde tekening op schaal waarop de aangevraagde Zon-PV-installatie nauwkeurig is ingetekend en een ‘Verklaring van een constructeur’ toe. </t>
  </si>
  <si>
    <t>Voeg een gedetailleerde tekening op schaal toe waarop de aangevraagde Zonthermie-installatie nauwkeurig is ingetekend en daarnaast, indien de installatie op een dak wordt geplaatst, een ‘Verklaring van een constructeur’.</t>
  </si>
  <si>
    <t>Voeg een energieopbrengstberekening, een berekening van de jaargemiddelde COP van de warmtepomp en 
een gedetailleerde tekening op schaal toe waarop de aangevraagde Zon-PVT-installatie nauwkeurig is ingetekend en daarnaast, indien de installatie op een dak wordt geplaatst, een ‘Verklaring van een constructeur’.</t>
  </si>
  <si>
    <t>Versie september 2025</t>
  </si>
  <si>
    <r>
      <t>CCS - Nieuwe post-combustion CO</t>
    </r>
    <r>
      <rPr>
        <vertAlign val="subscript"/>
        <sz val="10"/>
        <rFont val="Arial"/>
        <family val="2"/>
      </rPr>
      <t>2</t>
    </r>
    <r>
      <rPr>
        <sz val="10"/>
        <rFont val="Arial"/>
        <family val="2"/>
      </rPr>
      <t>-afvang, bestaande biomassaverbrandingsinstallatie ≤ 100 MWe, gasvormig transport</t>
    </r>
  </si>
  <si>
    <r>
      <t>CCS - Nieuwe post-combustion CO</t>
    </r>
    <r>
      <rPr>
        <vertAlign val="subscript"/>
        <sz val="10"/>
        <rFont val="Arial"/>
        <family val="2"/>
      </rPr>
      <t>2</t>
    </r>
    <r>
      <rPr>
        <sz val="10"/>
        <rFont val="Arial"/>
        <family val="2"/>
      </rPr>
      <t>-afvang, bestaande biomassaverbrandingsinstallatie ≤ 100 MWe, vloeibaar transport, nieuwe vervloeiingsinstallatie</t>
    </r>
  </si>
  <si>
    <t>Gemiddelde reële prijzen gas 2025-2039 (KEV2024)</t>
  </si>
  <si>
    <t>Ongewogen gemiddelde reële prijzen elektriciteit basislast periode 2025-2039 (KEV2024)</t>
  </si>
  <si>
    <t>Gemiddelde 2025-2039 (KEV2024)</t>
  </si>
  <si>
    <t>Gemiddelde reële EUA-prijs 2025-2039 (KEV2024)</t>
  </si>
  <si>
    <t>Gemiddelde EPEX (day-ahead) periode 1-9-2023 t/m 31-8-2024 excl negatieve uren</t>
  </si>
  <si>
    <t>Gemiddelde 1-1-2023 t/m 31-12-2023</t>
  </si>
  <si>
    <t>Gemiddelde TTF (Cal2025) periode 1-9-2023 t/m 31-8-2024</t>
  </si>
  <si>
    <t>Gemiddelde EUA-prijs 1-9-2023 t/m 31-8-2024</t>
  </si>
  <si>
    <t>Gemiddelde van gepubliceerde tarieven netbeheerders 2024</t>
  </si>
  <si>
    <t>Tarief 2024</t>
  </si>
  <si>
    <t>Gemiddelde 1-9-2023 t/m 31-8-2024 (CBS)</t>
  </si>
  <si>
    <t>Marktinformatie 2023</t>
  </si>
  <si>
    <t>Gemiddelde midprijzen HBE 25 A, periode 1-9-2023 t/m 31-8-2024 (Olyx)</t>
  </si>
  <si>
    <t>Langetermijnprijs SDE++ 2025 (t.b.v. rangschikking)</t>
  </si>
  <si>
    <t>Basis- of bodemprijs SDE++ 2025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</si>
</sst>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0.000"/>
    <numFmt numFmtId="167" formatCode="0.0000"/>
    <numFmt numFmtId="168" formatCode="0.0%"/>
    <numFmt numFmtId="169" formatCode="_-* #,##0_-;_-* #,##0\-;_-* &quot;-&quot;??_-;_-@_-"/>
    <numFmt numFmtId="170" formatCode="#,##0.0000"/>
    <numFmt numFmtId="171" formatCode="0.00000"/>
  </numFmts>
  <fonts count="67" x14ac:knownFonts="1">
    <font>
      <sz val="11"/>
      <color theme="1"/>
      <name val="Calibri"/>
      <family val="2"/>
      <scheme val="minor"/>
    </font>
    <font>
      <sz val="11"/>
      <color theme="1"/>
      <name val="Calibri"/>
      <family val="2"/>
      <scheme val="minor"/>
    </font>
    <font>
      <u/>
      <sz val="11"/>
      <color theme="10"/>
      <name val="Calibri"/>
      <family val="2"/>
      <scheme val="minor"/>
    </font>
    <font>
      <b/>
      <sz val="28"/>
      <name val="Arial"/>
      <family val="2"/>
    </font>
    <font>
      <b/>
      <sz val="14"/>
      <name val="Arial"/>
      <family val="2"/>
    </font>
    <font>
      <sz val="10"/>
      <name val="Arial"/>
      <family val="2"/>
    </font>
    <font>
      <sz val="10"/>
      <name val="Calibri"/>
      <family val="2"/>
    </font>
    <font>
      <b/>
      <sz val="12"/>
      <color rgb="FFFF0000"/>
      <name val="Arial"/>
      <family val="2"/>
    </font>
    <font>
      <b/>
      <sz val="10"/>
      <name val="Arial"/>
      <family val="2"/>
    </font>
    <font>
      <u/>
      <sz val="10"/>
      <name val="Arial"/>
      <family val="2"/>
    </font>
    <font>
      <b/>
      <i/>
      <sz val="10"/>
      <name val="Arial"/>
      <family val="2"/>
    </font>
    <font>
      <b/>
      <sz val="10"/>
      <color rgb="FFFF0000"/>
      <name val="Arial"/>
      <family val="2"/>
    </font>
    <font>
      <b/>
      <sz val="36"/>
      <name val="Arial"/>
      <family val="2"/>
    </font>
    <font>
      <b/>
      <sz val="16"/>
      <name val="Arial"/>
      <family val="2"/>
    </font>
    <font>
      <sz val="12"/>
      <color theme="1"/>
      <name val="Arial"/>
      <family val="2"/>
    </font>
    <font>
      <sz val="10"/>
      <color rgb="FFFF0000"/>
      <name val="Arial"/>
      <family val="2"/>
    </font>
    <font>
      <b/>
      <sz val="11"/>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9"/>
      <name val="Arial"/>
      <family val="2"/>
    </font>
    <font>
      <b/>
      <sz val="9"/>
      <name val="Arial"/>
      <family val="2"/>
    </font>
    <font>
      <b/>
      <sz val="12"/>
      <name val="Arial"/>
      <family val="2"/>
    </font>
    <font>
      <sz val="11"/>
      <name val="Arial"/>
      <family val="2"/>
    </font>
    <font>
      <b/>
      <sz val="20"/>
      <color rgb="FFFF0000"/>
      <name val="Arial"/>
      <family val="2"/>
    </font>
    <font>
      <b/>
      <sz val="14"/>
      <color rgb="FFFF0000"/>
      <name val="Calibri"/>
      <family val="2"/>
    </font>
    <font>
      <b/>
      <u/>
      <sz val="10"/>
      <name val="Arial"/>
      <family val="2"/>
    </font>
    <font>
      <b/>
      <sz val="12"/>
      <color rgb="FFFFC000"/>
      <name val="Arial"/>
      <family val="2"/>
    </font>
    <font>
      <sz val="12"/>
      <color rgb="FFFFC000"/>
      <name val="Arial"/>
      <family val="2"/>
    </font>
    <font>
      <sz val="12"/>
      <name val="Arial"/>
      <family val="2"/>
    </font>
    <font>
      <b/>
      <sz val="10"/>
      <name val="Calibri"/>
      <family val="2"/>
    </font>
    <font>
      <sz val="10"/>
      <color theme="1"/>
      <name val="Arial"/>
      <family val="2"/>
    </font>
    <font>
      <sz val="10"/>
      <color indexed="8"/>
      <name val="Arial"/>
      <family val="2"/>
    </font>
    <font>
      <b/>
      <sz val="10"/>
      <color rgb="FFB7DEE8"/>
      <name val="Arial"/>
      <family val="2"/>
    </font>
    <font>
      <b/>
      <sz val="14"/>
      <color rgb="FFFF0000"/>
      <name val="Arial"/>
      <family val="2"/>
    </font>
    <font>
      <vertAlign val="subscript"/>
      <sz val="9"/>
      <color indexed="81"/>
      <name val="Tahoma"/>
      <family val="2"/>
    </font>
    <font>
      <b/>
      <sz val="26"/>
      <name val="Arial"/>
      <family val="2"/>
    </font>
    <font>
      <i/>
      <sz val="11"/>
      <name val="Arial"/>
      <family val="2"/>
    </font>
    <font>
      <sz val="10"/>
      <color theme="1"/>
      <name val="Calibri"/>
      <family val="2"/>
      <scheme val="minor"/>
    </font>
    <font>
      <sz val="11"/>
      <name val="Calibri"/>
      <family val="2"/>
      <scheme val="minor"/>
    </font>
    <font>
      <b/>
      <sz val="14"/>
      <color theme="1"/>
      <name val="Calibri"/>
      <family val="2"/>
      <scheme val="minor"/>
    </font>
    <font>
      <sz val="10"/>
      <name val="Calibri"/>
      <family val="2"/>
      <scheme val="minor"/>
    </font>
    <font>
      <vertAlign val="superscript"/>
      <sz val="10"/>
      <name val="Arial"/>
      <family val="2"/>
    </font>
    <font>
      <sz val="8"/>
      <name val="Calibri"/>
      <family val="2"/>
      <scheme val="minor"/>
    </font>
    <font>
      <vertAlign val="superscript"/>
      <sz val="10"/>
      <name val="Calibri"/>
      <family val="2"/>
      <scheme val="minor"/>
    </font>
    <font>
      <b/>
      <sz val="14"/>
      <color theme="1"/>
      <name val="Arial"/>
      <family val="2"/>
    </font>
    <font>
      <sz val="7.5"/>
      <name val="Arial"/>
      <family val="2"/>
    </font>
    <font>
      <sz val="5.65"/>
      <name val="Arial"/>
      <family val="2"/>
    </font>
    <font>
      <sz val="10"/>
      <color rgb="FF3F3F76"/>
      <name val="Calibri"/>
      <family val="2"/>
      <scheme val="minor"/>
    </font>
    <font>
      <b/>
      <sz val="10"/>
      <color rgb="FFFA7D00"/>
      <name val="Calibri"/>
      <family val="2"/>
      <scheme val="minor"/>
    </font>
    <font>
      <b/>
      <sz val="11"/>
      <color theme="0"/>
      <name val="Arial"/>
      <family val="2"/>
    </font>
    <font>
      <b/>
      <sz val="12"/>
      <color theme="0"/>
      <name val="Arial"/>
      <family val="2"/>
    </font>
    <font>
      <sz val="11"/>
      <color theme="0"/>
      <name val="Arial"/>
      <family val="2"/>
    </font>
    <font>
      <sz val="12"/>
      <color theme="0"/>
      <name val="Arial"/>
      <family val="2"/>
    </font>
    <font>
      <sz val="11"/>
      <color theme="1"/>
      <name val="Arial"/>
      <family val="2"/>
    </font>
    <font>
      <sz val="9"/>
      <color indexed="81"/>
      <name val="Tahoma"/>
      <charset val="1"/>
    </font>
    <font>
      <b/>
      <sz val="10"/>
      <color rgb="FF000000"/>
      <name val="Arial"/>
      <family val="2"/>
    </font>
    <font>
      <b/>
      <vertAlign val="subscript"/>
      <sz val="10"/>
      <color rgb="FF000000"/>
      <name val="Arial"/>
      <family val="2"/>
    </font>
    <font>
      <sz val="10"/>
      <color rgb="FF000000"/>
      <name val="Arial"/>
      <family val="2"/>
    </font>
    <font>
      <b/>
      <sz val="10"/>
      <color theme="1"/>
      <name val="Arial"/>
      <family val="2"/>
    </font>
    <font>
      <b/>
      <vertAlign val="subscript"/>
      <sz val="10"/>
      <color theme="1"/>
      <name val="Arial"/>
      <family val="2"/>
    </font>
    <font>
      <vertAlign val="subscript"/>
      <sz val="10"/>
      <name val="Arial"/>
      <family val="2"/>
    </font>
    <font>
      <vertAlign val="subscript"/>
      <sz val="10"/>
      <color rgb="FF000000"/>
      <name val="Arial"/>
      <family val="2"/>
    </font>
    <font>
      <vertAlign val="subscript"/>
      <sz val="10"/>
      <color theme="1"/>
      <name val="Arial"/>
      <family val="2"/>
    </font>
    <font>
      <b/>
      <sz val="9"/>
      <color indexed="81"/>
      <name val="Tahoma"/>
      <charset val="1"/>
    </font>
    <font>
      <sz val="10"/>
      <color rgb="FFB7DEE8"/>
      <name val="Arial"/>
      <family val="2"/>
    </font>
  </fonts>
  <fills count="15">
    <fill>
      <patternFill patternType="none"/>
    </fill>
    <fill>
      <patternFill patternType="gray125"/>
    </fill>
    <fill>
      <patternFill patternType="solid">
        <fgColor rgb="FFB7DEE8"/>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FFCC99"/>
      </patternFill>
    </fill>
    <fill>
      <patternFill patternType="solid">
        <fgColor rgb="FFF2F2F2"/>
      </patternFill>
    </fill>
    <fill>
      <patternFill patternType="solid">
        <fgColor rgb="FF1A4222"/>
        <bgColor indexed="64"/>
      </patternFill>
    </fill>
    <fill>
      <patternFill patternType="solid">
        <fgColor rgb="FFD8E6C5"/>
        <bgColor indexed="64"/>
      </patternFill>
    </fill>
    <fill>
      <patternFill patternType="solid">
        <fgColor rgb="FF006E9A"/>
        <bgColor indexed="64"/>
      </patternFill>
    </fill>
    <fill>
      <patternFill patternType="solid">
        <fgColor rgb="FFF3D696"/>
        <bgColor indexed="64"/>
      </patternFill>
    </fill>
    <fill>
      <patternFill patternType="solid">
        <fgColor rgb="FFA5D1F2"/>
        <bgColor indexed="64"/>
      </patternFill>
    </fill>
    <fill>
      <patternFill patternType="solid">
        <fgColor rgb="FFFFFFFF"/>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7F7F7F"/>
      </left>
      <right style="thin">
        <color rgb="FF7F7F7F"/>
      </right>
      <top style="thin">
        <color rgb="FF7F7F7F"/>
      </top>
      <bottom style="thin">
        <color rgb="FF7F7F7F"/>
      </bottom>
      <diagonal/>
    </border>
    <border>
      <left/>
      <right style="thin">
        <color theme="0"/>
      </right>
      <top style="medium">
        <color indexed="64"/>
      </top>
      <bottom/>
      <diagonal/>
    </border>
    <border>
      <left/>
      <right style="thin">
        <color theme="0"/>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49" fillId="7" borderId="24" applyNumberFormat="0" applyAlignment="0" applyProtection="0"/>
    <xf numFmtId="0" fontId="50" fillId="8" borderId="24" applyNumberFormat="0" applyAlignment="0" applyProtection="0"/>
  </cellStyleXfs>
  <cellXfs count="580">
    <xf numFmtId="0" fontId="0" fillId="0" borderId="0" xfId="0"/>
    <xf numFmtId="0" fontId="4" fillId="2" borderId="0" xfId="0" applyFont="1" applyFill="1" applyAlignment="1">
      <alignment horizontal="left" vertical="top" wrapText="1"/>
    </xf>
    <xf numFmtId="0" fontId="0" fillId="2" borderId="0" xfId="0" applyFill="1" applyAlignment="1">
      <alignment horizontal="left" vertical="top" wrapText="1"/>
    </xf>
    <xf numFmtId="0" fontId="5" fillId="2" borderId="0" xfId="0" applyFont="1" applyFill="1" applyAlignment="1">
      <alignment horizontal="left" vertical="top" wrapText="1"/>
    </xf>
    <xf numFmtId="0" fontId="0" fillId="2" borderId="0" xfId="0" applyFill="1"/>
    <xf numFmtId="9" fontId="0" fillId="2" borderId="0" xfId="0" applyNumberFormat="1" applyFill="1"/>
    <xf numFmtId="0" fontId="11" fillId="2" borderId="0" xfId="0" applyFont="1" applyFill="1"/>
    <xf numFmtId="3" fontId="0" fillId="2" borderId="0" xfId="0" applyNumberFormat="1" applyFill="1" applyAlignment="1">
      <alignment horizontal="left"/>
    </xf>
    <xf numFmtId="0" fontId="0" fillId="2" borderId="0" xfId="0" applyFill="1" applyAlignment="1">
      <alignment horizontal="left"/>
    </xf>
    <xf numFmtId="3" fontId="8" fillId="2" borderId="0" xfId="0" applyNumberFormat="1" applyFont="1" applyFill="1" applyAlignment="1">
      <alignment horizontal="right"/>
    </xf>
    <xf numFmtId="3" fontId="5" fillId="3" borderId="5" xfId="0" applyNumberFormat="1" applyFont="1" applyFill="1" applyBorder="1" applyProtection="1">
      <protection locked="0"/>
    </xf>
    <xf numFmtId="164" fontId="11" fillId="2" borderId="0" xfId="0" applyNumberFormat="1" applyFont="1" applyFill="1"/>
    <xf numFmtId="0" fontId="5" fillId="2" borderId="0" xfId="0" applyFont="1" applyFill="1"/>
    <xf numFmtId="49" fontId="0" fillId="2" borderId="0" xfId="0" applyNumberFormat="1" applyFill="1"/>
    <xf numFmtId="3" fontId="0" fillId="2" borderId="0" xfId="0" applyNumberFormat="1" applyFill="1"/>
    <xf numFmtId="49" fontId="5" fillId="2" borderId="0" xfId="0" applyNumberFormat="1" applyFont="1" applyFill="1"/>
    <xf numFmtId="164" fontId="5" fillId="2" borderId="0" xfId="0" applyNumberFormat="1" applyFont="1" applyFill="1"/>
    <xf numFmtId="164" fontId="5" fillId="2" borderId="0" xfId="0" applyNumberFormat="1" applyFont="1" applyFill="1" applyAlignment="1">
      <alignment vertical="top" wrapText="1"/>
    </xf>
    <xf numFmtId="0" fontId="3" fillId="2" borderId="0" xfId="0" applyFont="1" applyFill="1" applyAlignment="1">
      <alignment horizontal="left" vertical="top" wrapText="1"/>
    </xf>
    <xf numFmtId="49" fontId="4" fillId="2" borderId="0" xfId="0" applyNumberFormat="1" applyFont="1" applyFill="1" applyAlignment="1">
      <alignment horizontal="left" vertical="center" wrapText="1"/>
    </xf>
    <xf numFmtId="0" fontId="4" fillId="2" borderId="0" xfId="0" applyFont="1" applyFill="1" applyAlignment="1">
      <alignment horizontal="left" vertical="center" wrapText="1"/>
    </xf>
    <xf numFmtId="49" fontId="2" fillId="2" borderId="0" xfId="2" quotePrefix="1" applyNumberFormat="1" applyFill="1" applyAlignment="1">
      <alignment wrapText="1"/>
    </xf>
    <xf numFmtId="0" fontId="7" fillId="2" borderId="0" xfId="0" applyFont="1" applyFill="1" applyAlignment="1">
      <alignment horizontal="left"/>
    </xf>
    <xf numFmtId="0" fontId="8" fillId="2" borderId="0" xfId="0" applyFont="1" applyFill="1" applyAlignment="1">
      <alignment horizontal="left" vertical="top" wrapText="1"/>
    </xf>
    <xf numFmtId="0" fontId="10" fillId="2" borderId="0" xfId="0" applyFont="1" applyFill="1" applyAlignment="1">
      <alignment horizontal="left" vertical="top" wrapText="1"/>
    </xf>
    <xf numFmtId="0" fontId="11" fillId="2" borderId="0" xfId="0" applyFont="1" applyFill="1" applyAlignment="1">
      <alignment horizontal="left" vertical="top" wrapText="1"/>
    </xf>
    <xf numFmtId="0" fontId="3" fillId="2" borderId="0" xfId="0" applyFont="1" applyFill="1" applyAlignment="1">
      <alignment vertical="center"/>
    </xf>
    <xf numFmtId="0" fontId="12" fillId="2" borderId="0" xfId="0" applyFont="1" applyFill="1"/>
    <xf numFmtId="0" fontId="4" fillId="2" borderId="0" xfId="0" applyFont="1" applyFill="1"/>
    <xf numFmtId="0" fontId="13" fillId="2" borderId="0" xfId="0" applyFont="1" applyFill="1"/>
    <xf numFmtId="0" fontId="8" fillId="2" borderId="0" xfId="0" applyFont="1" applyFill="1"/>
    <xf numFmtId="0" fontId="11" fillId="2" borderId="0" xfId="0" applyFont="1" applyFill="1" applyAlignment="1">
      <alignment vertical="top"/>
    </xf>
    <xf numFmtId="0" fontId="5" fillId="2" borderId="0" xfId="0" applyFont="1" applyFill="1" applyAlignment="1">
      <alignment vertical="top"/>
    </xf>
    <xf numFmtId="0" fontId="7" fillId="2" borderId="0" xfId="0" applyFont="1" applyFill="1" applyAlignment="1">
      <alignment vertical="center"/>
    </xf>
    <xf numFmtId="0" fontId="8" fillId="2" borderId="0" xfId="0" applyFont="1" applyFill="1" applyAlignment="1">
      <alignment vertical="top"/>
    </xf>
    <xf numFmtId="0" fontId="7" fillId="2" borderId="0" xfId="0" applyFont="1" applyFill="1"/>
    <xf numFmtId="0" fontId="4" fillId="2" borderId="0" xfId="0" applyFont="1" applyFill="1" applyAlignment="1">
      <alignment vertical="top"/>
    </xf>
    <xf numFmtId="0" fontId="14" fillId="2" borderId="0" xfId="0" applyFont="1" applyFill="1"/>
    <xf numFmtId="164" fontId="0" fillId="2" borderId="0" xfId="0" applyNumberFormat="1" applyFill="1"/>
    <xf numFmtId="165" fontId="5" fillId="2" borderId="0" xfId="0" applyNumberFormat="1" applyFont="1" applyFill="1"/>
    <xf numFmtId="0" fontId="15" fillId="2" borderId="0" xfId="0" applyFont="1" applyFill="1"/>
    <xf numFmtId="49" fontId="8" fillId="2" borderId="0" xfId="0" applyNumberFormat="1" applyFont="1" applyFill="1"/>
    <xf numFmtId="3" fontId="8" fillId="2" borderId="0" xfId="0" applyNumberFormat="1" applyFont="1" applyFill="1"/>
    <xf numFmtId="164" fontId="8" fillId="2" borderId="0" xfId="0" applyNumberFormat="1" applyFont="1" applyFill="1"/>
    <xf numFmtId="0" fontId="16" fillId="2" borderId="0" xfId="0" applyFont="1" applyFill="1"/>
    <xf numFmtId="9" fontId="5" fillId="2" borderId="0" xfId="0" applyNumberFormat="1" applyFont="1" applyFill="1"/>
    <xf numFmtId="9" fontId="5" fillId="2" borderId="0" xfId="1" applyFont="1" applyFill="1" applyBorder="1" applyProtection="1"/>
    <xf numFmtId="0" fontId="23" fillId="2" borderId="0" xfId="0" applyFont="1" applyFill="1"/>
    <xf numFmtId="166" fontId="5" fillId="2" borderId="0" xfId="0" applyNumberFormat="1" applyFont="1" applyFill="1" applyAlignment="1">
      <alignment horizontal="right"/>
    </xf>
    <xf numFmtId="0" fontId="11" fillId="2" borderId="0" xfId="0" applyFont="1" applyFill="1" applyAlignment="1">
      <alignment horizontal="left"/>
    </xf>
    <xf numFmtId="0" fontId="5" fillId="2" borderId="0" xfId="0" applyFont="1" applyFill="1" applyAlignment="1">
      <alignment horizontal="left"/>
    </xf>
    <xf numFmtId="165" fontId="11" fillId="2" borderId="0" xfId="0" applyNumberFormat="1" applyFont="1" applyFill="1" applyAlignment="1">
      <alignment horizontal="left"/>
    </xf>
    <xf numFmtId="165" fontId="5" fillId="2" borderId="0" xfId="0" applyNumberFormat="1" applyFont="1" applyFill="1" applyAlignment="1">
      <alignment horizontal="right"/>
    </xf>
    <xf numFmtId="3" fontId="5" fillId="2" borderId="0" xfId="0" applyNumberFormat="1" applyFont="1" applyFill="1" applyAlignment="1">
      <alignment horizontal="right"/>
    </xf>
    <xf numFmtId="0" fontId="0" fillId="2" borderId="0" xfId="0" applyFill="1" applyAlignment="1">
      <alignment horizontal="right"/>
    </xf>
    <xf numFmtId="0" fontId="11" fillId="2" borderId="0" xfId="0" applyFont="1" applyFill="1" applyAlignment="1">
      <alignment vertical="top" wrapText="1"/>
    </xf>
    <xf numFmtId="0" fontId="7" fillId="2" borderId="0" xfId="0" applyFont="1" applyFill="1" applyAlignment="1">
      <alignment vertical="top"/>
    </xf>
    <xf numFmtId="3" fontId="5" fillId="2" borderId="0" xfId="0" applyNumberFormat="1" applyFont="1" applyFill="1"/>
    <xf numFmtId="0" fontId="25" fillId="2" borderId="0" xfId="0" applyFont="1" applyFill="1"/>
    <xf numFmtId="0" fontId="26" fillId="2" borderId="0" xfId="0" applyFont="1" applyFill="1"/>
    <xf numFmtId="10" fontId="0" fillId="2" borderId="0" xfId="0" applyNumberFormat="1" applyFill="1"/>
    <xf numFmtId="1" fontId="0" fillId="2" borderId="0" xfId="0" applyNumberFormat="1" applyFill="1"/>
    <xf numFmtId="1" fontId="5" fillId="2" borderId="0" xfId="0" applyNumberFormat="1" applyFont="1" applyFill="1" applyAlignment="1">
      <alignment horizontal="right"/>
    </xf>
    <xf numFmtId="167" fontId="0" fillId="2" borderId="0" xfId="0" applyNumberFormat="1" applyFill="1"/>
    <xf numFmtId="168" fontId="0" fillId="2" borderId="0" xfId="0" applyNumberFormat="1" applyFill="1"/>
    <xf numFmtId="166" fontId="0" fillId="2" borderId="0" xfId="0" applyNumberFormat="1" applyFill="1"/>
    <xf numFmtId="0" fontId="27" fillId="2" borderId="0" xfId="0" applyFont="1" applyFill="1"/>
    <xf numFmtId="168" fontId="5" fillId="2" borderId="0" xfId="0" applyNumberFormat="1" applyFont="1" applyFill="1"/>
    <xf numFmtId="167" fontId="8" fillId="2" borderId="0" xfId="0" applyNumberFormat="1" applyFont="1" applyFill="1"/>
    <xf numFmtId="1" fontId="5" fillId="2" borderId="0" xfId="0" applyNumberFormat="1" applyFont="1" applyFill="1"/>
    <xf numFmtId="1" fontId="5" fillId="2" borderId="0" xfId="0" applyNumberFormat="1" applyFont="1" applyFill="1" applyAlignment="1">
      <alignment horizontal="left"/>
    </xf>
    <xf numFmtId="1" fontId="0" fillId="2" borderId="0" xfId="0" applyNumberFormat="1" applyFill="1" applyAlignment="1">
      <alignment horizontal="left"/>
    </xf>
    <xf numFmtId="0" fontId="23" fillId="2" borderId="0" xfId="0" applyFont="1" applyFill="1" applyAlignment="1">
      <alignment vertical="center"/>
    </xf>
    <xf numFmtId="0" fontId="28" fillId="2" borderId="0" xfId="0" applyFont="1" applyFill="1" applyAlignment="1">
      <alignment vertical="center"/>
    </xf>
    <xf numFmtId="0" fontId="29" fillId="2" borderId="0" xfId="0" applyFont="1" applyFill="1" applyAlignment="1">
      <alignment vertical="center"/>
    </xf>
    <xf numFmtId="10" fontId="23" fillId="2" borderId="0" xfId="0" applyNumberFormat="1" applyFont="1" applyFill="1" applyAlignment="1">
      <alignment vertical="center"/>
    </xf>
    <xf numFmtId="0" fontId="30" fillId="2" borderId="0" xfId="0" applyFont="1" applyFill="1" applyAlignment="1">
      <alignment vertical="center"/>
    </xf>
    <xf numFmtId="3" fontId="30" fillId="2" borderId="0" xfId="0" applyNumberFormat="1" applyFont="1" applyFill="1" applyAlignment="1">
      <alignment vertical="center"/>
    </xf>
    <xf numFmtId="3" fontId="23" fillId="2" borderId="0" xfId="1" applyNumberFormat="1" applyFont="1" applyFill="1" applyBorder="1" applyAlignment="1" applyProtection="1">
      <alignment vertical="center"/>
    </xf>
    <xf numFmtId="10" fontId="23" fillId="2" borderId="0" xfId="0" applyNumberFormat="1" applyFont="1" applyFill="1" applyAlignment="1">
      <alignment horizontal="right" vertical="center"/>
    </xf>
    <xf numFmtId="169" fontId="0" fillId="2" borderId="0" xfId="0" applyNumberFormat="1" applyFill="1"/>
    <xf numFmtId="2" fontId="8" fillId="2" borderId="0" xfId="0" applyNumberFormat="1" applyFont="1" applyFill="1" applyAlignment="1">
      <alignment horizontal="right"/>
    </xf>
    <xf numFmtId="2" fontId="23" fillId="2" borderId="0" xfId="0" applyNumberFormat="1" applyFont="1" applyFill="1" applyAlignment="1">
      <alignment horizontal="right" vertical="center"/>
    </xf>
    <xf numFmtId="0" fontId="0" fillId="2" borderId="13" xfId="0" applyFill="1" applyBorder="1" applyAlignment="1">
      <alignment horizontal="left"/>
    </xf>
    <xf numFmtId="3" fontId="0" fillId="2" borderId="13" xfId="0" applyNumberFormat="1" applyFill="1" applyBorder="1" applyAlignment="1">
      <alignment horizontal="left"/>
    </xf>
    <xf numFmtId="3" fontId="5" fillId="2" borderId="14" xfId="0" applyNumberFormat="1" applyFont="1" applyFill="1" applyBorder="1" applyAlignment="1">
      <alignment horizontal="left"/>
    </xf>
    <xf numFmtId="164" fontId="15" fillId="2" borderId="0" xfId="0" applyNumberFormat="1" applyFont="1" applyFill="1"/>
    <xf numFmtId="0" fontId="11" fillId="2" borderId="0" xfId="0" applyFont="1" applyFill="1" applyAlignment="1">
      <alignment horizontal="left" wrapText="1"/>
    </xf>
    <xf numFmtId="3" fontId="15" fillId="2" borderId="0" xfId="0" applyNumberFormat="1" applyFont="1" applyFill="1" applyAlignment="1">
      <alignment horizontal="right"/>
    </xf>
    <xf numFmtId="170" fontId="5" fillId="2" borderId="0" xfId="0" applyNumberFormat="1" applyFont="1" applyFill="1"/>
    <xf numFmtId="3" fontId="5" fillId="3" borderId="12" xfId="0" applyNumberFormat="1" applyFont="1" applyFill="1" applyBorder="1" applyProtection="1">
      <protection locked="0"/>
    </xf>
    <xf numFmtId="3" fontId="5" fillId="3" borderId="13" xfId="0" applyNumberFormat="1" applyFont="1" applyFill="1" applyBorder="1" applyProtection="1">
      <protection locked="0"/>
    </xf>
    <xf numFmtId="0" fontId="23" fillId="4" borderId="16" xfId="0" applyFont="1" applyFill="1" applyBorder="1" applyAlignment="1">
      <alignment vertical="center"/>
    </xf>
    <xf numFmtId="0" fontId="28" fillId="4" borderId="17" xfId="0" applyFont="1" applyFill="1" applyBorder="1" applyAlignment="1">
      <alignment vertical="center"/>
    </xf>
    <xf numFmtId="0" fontId="29" fillId="4" borderId="17" xfId="0" applyFont="1" applyFill="1" applyBorder="1" applyAlignment="1">
      <alignment vertical="center"/>
    </xf>
    <xf numFmtId="0" fontId="23" fillId="4" borderId="17" xfId="0" applyFont="1" applyFill="1" applyBorder="1" applyAlignment="1">
      <alignment vertical="center"/>
    </xf>
    <xf numFmtId="10" fontId="23" fillId="4" borderId="18" xfId="0" applyNumberFormat="1" applyFont="1" applyFill="1" applyBorder="1" applyAlignment="1">
      <alignment horizontal="right" vertical="center"/>
    </xf>
    <xf numFmtId="0" fontId="8" fillId="4" borderId="17" xfId="0" applyFont="1" applyFill="1" applyBorder="1"/>
    <xf numFmtId="0" fontId="0" fillId="4" borderId="17" xfId="0" applyFill="1" applyBorder="1"/>
    <xf numFmtId="2" fontId="23" fillId="4" borderId="18" xfId="0" applyNumberFormat="1" applyFont="1" applyFill="1" applyBorder="1" applyAlignment="1">
      <alignment horizontal="right" vertical="center"/>
    </xf>
    <xf numFmtId="0" fontId="15" fillId="2" borderId="6" xfId="0" applyFont="1" applyFill="1" applyBorder="1" applyAlignment="1">
      <alignment wrapText="1"/>
    </xf>
    <xf numFmtId="0" fontId="15" fillId="2" borderId="0" xfId="0" applyFont="1" applyFill="1" applyAlignment="1">
      <alignment wrapText="1"/>
    </xf>
    <xf numFmtId="0" fontId="8" fillId="2" borderId="0" xfId="0" applyFont="1" applyFill="1" applyAlignment="1">
      <alignment horizontal="left"/>
    </xf>
    <xf numFmtId="0" fontId="15" fillId="2" borderId="6" xfId="0" applyFont="1" applyFill="1" applyBorder="1"/>
    <xf numFmtId="0" fontId="15" fillId="2" borderId="4" xfId="0" applyFont="1" applyFill="1" applyBorder="1"/>
    <xf numFmtId="0" fontId="15" fillId="2" borderId="5" xfId="0" applyFont="1" applyFill="1" applyBorder="1"/>
    <xf numFmtId="0" fontId="15" fillId="2" borderId="15" xfId="0" applyFont="1" applyFill="1" applyBorder="1"/>
    <xf numFmtId="0" fontId="15" fillId="2" borderId="6" xfId="0" applyFont="1" applyFill="1" applyBorder="1" applyAlignment="1">
      <alignment vertical="top" wrapText="1"/>
    </xf>
    <xf numFmtId="0" fontId="15" fillId="2" borderId="4" xfId="0" applyFont="1" applyFill="1" applyBorder="1" applyAlignment="1">
      <alignment vertical="top"/>
    </xf>
    <xf numFmtId="0" fontId="15" fillId="2" borderId="5" xfId="0" applyFont="1" applyFill="1" applyBorder="1" applyAlignment="1">
      <alignment vertical="top"/>
    </xf>
    <xf numFmtId="164" fontId="15" fillId="2" borderId="5" xfId="0" applyNumberFormat="1" applyFont="1" applyFill="1" applyBorder="1"/>
    <xf numFmtId="166" fontId="15" fillId="2" borderId="5" xfId="0" applyNumberFormat="1" applyFont="1" applyFill="1" applyBorder="1"/>
    <xf numFmtId="3" fontId="15" fillId="2" borderId="5" xfId="0" applyNumberFormat="1" applyFont="1" applyFill="1" applyBorder="1"/>
    <xf numFmtId="3" fontId="15" fillId="2" borderId="15" xfId="0" applyNumberFormat="1" applyFont="1" applyFill="1" applyBorder="1"/>
    <xf numFmtId="0" fontId="8" fillId="0" borderId="0" xfId="0" applyFont="1"/>
    <xf numFmtId="0" fontId="5" fillId="0" borderId="0" xfId="0" applyFont="1"/>
    <xf numFmtId="0" fontId="6" fillId="0" borderId="0" xfId="0" applyFont="1"/>
    <xf numFmtId="0" fontId="5" fillId="0" borderId="0" xfId="0" applyFont="1" applyAlignment="1">
      <alignment horizontal="left"/>
    </xf>
    <xf numFmtId="0" fontId="8" fillId="0" borderId="0" xfId="0" applyFont="1" applyAlignment="1">
      <alignment horizontal="right"/>
    </xf>
    <xf numFmtId="0" fontId="11" fillId="0" borderId="0" xfId="0" applyFont="1"/>
    <xf numFmtId="0" fontId="5" fillId="0" borderId="0" xfId="0" applyFont="1" applyAlignment="1">
      <alignment wrapText="1"/>
    </xf>
    <xf numFmtId="0" fontId="5" fillId="0" borderId="0" xfId="0" applyFont="1" applyAlignment="1">
      <alignment horizontal="right"/>
    </xf>
    <xf numFmtId="0" fontId="5" fillId="0" borderId="0" xfId="0" applyFont="1" applyAlignment="1">
      <alignment horizontal="left" wrapText="1"/>
    </xf>
    <xf numFmtId="0" fontId="5" fillId="0" borderId="0" xfId="0" applyFont="1" applyAlignment="1">
      <alignment vertical="top" wrapText="1"/>
    </xf>
    <xf numFmtId="0" fontId="11" fillId="0" borderId="0" xfId="0" applyFont="1" applyAlignment="1">
      <alignment wrapText="1"/>
    </xf>
    <xf numFmtId="0" fontId="13" fillId="0" borderId="0" xfId="0" applyFont="1"/>
    <xf numFmtId="0" fontId="4" fillId="0" borderId="0" xfId="0" applyFont="1" applyAlignment="1">
      <alignment vertical="top" wrapText="1"/>
    </xf>
    <xf numFmtId="0" fontId="5" fillId="5" borderId="0" xfId="0" applyFont="1" applyFill="1"/>
    <xf numFmtId="0" fontId="5" fillId="5" borderId="0" xfId="0" applyFont="1" applyFill="1" applyAlignment="1">
      <alignment wrapText="1"/>
    </xf>
    <xf numFmtId="0" fontId="8" fillId="0" borderId="0" xfId="0" applyFont="1" applyAlignment="1">
      <alignment vertical="top" wrapText="1"/>
    </xf>
    <xf numFmtId="0" fontId="0" fillId="0" borderId="0" xfId="0" applyAlignment="1">
      <alignment vertical="top" wrapText="1"/>
    </xf>
    <xf numFmtId="0" fontId="15" fillId="0" borderId="0" xfId="0" applyFont="1"/>
    <xf numFmtId="0" fontId="4" fillId="0" borderId="0" xfId="0" applyFont="1"/>
    <xf numFmtId="0" fontId="15" fillId="0" borderId="0" xfId="0" applyFont="1" applyAlignment="1">
      <alignment wrapText="1"/>
    </xf>
    <xf numFmtId="0" fontId="8" fillId="0" borderId="0" xfId="0" applyFont="1" applyAlignment="1" applyProtection="1">
      <alignment vertical="top" wrapText="1"/>
      <protection locked="0"/>
    </xf>
    <xf numFmtId="0" fontId="0" fillId="0" borderId="0" xfId="0" applyAlignment="1">
      <alignment wrapText="1"/>
    </xf>
    <xf numFmtId="0" fontId="6" fillId="0" borderId="0" xfId="0" applyFont="1" applyAlignment="1">
      <alignment wrapText="1"/>
    </xf>
    <xf numFmtId="0" fontId="8" fillId="0" borderId="0" xfId="0" applyFont="1" applyAlignment="1">
      <alignment wrapText="1"/>
    </xf>
    <xf numFmtId="0" fontId="23" fillId="0" borderId="0" xfId="0" applyFont="1" applyAlignment="1">
      <alignment wrapText="1"/>
    </xf>
    <xf numFmtId="0" fontId="0" fillId="0" borderId="0" xfId="0" applyAlignment="1">
      <alignment vertical="top"/>
    </xf>
    <xf numFmtId="0" fontId="23" fillId="0" borderId="0" xfId="0" applyFont="1"/>
    <xf numFmtId="0" fontId="8" fillId="0" borderId="0" xfId="0" applyFont="1" applyAlignment="1">
      <alignment vertical="top"/>
    </xf>
    <xf numFmtId="0" fontId="5" fillId="0" borderId="0" xfId="0" applyFont="1" applyAlignment="1">
      <alignment vertical="top"/>
    </xf>
    <xf numFmtId="0" fontId="37" fillId="2" borderId="0" xfId="0" applyFont="1" applyFill="1"/>
    <xf numFmtId="10" fontId="8" fillId="2" borderId="0" xfId="0" applyNumberFormat="1" applyFont="1" applyFill="1"/>
    <xf numFmtId="0" fontId="0" fillId="3" borderId="6" xfId="0" applyFill="1" applyBorder="1" applyProtection="1">
      <protection locked="0"/>
    </xf>
    <xf numFmtId="3" fontId="32" fillId="3" borderId="4" xfId="0" applyNumberFormat="1" applyFont="1" applyFill="1" applyBorder="1" applyProtection="1">
      <protection locked="0"/>
    </xf>
    <xf numFmtId="3" fontId="32" fillId="3" borderId="5" xfId="0" applyNumberFormat="1" applyFont="1" applyFill="1" applyBorder="1" applyProtection="1">
      <protection locked="0"/>
    </xf>
    <xf numFmtId="9" fontId="32" fillId="2" borderId="6" xfId="0" applyNumberFormat="1" applyFont="1" applyFill="1" applyBorder="1"/>
    <xf numFmtId="0" fontId="4" fillId="2" borderId="0" xfId="0" applyFont="1" applyFill="1" applyAlignment="1">
      <alignment vertical="center"/>
    </xf>
    <xf numFmtId="0" fontId="21" fillId="2" borderId="0" xfId="0" applyFont="1" applyFill="1"/>
    <xf numFmtId="0" fontId="24" fillId="2" borderId="0" xfId="0" applyFont="1" applyFill="1"/>
    <xf numFmtId="0" fontId="11" fillId="2" borderId="0" xfId="0" applyFont="1" applyFill="1" applyAlignment="1">
      <alignment horizontal="right"/>
    </xf>
    <xf numFmtId="0" fontId="5" fillId="2" borderId="0" xfId="0" applyFont="1" applyFill="1" applyAlignment="1">
      <alignment vertical="center"/>
    </xf>
    <xf numFmtId="0" fontId="0" fillId="2" borderId="12" xfId="0" applyFill="1" applyBorder="1" applyAlignment="1">
      <alignment horizontal="left"/>
    </xf>
    <xf numFmtId="3" fontId="11" fillId="2" borderId="0" xfId="0" applyNumberFormat="1" applyFont="1" applyFill="1"/>
    <xf numFmtId="0" fontId="34" fillId="2" borderId="0" xfId="0" applyFont="1" applyFill="1" applyAlignment="1">
      <alignment horizontal="right"/>
    </xf>
    <xf numFmtId="0" fontId="34" fillId="2" borderId="0" xfId="0" applyFont="1" applyFill="1"/>
    <xf numFmtId="164" fontId="31" fillId="2" borderId="0" xfId="0" applyNumberFormat="1" applyFont="1" applyFill="1"/>
    <xf numFmtId="0" fontId="35" fillId="2" borderId="0" xfId="0" applyFont="1" applyFill="1"/>
    <xf numFmtId="3" fontId="32" fillId="3" borderId="15" xfId="0" applyNumberFormat="1" applyFont="1" applyFill="1" applyBorder="1" applyProtection="1">
      <protection locked="0"/>
    </xf>
    <xf numFmtId="0" fontId="32" fillId="2" borderId="0" xfId="0" applyFont="1" applyFill="1"/>
    <xf numFmtId="3" fontId="32" fillId="2" borderId="5" xfId="0" applyNumberFormat="1" applyFont="1" applyFill="1" applyBorder="1"/>
    <xf numFmtId="3" fontId="32" fillId="2" borderId="15" xfId="0" applyNumberFormat="1" applyFont="1" applyFill="1" applyBorder="1"/>
    <xf numFmtId="3" fontId="32" fillId="2" borderId="0" xfId="0" applyNumberFormat="1" applyFont="1" applyFill="1"/>
    <xf numFmtId="164" fontId="32" fillId="2" borderId="0" xfId="0" applyNumberFormat="1" applyFont="1" applyFill="1"/>
    <xf numFmtId="0" fontId="32" fillId="2" borderId="0" xfId="0" applyFont="1" applyFill="1" applyAlignment="1">
      <alignment wrapText="1"/>
    </xf>
    <xf numFmtId="0" fontId="11" fillId="2" borderId="0" xfId="0" applyFont="1" applyFill="1" applyAlignment="1">
      <alignment vertical="center"/>
    </xf>
    <xf numFmtId="3" fontId="5" fillId="2" borderId="0" xfId="0" applyNumberFormat="1" applyFont="1" applyFill="1" applyAlignment="1">
      <alignment vertical="center"/>
    </xf>
    <xf numFmtId="3" fontId="8" fillId="2" borderId="0" xfId="1" applyNumberFormat="1" applyFont="1" applyFill="1" applyBorder="1" applyAlignment="1" applyProtection="1">
      <alignment vertical="center"/>
    </xf>
    <xf numFmtId="3" fontId="11" fillId="2" borderId="0" xfId="1" applyNumberFormat="1" applyFont="1" applyFill="1" applyBorder="1" applyAlignment="1" applyProtection="1">
      <alignment vertical="center"/>
    </xf>
    <xf numFmtId="169" fontId="32" fillId="2" borderId="0" xfId="0" applyNumberFormat="1" applyFont="1" applyFill="1"/>
    <xf numFmtId="168" fontId="32" fillId="2" borderId="0" xfId="0" applyNumberFormat="1" applyFont="1" applyFill="1"/>
    <xf numFmtId="3" fontId="32" fillId="2" borderId="6" xfId="0" applyNumberFormat="1" applyFont="1" applyFill="1" applyBorder="1"/>
    <xf numFmtId="168" fontId="32" fillId="2" borderId="0" xfId="0" applyNumberFormat="1" applyFont="1" applyFill="1" applyProtection="1">
      <protection locked="0"/>
    </xf>
    <xf numFmtId="167" fontId="32" fillId="2" borderId="0" xfId="0" applyNumberFormat="1" applyFont="1" applyFill="1" applyProtection="1">
      <protection locked="0"/>
    </xf>
    <xf numFmtId="168" fontId="32" fillId="2" borderId="0" xfId="0" applyNumberFormat="1" applyFont="1" applyFill="1" applyAlignment="1" applyProtection="1">
      <alignment wrapText="1"/>
      <protection locked="0"/>
    </xf>
    <xf numFmtId="167" fontId="32" fillId="2" borderId="0" xfId="0" applyNumberFormat="1" applyFont="1" applyFill="1" applyAlignment="1" applyProtection="1">
      <alignment wrapText="1"/>
      <protection locked="0"/>
    </xf>
    <xf numFmtId="10" fontId="32" fillId="3" borderId="6" xfId="0" applyNumberFormat="1" applyFont="1" applyFill="1" applyBorder="1" applyProtection="1">
      <protection locked="0"/>
    </xf>
    <xf numFmtId="3" fontId="32" fillId="2" borderId="6" xfId="0" applyNumberFormat="1" applyFont="1" applyFill="1" applyBorder="1" applyProtection="1">
      <protection locked="0"/>
    </xf>
    <xf numFmtId="3" fontId="32" fillId="3" borderId="7" xfId="0" applyNumberFormat="1" applyFont="1" applyFill="1" applyBorder="1" applyProtection="1">
      <protection locked="0"/>
    </xf>
    <xf numFmtId="3" fontId="32" fillId="3" borderId="8" xfId="0" applyNumberFormat="1" applyFont="1" applyFill="1" applyBorder="1" applyProtection="1">
      <protection locked="0"/>
    </xf>
    <xf numFmtId="3" fontId="32" fillId="3" borderId="10" xfId="0" applyNumberFormat="1" applyFont="1" applyFill="1" applyBorder="1" applyProtection="1">
      <protection locked="0"/>
    </xf>
    <xf numFmtId="3" fontId="32" fillId="3" borderId="0" xfId="0" applyNumberFormat="1" applyFont="1" applyFill="1" applyProtection="1">
      <protection locked="0"/>
    </xf>
    <xf numFmtId="3" fontId="32" fillId="3" borderId="6" xfId="0" applyNumberFormat="1" applyFont="1" applyFill="1" applyBorder="1" applyProtection="1">
      <protection locked="0"/>
    </xf>
    <xf numFmtId="0" fontId="32" fillId="0" borderId="0" xfId="0" applyFont="1"/>
    <xf numFmtId="3" fontId="32" fillId="2" borderId="4" xfId="0" applyNumberFormat="1" applyFont="1" applyFill="1" applyBorder="1"/>
    <xf numFmtId="0" fontId="32" fillId="2" borderId="0" xfId="0" applyFont="1" applyFill="1" applyAlignment="1">
      <alignment horizontal="left"/>
    </xf>
    <xf numFmtId="49" fontId="32" fillId="2" borderId="0" xfId="0" applyNumberFormat="1" applyFont="1" applyFill="1"/>
    <xf numFmtId="1" fontId="0" fillId="3" borderId="6" xfId="0" applyNumberFormat="1" applyFill="1" applyBorder="1" applyProtection="1">
      <protection locked="0"/>
    </xf>
    <xf numFmtId="168" fontId="32" fillId="3" borderId="6" xfId="0" applyNumberFormat="1" applyFont="1" applyFill="1" applyBorder="1" applyProtection="1">
      <protection locked="0"/>
    </xf>
    <xf numFmtId="167" fontId="32" fillId="3" borderId="6" xfId="0" applyNumberFormat="1" applyFont="1" applyFill="1" applyBorder="1" applyProtection="1">
      <protection locked="0"/>
    </xf>
    <xf numFmtId="168" fontId="32" fillId="3" borderId="6" xfId="0" applyNumberFormat="1" applyFont="1" applyFill="1" applyBorder="1" applyAlignment="1" applyProtection="1">
      <alignment wrapText="1"/>
      <protection locked="0"/>
    </xf>
    <xf numFmtId="168" fontId="5" fillId="3" borderId="4" xfId="0" applyNumberFormat="1" applyFont="1" applyFill="1" applyBorder="1" applyProtection="1">
      <protection locked="0"/>
    </xf>
    <xf numFmtId="168" fontId="5" fillId="3" borderId="15" xfId="0" applyNumberFormat="1" applyFont="1" applyFill="1" applyBorder="1" applyProtection="1">
      <protection locked="0"/>
    </xf>
    <xf numFmtId="3" fontId="5" fillId="3" borderId="4" xfId="0" applyNumberFormat="1" applyFont="1" applyFill="1" applyBorder="1" applyProtection="1">
      <protection locked="0"/>
    </xf>
    <xf numFmtId="3" fontId="5" fillId="3" borderId="15" xfId="0" applyNumberFormat="1" applyFont="1" applyFill="1" applyBorder="1" applyProtection="1">
      <protection locked="0"/>
    </xf>
    <xf numFmtId="168" fontId="5" fillId="3" borderId="5" xfId="0" applyNumberFormat="1" applyFont="1" applyFill="1" applyBorder="1" applyProtection="1">
      <protection locked="0"/>
    </xf>
    <xf numFmtId="0" fontId="5" fillId="4" borderId="0" xfId="0" applyFont="1" applyFill="1"/>
    <xf numFmtId="0" fontId="5" fillId="4" borderId="0" xfId="0" applyFont="1" applyFill="1" applyAlignment="1">
      <alignment horizontal="left"/>
    </xf>
    <xf numFmtId="0" fontId="5" fillId="4" borderId="0" xfId="0" applyFont="1" applyFill="1" applyAlignment="1">
      <alignment wrapText="1"/>
    </xf>
    <xf numFmtId="167" fontId="5" fillId="5" borderId="0" xfId="0" applyNumberFormat="1" applyFont="1" applyFill="1"/>
    <xf numFmtId="167" fontId="32" fillId="5" borderId="0" xfId="0" applyNumberFormat="1" applyFont="1" applyFill="1"/>
    <xf numFmtId="167" fontId="0" fillId="5" borderId="0" xfId="0" applyNumberFormat="1" applyFill="1"/>
    <xf numFmtId="0" fontId="8" fillId="5" borderId="0" xfId="0" applyFont="1" applyFill="1"/>
    <xf numFmtId="0" fontId="13" fillId="5" borderId="0" xfId="0" applyFont="1" applyFill="1"/>
    <xf numFmtId="165" fontId="5" fillId="5" borderId="0" xfId="0" applyNumberFormat="1" applyFont="1" applyFill="1"/>
    <xf numFmtId="0" fontId="4" fillId="5" borderId="0" xfId="0" applyFont="1" applyFill="1" applyAlignment="1">
      <alignment wrapText="1"/>
    </xf>
    <xf numFmtId="0" fontId="4" fillId="5" borderId="0" xfId="0" applyFont="1" applyFill="1" applyAlignment="1">
      <alignment vertical="top" wrapText="1"/>
    </xf>
    <xf numFmtId="165" fontId="8" fillId="5" borderId="0" xfId="0" applyNumberFormat="1" applyFont="1" applyFill="1"/>
    <xf numFmtId="170" fontId="5" fillId="5" borderId="0" xfId="0" applyNumberFormat="1" applyFont="1" applyFill="1"/>
    <xf numFmtId="170" fontId="5" fillId="5" borderId="0" xfId="0" applyNumberFormat="1" applyFont="1" applyFill="1" applyAlignment="1">
      <alignment horizontal="right"/>
    </xf>
    <xf numFmtId="170" fontId="8" fillId="5" borderId="0" xfId="0" applyNumberFormat="1" applyFont="1" applyFill="1"/>
    <xf numFmtId="170" fontId="8" fillId="5" borderId="0" xfId="0" applyNumberFormat="1" applyFont="1" applyFill="1" applyAlignment="1">
      <alignment horizontal="right"/>
    </xf>
    <xf numFmtId="2" fontId="5" fillId="5" borderId="0" xfId="0" applyNumberFormat="1" applyFont="1" applyFill="1" applyAlignment="1">
      <alignment wrapText="1"/>
    </xf>
    <xf numFmtId="0" fontId="4" fillId="5" borderId="0" xfId="0" applyFont="1" applyFill="1" applyAlignment="1">
      <alignment horizontal="left" vertical="top"/>
    </xf>
    <xf numFmtId="0" fontId="6" fillId="5" borderId="0" xfId="0" applyFont="1" applyFill="1"/>
    <xf numFmtId="0" fontId="5" fillId="2" borderId="11" xfId="0" applyFont="1" applyFill="1" applyBorder="1"/>
    <xf numFmtId="0" fontId="0" fillId="2" borderId="13" xfId="0" applyFill="1" applyBorder="1"/>
    <xf numFmtId="3" fontId="15" fillId="2" borderId="0" xfId="0" applyNumberFormat="1" applyFont="1" applyFill="1"/>
    <xf numFmtId="165" fontId="0" fillId="2" borderId="0" xfId="0" applyNumberFormat="1" applyFill="1" applyAlignment="1">
      <alignment horizontal="left"/>
    </xf>
    <xf numFmtId="0" fontId="0" fillId="2" borderId="10" xfId="0" applyFill="1" applyBorder="1" applyAlignment="1">
      <alignment horizontal="left"/>
    </xf>
    <xf numFmtId="3" fontId="5" fillId="2" borderId="11" xfId="0" applyNumberFormat="1" applyFont="1" applyFill="1" applyBorder="1" applyAlignment="1">
      <alignment horizontal="left"/>
    </xf>
    <xf numFmtId="0" fontId="4" fillId="5" borderId="0" xfId="0" applyFont="1" applyFill="1" applyAlignment="1">
      <alignment vertical="top"/>
    </xf>
    <xf numFmtId="170" fontId="15" fillId="2" borderId="0" xfId="0" applyNumberFormat="1" applyFont="1" applyFill="1"/>
    <xf numFmtId="3" fontId="32" fillId="3" borderId="12" xfId="0" applyNumberFormat="1" applyFont="1" applyFill="1" applyBorder="1" applyProtection="1">
      <protection locked="0"/>
    </xf>
    <xf numFmtId="3" fontId="32" fillId="3" borderId="13" xfId="0" applyNumberFormat="1" applyFont="1" applyFill="1" applyBorder="1" applyProtection="1">
      <protection locked="0"/>
    </xf>
    <xf numFmtId="3" fontId="5" fillId="2" borderId="0" xfId="0" applyNumberFormat="1" applyFont="1" applyFill="1" applyProtection="1">
      <protection locked="0"/>
    </xf>
    <xf numFmtId="2" fontId="32" fillId="2" borderId="0" xfId="0" applyNumberFormat="1" applyFont="1" applyFill="1"/>
    <xf numFmtId="2" fontId="5" fillId="0" borderId="0" xfId="0" applyNumberFormat="1" applyFont="1"/>
    <xf numFmtId="0" fontId="41" fillId="0" borderId="0" xfId="0" applyFont="1" applyAlignment="1">
      <alignment wrapText="1"/>
    </xf>
    <xf numFmtId="3" fontId="32" fillId="2" borderId="4" xfId="0" applyNumberFormat="1" applyFont="1" applyFill="1" applyBorder="1" applyProtection="1">
      <protection locked="0"/>
    </xf>
    <xf numFmtId="1" fontId="5" fillId="5" borderId="0" xfId="0" applyNumberFormat="1" applyFont="1" applyFill="1" applyAlignment="1">
      <alignment horizontal="center"/>
    </xf>
    <xf numFmtId="1" fontId="5" fillId="5" borderId="0" xfId="0" applyNumberFormat="1" applyFont="1" applyFill="1"/>
    <xf numFmtId="1" fontId="5" fillId="5" borderId="0" xfId="0" applyNumberFormat="1" applyFont="1" applyFill="1" applyAlignment="1">
      <alignment horizontal="right"/>
    </xf>
    <xf numFmtId="0" fontId="5" fillId="5" borderId="0" xfId="0" applyFont="1" applyFill="1" applyAlignment="1">
      <alignment horizontal="center"/>
    </xf>
    <xf numFmtId="0" fontId="5" fillId="5" borderId="0" xfId="0" applyFont="1" applyFill="1" applyAlignment="1">
      <alignment horizontal="center" vertical="center" wrapText="1"/>
    </xf>
    <xf numFmtId="170" fontId="15" fillId="5" borderId="0" xfId="0" applyNumberFormat="1" applyFont="1" applyFill="1"/>
    <xf numFmtId="3" fontId="5" fillId="5" borderId="0" xfId="0" applyNumberFormat="1" applyFont="1" applyFill="1"/>
    <xf numFmtId="3" fontId="5" fillId="2" borderId="6" xfId="0" applyNumberFormat="1" applyFont="1" applyFill="1" applyBorder="1"/>
    <xf numFmtId="0" fontId="51" fillId="0" borderId="0" xfId="0" applyFont="1"/>
    <xf numFmtId="0" fontId="53" fillId="0" borderId="0" xfId="0" applyFont="1"/>
    <xf numFmtId="0" fontId="24" fillId="0" borderId="0" xfId="0" applyFont="1"/>
    <xf numFmtId="3" fontId="24" fillId="0" borderId="0" xfId="0" applyNumberFormat="1" applyFont="1"/>
    <xf numFmtId="166" fontId="24" fillId="0" borderId="0" xfId="0" applyNumberFormat="1" applyFont="1"/>
    <xf numFmtId="167" fontId="24" fillId="0" borderId="0" xfId="0" applyNumberFormat="1" applyFont="1" applyAlignment="1">
      <alignment horizontal="center"/>
    </xf>
    <xf numFmtId="49" fontId="24" fillId="0" borderId="0" xfId="0" quotePrefix="1" applyNumberFormat="1" applyFont="1"/>
    <xf numFmtId="167" fontId="24" fillId="0" borderId="0" xfId="0" quotePrefix="1" applyNumberFormat="1" applyFont="1" applyAlignment="1">
      <alignment horizontal="center"/>
    </xf>
    <xf numFmtId="0" fontId="55" fillId="0" borderId="0" xfId="0" applyFont="1" applyAlignment="1">
      <alignment horizontal="center"/>
    </xf>
    <xf numFmtId="0" fontId="55" fillId="0" borderId="0" xfId="0" applyFont="1"/>
    <xf numFmtId="0" fontId="24" fillId="0" borderId="0" xfId="0" applyFont="1" applyAlignment="1">
      <alignment horizontal="center"/>
    </xf>
    <xf numFmtId="49" fontId="24" fillId="0" borderId="0" xfId="0" applyNumberFormat="1" applyFont="1"/>
    <xf numFmtId="167" fontId="53" fillId="0" borderId="0" xfId="0" applyNumberFormat="1" applyFont="1" applyAlignment="1">
      <alignment horizontal="center"/>
    </xf>
    <xf numFmtId="0" fontId="24" fillId="0" borderId="0" xfId="0" applyFont="1" applyAlignment="1">
      <alignment horizontal="left"/>
    </xf>
    <xf numFmtId="0" fontId="55" fillId="0" borderId="0" xfId="0" applyFont="1" applyAlignment="1">
      <alignment horizontal="right"/>
    </xf>
    <xf numFmtId="0" fontId="55" fillId="0" borderId="0" xfId="0" applyFont="1" applyAlignment="1">
      <alignment horizontal="left"/>
    </xf>
    <xf numFmtId="167" fontId="55" fillId="0" borderId="0" xfId="0" applyNumberFormat="1" applyFont="1" applyAlignment="1">
      <alignment horizontal="center"/>
    </xf>
    <xf numFmtId="0" fontId="46" fillId="0" borderId="0" xfId="0" applyFont="1" applyAlignment="1">
      <alignment wrapText="1"/>
    </xf>
    <xf numFmtId="170" fontId="5" fillId="0" borderId="0" xfId="0" applyNumberFormat="1" applyFont="1" applyAlignment="1">
      <alignment horizontal="left" vertical="center" wrapText="1"/>
    </xf>
    <xf numFmtId="0" fontId="40" fillId="0" borderId="0" xfId="0" applyFont="1" applyAlignment="1">
      <alignment vertical="top" wrapText="1"/>
    </xf>
    <xf numFmtId="3" fontId="32" fillId="2" borderId="5" xfId="0" applyNumberFormat="1" applyFont="1" applyFill="1" applyBorder="1" applyProtection="1">
      <protection locked="0"/>
    </xf>
    <xf numFmtId="0" fontId="5" fillId="0" borderId="0" xfId="0" applyFont="1" applyAlignment="1">
      <alignment horizontal="left" vertical="top" wrapText="1"/>
    </xf>
    <xf numFmtId="1" fontId="5" fillId="5" borderId="0" xfId="0" applyNumberFormat="1" applyFont="1" applyFill="1" applyAlignment="1">
      <alignment horizontal="center" vertical="center"/>
    </xf>
    <xf numFmtId="0" fontId="57" fillId="5" borderId="0" xfId="0" applyFont="1" applyFill="1" applyAlignment="1">
      <alignment vertical="center"/>
    </xf>
    <xf numFmtId="0" fontId="5" fillId="0" borderId="0" xfId="0" applyFont="1" applyAlignment="1">
      <alignment vertical="center" wrapText="1"/>
    </xf>
    <xf numFmtId="0" fontId="5" fillId="0" borderId="0" xfId="0" applyFont="1" applyAlignment="1">
      <alignment horizontal="left" vertical="center" wrapText="1"/>
    </xf>
    <xf numFmtId="0" fontId="59" fillId="0" borderId="0" xfId="0" applyFont="1" applyAlignment="1">
      <alignment vertical="center" wrapText="1"/>
    </xf>
    <xf numFmtId="0" fontId="32" fillId="0" borderId="0" xfId="0" applyFont="1" applyAlignment="1">
      <alignment vertical="center" wrapText="1"/>
    </xf>
    <xf numFmtId="0" fontId="59" fillId="5" borderId="0" xfId="0" applyFont="1" applyFill="1" applyAlignment="1">
      <alignment vertical="center"/>
    </xf>
    <xf numFmtId="0" fontId="60" fillId="5" borderId="0" xfId="0" applyFont="1" applyFill="1" applyAlignment="1">
      <alignment vertical="center"/>
    </xf>
    <xf numFmtId="0" fontId="5" fillId="5" borderId="0" xfId="0" applyFont="1" applyFill="1" applyAlignment="1">
      <alignment horizontal="right"/>
    </xf>
    <xf numFmtId="167" fontId="5" fillId="5" borderId="0" xfId="0" applyNumberFormat="1" applyFont="1" applyFill="1" applyAlignment="1">
      <alignment horizontal="right"/>
    </xf>
    <xf numFmtId="167" fontId="32" fillId="5" borderId="0" xfId="0" applyNumberFormat="1" applyFont="1" applyFill="1" applyAlignment="1">
      <alignment horizontal="right"/>
    </xf>
    <xf numFmtId="0" fontId="51" fillId="9" borderId="19" xfId="0" applyFont="1" applyFill="1" applyBorder="1" applyAlignment="1">
      <alignment horizontal="left"/>
    </xf>
    <xf numFmtId="0" fontId="52" fillId="9" borderId="20" xfId="0" applyFont="1" applyFill="1" applyBorder="1"/>
    <xf numFmtId="0" fontId="52" fillId="9" borderId="25" xfId="0" applyFont="1" applyFill="1" applyBorder="1"/>
    <xf numFmtId="0" fontId="53" fillId="9" borderId="22" xfId="0" applyFont="1" applyFill="1" applyBorder="1" applyAlignment="1">
      <alignment horizontal="center"/>
    </xf>
    <xf numFmtId="0" fontId="54" fillId="9" borderId="0" xfId="0" applyFont="1" applyFill="1"/>
    <xf numFmtId="0" fontId="54" fillId="9" borderId="26" xfId="0" applyFont="1" applyFill="1" applyBorder="1" applyAlignment="1">
      <alignment horizontal="center"/>
    </xf>
    <xf numFmtId="0" fontId="54" fillId="9" borderId="0" xfId="0" applyFont="1" applyFill="1" applyAlignment="1">
      <alignment horizontal="center"/>
    </xf>
    <xf numFmtId="0" fontId="54" fillId="9" borderId="26" xfId="0" applyFont="1" applyFill="1" applyBorder="1"/>
    <xf numFmtId="0" fontId="54" fillId="9" borderId="23" xfId="0" applyFont="1" applyFill="1" applyBorder="1"/>
    <xf numFmtId="49" fontId="24" fillId="10" borderId="22" xfId="0" applyNumberFormat="1" applyFont="1" applyFill="1" applyBorder="1" applyAlignment="1">
      <alignment horizontal="center"/>
    </xf>
    <xf numFmtId="49" fontId="24" fillId="10" borderId="0" xfId="0" applyNumberFormat="1" applyFont="1" applyFill="1"/>
    <xf numFmtId="49" fontId="24" fillId="10" borderId="11" xfId="0" applyNumberFormat="1" applyFont="1" applyFill="1" applyBorder="1" applyAlignment="1">
      <alignment horizontal="center"/>
    </xf>
    <xf numFmtId="167" fontId="53" fillId="11" borderId="0" xfId="0" applyNumberFormat="1" applyFont="1" applyFill="1" applyAlignment="1">
      <alignment horizontal="center"/>
    </xf>
    <xf numFmtId="49" fontId="24" fillId="10" borderId="11" xfId="0" quotePrefix="1" applyNumberFormat="1" applyFont="1" applyFill="1" applyBorder="1"/>
    <xf numFmtId="167" fontId="53" fillId="11" borderId="0" xfId="0" quotePrefix="1" applyNumberFormat="1" applyFont="1" applyFill="1" applyAlignment="1">
      <alignment horizontal="center"/>
    </xf>
    <xf numFmtId="49" fontId="24" fillId="10" borderId="23" xfId="0" quotePrefix="1" applyNumberFormat="1" applyFont="1" applyFill="1" applyBorder="1"/>
    <xf numFmtId="49" fontId="24" fillId="10" borderId="11" xfId="0" applyNumberFormat="1" applyFont="1" applyFill="1" applyBorder="1"/>
    <xf numFmtId="49" fontId="24" fillId="10" borderId="23" xfId="0" applyNumberFormat="1" applyFont="1" applyFill="1" applyBorder="1"/>
    <xf numFmtId="0" fontId="24" fillId="10" borderId="0" xfId="0" applyFont="1" applyFill="1"/>
    <xf numFmtId="166" fontId="24" fillId="10" borderId="11" xfId="0" quotePrefix="1" applyNumberFormat="1" applyFont="1" applyFill="1" applyBorder="1"/>
    <xf numFmtId="166" fontId="24" fillId="10" borderId="23" xfId="0" quotePrefix="1" applyNumberFormat="1" applyFont="1" applyFill="1" applyBorder="1"/>
    <xf numFmtId="0" fontId="24" fillId="10" borderId="11" xfId="0" applyFont="1" applyFill="1" applyBorder="1" applyAlignment="1">
      <alignment horizontal="center"/>
    </xf>
    <xf numFmtId="49" fontId="38" fillId="10" borderId="11" xfId="0" quotePrefix="1" applyNumberFormat="1" applyFont="1" applyFill="1" applyBorder="1"/>
    <xf numFmtId="49" fontId="38" fillId="10" borderId="23" xfId="0" quotePrefix="1" applyNumberFormat="1" applyFont="1" applyFill="1" applyBorder="1"/>
    <xf numFmtId="49" fontId="24" fillId="10" borderId="27" xfId="0" applyNumberFormat="1" applyFont="1" applyFill="1" applyBorder="1" applyAlignment="1">
      <alignment horizontal="center"/>
    </xf>
    <xf numFmtId="0" fontId="24" fillId="10" borderId="28" xfId="0" applyFont="1" applyFill="1" applyBorder="1"/>
    <xf numFmtId="49" fontId="24" fillId="10" borderId="29" xfId="0" applyNumberFormat="1" applyFont="1" applyFill="1" applyBorder="1" applyAlignment="1">
      <alignment horizontal="center"/>
    </xf>
    <xf numFmtId="167" fontId="53" fillId="11" borderId="28" xfId="0" applyNumberFormat="1" applyFont="1" applyFill="1" applyBorder="1" applyAlignment="1">
      <alignment horizontal="center"/>
    </xf>
    <xf numFmtId="166" fontId="24" fillId="10" borderId="29" xfId="0" quotePrefix="1" applyNumberFormat="1" applyFont="1" applyFill="1" applyBorder="1"/>
    <xf numFmtId="167" fontId="53" fillId="11" borderId="28" xfId="0" quotePrefix="1" applyNumberFormat="1" applyFont="1" applyFill="1" applyBorder="1" applyAlignment="1">
      <alignment horizontal="center"/>
    </xf>
    <xf numFmtId="166" fontId="24" fillId="10" borderId="30" xfId="0" quotePrefix="1" applyNumberFormat="1" applyFont="1" applyFill="1" applyBorder="1"/>
    <xf numFmtId="0" fontId="24" fillId="9" borderId="20" xfId="0" applyFont="1" applyFill="1" applyBorder="1"/>
    <xf numFmtId="0" fontId="52" fillId="9" borderId="31" xfId="0" applyFont="1" applyFill="1" applyBorder="1"/>
    <xf numFmtId="49" fontId="53" fillId="9" borderId="31" xfId="0" quotePrefix="1" applyNumberFormat="1" applyFont="1" applyFill="1" applyBorder="1"/>
    <xf numFmtId="167" fontId="53" fillId="9" borderId="11" xfId="0" applyNumberFormat="1" applyFont="1" applyFill="1" applyBorder="1" applyAlignment="1">
      <alignment horizontal="center"/>
    </xf>
    <xf numFmtId="49" fontId="53" fillId="9" borderId="11" xfId="0" quotePrefix="1" applyNumberFormat="1" applyFont="1" applyFill="1" applyBorder="1"/>
    <xf numFmtId="167" fontId="24" fillId="10" borderId="11" xfId="0" applyNumberFormat="1" applyFont="1" applyFill="1" applyBorder="1" applyAlignment="1">
      <alignment horizontal="center"/>
    </xf>
    <xf numFmtId="0" fontId="24" fillId="10" borderId="11" xfId="0" applyFont="1" applyFill="1" applyBorder="1"/>
    <xf numFmtId="0" fontId="24" fillId="10" borderId="23" xfId="0" applyFont="1" applyFill="1" applyBorder="1"/>
    <xf numFmtId="49" fontId="24" fillId="10" borderId="28" xfId="0" applyNumberFormat="1" applyFont="1" applyFill="1" applyBorder="1"/>
    <xf numFmtId="167" fontId="24" fillId="10" borderId="29" xfId="0" applyNumberFormat="1" applyFont="1" applyFill="1" applyBorder="1" applyAlignment="1">
      <alignment horizontal="center"/>
    </xf>
    <xf numFmtId="0" fontId="24" fillId="10" borderId="29" xfId="0" applyFont="1" applyFill="1" applyBorder="1"/>
    <xf numFmtId="0" fontId="24" fillId="10" borderId="30" xfId="0" applyFont="1" applyFill="1" applyBorder="1"/>
    <xf numFmtId="49" fontId="53" fillId="9" borderId="25" xfId="0" quotePrefix="1" applyNumberFormat="1" applyFont="1" applyFill="1" applyBorder="1"/>
    <xf numFmtId="49" fontId="53" fillId="9" borderId="26" xfId="0" quotePrefix="1" applyNumberFormat="1" applyFont="1" applyFill="1" applyBorder="1"/>
    <xf numFmtId="0" fontId="24" fillId="10" borderId="0" xfId="0" applyFont="1" applyFill="1" applyAlignment="1">
      <alignment horizontal="left"/>
    </xf>
    <xf numFmtId="0" fontId="24" fillId="10" borderId="29" xfId="0" applyFont="1" applyFill="1" applyBorder="1" applyAlignment="1">
      <alignment horizontal="center"/>
    </xf>
    <xf numFmtId="0" fontId="24" fillId="10" borderId="28" xfId="0" applyFont="1" applyFill="1" applyBorder="1" applyAlignment="1">
      <alignment horizontal="left"/>
    </xf>
    <xf numFmtId="0" fontId="24" fillId="10" borderId="22" xfId="0" applyFont="1" applyFill="1" applyBorder="1" applyAlignment="1">
      <alignment horizontal="center"/>
    </xf>
    <xf numFmtId="0" fontId="24" fillId="10" borderId="11" xfId="0" applyFont="1" applyFill="1" applyBorder="1" applyAlignment="1">
      <alignment horizontal="left"/>
    </xf>
    <xf numFmtId="0" fontId="24" fillId="10" borderId="23" xfId="0" applyFont="1" applyFill="1" applyBorder="1" applyAlignment="1">
      <alignment horizontal="left"/>
    </xf>
    <xf numFmtId="0" fontId="24" fillId="0" borderId="0" xfId="0" quotePrefix="1" applyFont="1"/>
    <xf numFmtId="0" fontId="24" fillId="10" borderId="29" xfId="0" applyFont="1" applyFill="1" applyBorder="1" applyAlignment="1">
      <alignment horizontal="left"/>
    </xf>
    <xf numFmtId="0" fontId="24" fillId="10" borderId="30" xfId="0" applyFont="1" applyFill="1" applyBorder="1" applyAlignment="1">
      <alignment horizontal="left"/>
    </xf>
    <xf numFmtId="166" fontId="51" fillId="9" borderId="19" xfId="0" applyNumberFormat="1" applyFont="1" applyFill="1" applyBorder="1"/>
    <xf numFmtId="0" fontId="53" fillId="9" borderId="20" xfId="0" applyFont="1" applyFill="1" applyBorder="1"/>
    <xf numFmtId="167" fontId="53" fillId="9" borderId="20" xfId="0" applyNumberFormat="1" applyFont="1" applyFill="1" applyBorder="1" applyAlignment="1">
      <alignment horizontal="center"/>
    </xf>
    <xf numFmtId="167" fontId="53" fillId="9" borderId="20" xfId="0" quotePrefix="1" applyNumberFormat="1" applyFont="1" applyFill="1" applyBorder="1" applyAlignment="1">
      <alignment horizontal="center"/>
    </xf>
    <xf numFmtId="49" fontId="53" fillId="9" borderId="20" xfId="0" quotePrefix="1" applyNumberFormat="1" applyFont="1" applyFill="1" applyBorder="1"/>
    <xf numFmtId="49" fontId="53" fillId="9" borderId="21" xfId="0" quotePrefix="1" applyNumberFormat="1" applyFont="1" applyFill="1" applyBorder="1"/>
    <xf numFmtId="0" fontId="53" fillId="9" borderId="22" xfId="0" applyFont="1" applyFill="1" applyBorder="1"/>
    <xf numFmtId="49" fontId="53" fillId="9" borderId="0" xfId="0" applyNumberFormat="1" applyFont="1" applyFill="1"/>
    <xf numFmtId="0" fontId="53" fillId="9" borderId="0" xfId="0" applyFont="1" applyFill="1" applyAlignment="1">
      <alignment horizontal="center"/>
    </xf>
    <xf numFmtId="49" fontId="53" fillId="9" borderId="26" xfId="0" applyNumberFormat="1" applyFont="1" applyFill="1" applyBorder="1"/>
    <xf numFmtId="0" fontId="53" fillId="9" borderId="0" xfId="0" applyFont="1" applyFill="1"/>
    <xf numFmtId="49" fontId="53" fillId="9" borderId="23" xfId="0" applyNumberFormat="1" applyFont="1" applyFill="1" applyBorder="1"/>
    <xf numFmtId="0" fontId="24" fillId="10" borderId="22" xfId="0" applyFont="1" applyFill="1" applyBorder="1"/>
    <xf numFmtId="0" fontId="24" fillId="10" borderId="0" xfId="0" applyFont="1" applyFill="1" applyAlignment="1">
      <alignment horizontal="center"/>
    </xf>
    <xf numFmtId="167" fontId="24" fillId="12" borderId="0" xfId="3" applyNumberFormat="1" applyFont="1" applyFill="1" applyBorder="1" applyAlignment="1">
      <alignment horizontal="right"/>
    </xf>
    <xf numFmtId="0" fontId="24" fillId="10" borderId="0" xfId="0" quotePrefix="1" applyFont="1" applyFill="1" applyAlignment="1">
      <alignment horizontal="center"/>
    </xf>
    <xf numFmtId="166" fontId="24" fillId="12" borderId="0" xfId="3" applyNumberFormat="1" applyFont="1" applyFill="1" applyBorder="1" applyAlignment="1">
      <alignment horizontal="right"/>
    </xf>
    <xf numFmtId="166" fontId="55" fillId="12" borderId="0" xfId="3" applyNumberFormat="1" applyFont="1" applyFill="1" applyBorder="1" applyAlignment="1">
      <alignment horizontal="right"/>
    </xf>
    <xf numFmtId="167" fontId="24" fillId="12" borderId="0" xfId="3" applyNumberFormat="1" applyFont="1" applyFill="1" applyBorder="1"/>
    <xf numFmtId="167" fontId="24" fillId="13" borderId="0" xfId="3" applyNumberFormat="1" applyFont="1" applyFill="1" applyBorder="1"/>
    <xf numFmtId="2" fontId="24" fillId="13" borderId="0" xfId="3" applyNumberFormat="1" applyFont="1" applyFill="1" applyBorder="1"/>
    <xf numFmtId="2" fontId="24" fillId="13" borderId="0" xfId="0" applyNumberFormat="1" applyFont="1" applyFill="1"/>
    <xf numFmtId="167" fontId="24" fillId="13" borderId="0" xfId="0" applyNumberFormat="1" applyFont="1" applyFill="1"/>
    <xf numFmtId="0" fontId="24" fillId="10" borderId="0" xfId="0" quotePrefix="1" applyFont="1" applyFill="1" applyAlignment="1">
      <alignment horizontal="right"/>
    </xf>
    <xf numFmtId="0" fontId="24" fillId="10" borderId="0" xfId="0" quotePrefix="1" applyFont="1" applyFill="1" applyAlignment="1">
      <alignment horizontal="left"/>
    </xf>
    <xf numFmtId="0" fontId="24" fillId="10" borderId="0" xfId="0" applyFont="1" applyFill="1" applyAlignment="1">
      <alignment horizontal="center" vertical="center"/>
    </xf>
    <xf numFmtId="167" fontId="24" fillId="12" borderId="0" xfId="3" applyNumberFormat="1" applyFont="1" applyFill="1" applyBorder="1" applyAlignment="1">
      <alignment vertical="center"/>
    </xf>
    <xf numFmtId="167" fontId="24" fillId="13" borderId="0" xfId="4" applyNumberFormat="1" applyFont="1" applyFill="1" applyBorder="1" applyAlignment="1">
      <alignment horizontal="right"/>
    </xf>
    <xf numFmtId="0" fontId="24" fillId="10" borderId="22" xfId="0" applyFont="1" applyFill="1" applyBorder="1" applyAlignment="1">
      <alignment horizontal="left"/>
    </xf>
    <xf numFmtId="0" fontId="24" fillId="12" borderId="0" xfId="3" applyFont="1" applyFill="1" applyBorder="1" applyAlignment="1">
      <alignment horizontal="right"/>
    </xf>
    <xf numFmtId="0" fontId="24" fillId="12" borderId="0" xfId="0" applyFont="1" applyFill="1"/>
    <xf numFmtId="1" fontId="24" fillId="13" borderId="0" xfId="0" applyNumberFormat="1" applyFont="1" applyFill="1"/>
    <xf numFmtId="9" fontId="24" fillId="12" borderId="0" xfId="0" applyNumberFormat="1" applyFont="1" applyFill="1"/>
    <xf numFmtId="9" fontId="24" fillId="13" borderId="0" xfId="0" applyNumberFormat="1" applyFont="1" applyFill="1"/>
    <xf numFmtId="171" fontId="24" fillId="13" borderId="0" xfId="0" applyNumberFormat="1" applyFont="1" applyFill="1"/>
    <xf numFmtId="0" fontId="24" fillId="13" borderId="0" xfId="0" applyFont="1" applyFill="1"/>
    <xf numFmtId="0" fontId="24" fillId="10" borderId="27" xfId="0" applyFont="1" applyFill="1" applyBorder="1" applyAlignment="1">
      <alignment horizontal="left"/>
    </xf>
    <xf numFmtId="0" fontId="24" fillId="10" borderId="28" xfId="0" applyFont="1" applyFill="1" applyBorder="1" applyAlignment="1">
      <alignment horizontal="center"/>
    </xf>
    <xf numFmtId="0" fontId="24" fillId="12" borderId="28" xfId="0" applyFont="1" applyFill="1" applyBorder="1"/>
    <xf numFmtId="0" fontId="24" fillId="13" borderId="28" xfId="0" applyFont="1" applyFill="1" applyBorder="1"/>
    <xf numFmtId="170" fontId="5" fillId="5" borderId="0" xfId="0" quotePrefix="1" applyNumberFormat="1" applyFont="1" applyFill="1" applyAlignment="1">
      <alignment horizontal="left"/>
    </xf>
    <xf numFmtId="49" fontId="42" fillId="5" borderId="0" xfId="0" quotePrefix="1" applyNumberFormat="1" applyFont="1" applyFill="1"/>
    <xf numFmtId="167" fontId="5" fillId="5" borderId="0" xfId="0" applyNumberFormat="1" applyFont="1" applyFill="1" applyAlignment="1">
      <alignment vertical="top" wrapText="1"/>
    </xf>
    <xf numFmtId="49" fontId="24" fillId="5" borderId="0" xfId="0" quotePrefix="1" applyNumberFormat="1" applyFont="1" applyFill="1"/>
    <xf numFmtId="0" fontId="5" fillId="6" borderId="0" xfId="0" applyFont="1" applyFill="1" applyAlignment="1">
      <alignment wrapText="1"/>
    </xf>
    <xf numFmtId="2" fontId="4" fillId="5" borderId="0" xfId="0" applyNumberFormat="1" applyFont="1" applyFill="1" applyAlignment="1">
      <alignment horizontal="left" vertical="center" wrapText="1"/>
    </xf>
    <xf numFmtId="0" fontId="0" fillId="5" borderId="0" xfId="0" applyFill="1" applyAlignment="1">
      <alignment horizontal="left" vertical="center" wrapText="1"/>
    </xf>
    <xf numFmtId="0" fontId="15" fillId="2" borderId="4" xfId="0" applyFont="1" applyFill="1" applyBorder="1" applyAlignment="1">
      <alignment vertical="top" wrapText="1"/>
    </xf>
    <xf numFmtId="3" fontId="66" fillId="2" borderId="0" xfId="0" applyNumberFormat="1" applyFont="1" applyFill="1" applyProtection="1">
      <protection locked="0"/>
    </xf>
    <xf numFmtId="0" fontId="5" fillId="14" borderId="0" xfId="0" applyFont="1" applyFill="1" applyAlignment="1">
      <alignment vertical="top" wrapText="1"/>
    </xf>
    <xf numFmtId="0" fontId="0" fillId="14" borderId="0" xfId="0" applyFill="1" applyAlignment="1">
      <alignment vertical="top" wrapText="1"/>
    </xf>
    <xf numFmtId="0" fontId="8" fillId="14" borderId="0" xfId="0" applyFont="1" applyFill="1" applyAlignment="1">
      <alignment vertical="top" wrapText="1"/>
    </xf>
    <xf numFmtId="0" fontId="8" fillId="14" borderId="0" xfId="0" applyFont="1" applyFill="1"/>
    <xf numFmtId="0" fontId="8" fillId="14" borderId="0" xfId="0" applyFont="1" applyFill="1" applyAlignment="1">
      <alignment wrapText="1"/>
    </xf>
    <xf numFmtId="0" fontId="11" fillId="2" borderId="0" xfId="0" applyFont="1" applyFill="1" applyAlignment="1">
      <alignment horizontal="left" vertical="center" wrapText="1"/>
    </xf>
    <xf numFmtId="0" fontId="11" fillId="2" borderId="0" xfId="0" applyFont="1" applyFill="1" applyAlignment="1">
      <alignment horizontal="left" vertical="top" wrapText="1"/>
    </xf>
    <xf numFmtId="49" fontId="5" fillId="3" borderId="10" xfId="0" applyNumberFormat="1" applyFont="1" applyFill="1" applyBorder="1" applyProtection="1">
      <protection locked="0"/>
    </xf>
    <xf numFmtId="49" fontId="5" fillId="3" borderId="0" xfId="0" applyNumberFormat="1" applyFont="1" applyFill="1" applyProtection="1">
      <protection locked="0"/>
    </xf>
    <xf numFmtId="49" fontId="5" fillId="3" borderId="11" xfId="0" applyNumberFormat="1" applyFont="1" applyFill="1" applyBorder="1" applyProtection="1">
      <protection locked="0"/>
    </xf>
    <xf numFmtId="0" fontId="5" fillId="3" borderId="1" xfId="0" applyFont="1" applyFill="1"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3" fontId="5" fillId="3" borderId="1" xfId="0" applyNumberFormat="1" applyFont="1" applyFill="1" applyBorder="1" applyAlignment="1" applyProtection="1">
      <alignment horizontal="left" vertical="top" wrapText="1"/>
      <protection locked="0"/>
    </xf>
    <xf numFmtId="0" fontId="0" fillId="3" borderId="2" xfId="0" applyFill="1" applyBorder="1" applyAlignment="1" applyProtection="1">
      <alignment vertical="top" wrapText="1"/>
      <protection locked="0"/>
    </xf>
    <xf numFmtId="0" fontId="0" fillId="3" borderId="3" xfId="0" applyFill="1" applyBorder="1" applyAlignment="1" applyProtection="1">
      <alignment vertical="top" wrapText="1"/>
      <protection locked="0"/>
    </xf>
    <xf numFmtId="49" fontId="5" fillId="3" borderId="1" xfId="0" applyNumberFormat="1" applyFont="1" applyFill="1" applyBorder="1" applyAlignment="1" applyProtection="1">
      <alignment vertical="top" wrapText="1"/>
      <protection locked="0"/>
    </xf>
    <xf numFmtId="49" fontId="5" fillId="3" borderId="2" xfId="0" applyNumberFormat="1" applyFont="1" applyFill="1" applyBorder="1" applyAlignment="1" applyProtection="1">
      <alignment vertical="top" wrapText="1"/>
      <protection locked="0"/>
    </xf>
    <xf numFmtId="49" fontId="5" fillId="3" borderId="7" xfId="0" applyNumberFormat="1" applyFont="1" applyFill="1" applyBorder="1" applyProtection="1">
      <protection locked="0"/>
    </xf>
    <xf numFmtId="49" fontId="5" fillId="3" borderId="8" xfId="0" applyNumberFormat="1" applyFont="1" applyFill="1" applyBorder="1" applyProtection="1">
      <protection locked="0"/>
    </xf>
    <xf numFmtId="49" fontId="5" fillId="3" borderId="9" xfId="0" applyNumberFormat="1" applyFont="1" applyFill="1" applyBorder="1" applyProtection="1">
      <protection locked="0"/>
    </xf>
    <xf numFmtId="0" fontId="5" fillId="3" borderId="10" xfId="0" applyFont="1" applyFill="1" applyBorder="1" applyProtection="1">
      <protection locked="0"/>
    </xf>
    <xf numFmtId="0" fontId="5" fillId="3" borderId="0" xfId="0" applyFont="1" applyFill="1" applyProtection="1">
      <protection locked="0"/>
    </xf>
    <xf numFmtId="0" fontId="5" fillId="3" borderId="11" xfId="0" applyFont="1" applyFill="1" applyBorder="1" applyProtection="1">
      <protection locked="0"/>
    </xf>
    <xf numFmtId="49" fontId="0" fillId="3" borderId="0" xfId="0" applyNumberFormat="1" applyFill="1" applyProtection="1">
      <protection locked="0"/>
    </xf>
    <xf numFmtId="49" fontId="0" fillId="3" borderId="11" xfId="0" applyNumberFormat="1" applyFill="1" applyBorder="1" applyProtection="1">
      <protection locked="0"/>
    </xf>
    <xf numFmtId="49" fontId="5" fillId="3" borderId="12" xfId="0" applyNumberFormat="1" applyFont="1" applyFill="1" applyBorder="1" applyProtection="1">
      <protection locked="0"/>
    </xf>
    <xf numFmtId="49" fontId="0" fillId="3" borderId="13" xfId="0" applyNumberFormat="1" applyFill="1" applyBorder="1" applyProtection="1">
      <protection locked="0"/>
    </xf>
    <xf numFmtId="49" fontId="0" fillId="3" borderId="14" xfId="0" applyNumberFormat="1" applyFill="1" applyBorder="1" applyProtection="1">
      <protection locked="0"/>
    </xf>
    <xf numFmtId="0" fontId="4" fillId="2" borderId="0" xfId="0" applyFont="1" applyFill="1"/>
    <xf numFmtId="0" fontId="0" fillId="2" borderId="0" xfId="0" applyFill="1"/>
    <xf numFmtId="49" fontId="5" fillId="3" borderId="1" xfId="0" applyNumberFormat="1" applyFont="1" applyFill="1" applyBorder="1" applyProtection="1">
      <protection locked="0"/>
    </xf>
    <xf numFmtId="49" fontId="0" fillId="3" borderId="2" xfId="0" applyNumberFormat="1" applyFill="1" applyBorder="1" applyProtection="1">
      <protection locked="0"/>
    </xf>
    <xf numFmtId="49" fontId="0" fillId="3" borderId="3" xfId="0" applyNumberFormat="1" applyFill="1" applyBorder="1" applyProtection="1">
      <protection locked="0"/>
    </xf>
    <xf numFmtId="0" fontId="5" fillId="2" borderId="1" xfId="0" applyFont="1" applyFill="1" applyBorder="1"/>
    <xf numFmtId="0" fontId="32" fillId="2" borderId="2" xfId="0" applyFont="1" applyFill="1" applyBorder="1"/>
    <xf numFmtId="0" fontId="32" fillId="2" borderId="3" xfId="0" applyFont="1" applyFill="1" applyBorder="1"/>
    <xf numFmtId="0" fontId="5" fillId="3" borderId="7" xfId="0" applyFont="1" applyFill="1" applyBorder="1" applyProtection="1">
      <protection locked="0"/>
    </xf>
    <xf numFmtId="0" fontId="5" fillId="3" borderId="8" xfId="0" applyFont="1" applyFill="1" applyBorder="1" applyProtection="1">
      <protection locked="0"/>
    </xf>
    <xf numFmtId="0" fontId="5" fillId="3" borderId="9" xfId="0" applyFont="1" applyFill="1" applyBorder="1" applyProtection="1">
      <protection locked="0"/>
    </xf>
    <xf numFmtId="0" fontId="32" fillId="3" borderId="0" xfId="0" applyFont="1" applyFill="1" applyProtection="1">
      <protection locked="0"/>
    </xf>
    <xf numFmtId="0" fontId="32" fillId="3" borderId="11" xfId="0" applyFont="1" applyFill="1" applyBorder="1" applyProtection="1">
      <protection locked="0"/>
    </xf>
    <xf numFmtId="0" fontId="5" fillId="3" borderId="12" xfId="0" applyFont="1" applyFill="1" applyBorder="1" applyProtection="1">
      <protection locked="0"/>
    </xf>
    <xf numFmtId="0" fontId="32" fillId="3" borderId="13" xfId="0" applyFont="1" applyFill="1" applyBorder="1" applyProtection="1">
      <protection locked="0"/>
    </xf>
    <xf numFmtId="0" fontId="32" fillId="3" borderId="14" xfId="0" applyFont="1" applyFill="1" applyBorder="1" applyProtection="1">
      <protection locked="0"/>
    </xf>
    <xf numFmtId="0" fontId="32" fillId="3" borderId="8" xfId="0" applyFont="1" applyFill="1" applyBorder="1" applyProtection="1">
      <protection locked="0"/>
    </xf>
    <xf numFmtId="0" fontId="32" fillId="3" borderId="9" xfId="0" applyFont="1" applyFill="1" applyBorder="1" applyProtection="1">
      <protection locked="0"/>
    </xf>
    <xf numFmtId="0" fontId="5" fillId="3" borderId="1" xfId="0" applyFont="1" applyFill="1" applyBorder="1" applyAlignment="1" applyProtection="1">
      <alignment horizontal="left" vertical="top"/>
      <protection locked="0"/>
    </xf>
    <xf numFmtId="0" fontId="5" fillId="3" borderId="2" xfId="0" applyFont="1" applyFill="1" applyBorder="1" applyAlignment="1" applyProtection="1">
      <alignment horizontal="left" vertical="top"/>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22" fillId="2" borderId="1" xfId="0" applyFont="1" applyFill="1" applyBorder="1"/>
    <xf numFmtId="0" fontId="21" fillId="2" borderId="2" xfId="0" applyFont="1" applyFill="1" applyBorder="1"/>
    <xf numFmtId="0" fontId="21" fillId="2" borderId="3" xfId="0" applyFont="1" applyFill="1" applyBorder="1"/>
    <xf numFmtId="0" fontId="5" fillId="2" borderId="2" xfId="0" applyFont="1" applyFill="1" applyBorder="1"/>
    <xf numFmtId="0" fontId="5" fillId="2" borderId="3" xfId="0" applyFont="1" applyFill="1" applyBorder="1"/>
    <xf numFmtId="0" fontId="5" fillId="3" borderId="2" xfId="0" applyFont="1" applyFill="1" applyBorder="1" applyProtection="1">
      <protection locked="0"/>
    </xf>
    <xf numFmtId="0" fontId="5" fillId="3" borderId="3" xfId="0" applyFont="1" applyFill="1" applyBorder="1" applyProtection="1">
      <protection locked="0"/>
    </xf>
    <xf numFmtId="0" fontId="5" fillId="2" borderId="0" xfId="0" applyFont="1" applyFill="1"/>
    <xf numFmtId="0" fontId="5" fillId="2" borderId="1" xfId="0" applyFont="1" applyFill="1" applyBorder="1" applyAlignment="1">
      <alignment vertical="top" wrapText="1"/>
    </xf>
    <xf numFmtId="0" fontId="5" fillId="2" borderId="2" xfId="0" applyFont="1" applyFill="1" applyBorder="1" applyAlignment="1">
      <alignment vertical="top" wrapText="1"/>
    </xf>
    <xf numFmtId="0" fontId="5" fillId="2" borderId="3" xfId="0" applyFont="1" applyFill="1" applyBorder="1" applyAlignment="1">
      <alignment vertical="top" wrapText="1"/>
    </xf>
    <xf numFmtId="2" fontId="11" fillId="2" borderId="0" xfId="0" applyNumberFormat="1" applyFont="1" applyFill="1" applyAlignment="1">
      <alignment wrapText="1"/>
    </xf>
    <xf numFmtId="2" fontId="0" fillId="2" borderId="0" xfId="0" applyNumberFormat="1" applyFill="1" applyAlignment="1">
      <alignment wrapText="1"/>
    </xf>
    <xf numFmtId="0" fontId="0" fillId="2" borderId="0" xfId="0" applyFill="1" applyAlignment="1">
      <alignment wrapText="1"/>
    </xf>
    <xf numFmtId="3" fontId="5" fillId="3" borderId="7" xfId="0" applyNumberFormat="1" applyFont="1" applyFill="1" applyBorder="1" applyAlignment="1" applyProtection="1">
      <alignment horizontal="right"/>
      <protection locked="0"/>
    </xf>
    <xf numFmtId="0" fontId="0" fillId="3" borderId="9" xfId="0" applyFill="1" applyBorder="1" applyAlignment="1" applyProtection="1">
      <alignment horizontal="right"/>
      <protection locked="0"/>
    </xf>
    <xf numFmtId="3" fontId="5" fillId="3" borderId="10" xfId="0" applyNumberFormat="1" applyFont="1" applyFill="1" applyBorder="1" applyAlignment="1" applyProtection="1">
      <alignment horizontal="right"/>
      <protection locked="0"/>
    </xf>
    <xf numFmtId="0" fontId="0" fillId="3" borderId="11" xfId="0" applyFill="1" applyBorder="1" applyAlignment="1" applyProtection="1">
      <alignment horizontal="right"/>
      <protection locked="0"/>
    </xf>
    <xf numFmtId="3" fontId="5" fillId="2" borderId="8" xfId="0" applyNumberFormat="1" applyFont="1" applyFill="1" applyBorder="1" applyAlignment="1">
      <alignment horizontal="right"/>
    </xf>
    <xf numFmtId="0" fontId="5" fillId="2" borderId="8" xfId="0" applyFont="1" applyFill="1" applyBorder="1" applyAlignment="1">
      <alignment horizontal="right"/>
    </xf>
    <xf numFmtId="3" fontId="5" fillId="2" borderId="0" xfId="0" applyNumberFormat="1" applyFont="1" applyFill="1" applyAlignment="1">
      <alignment horizontal="right"/>
    </xf>
    <xf numFmtId="0" fontId="0" fillId="2" borderId="0" xfId="0" applyFill="1" applyAlignment="1">
      <alignment horizontal="right"/>
    </xf>
    <xf numFmtId="3" fontId="8" fillId="2" borderId="0" xfId="0" applyNumberFormat="1" applyFont="1" applyFill="1" applyAlignment="1">
      <alignment horizontal="right"/>
    </xf>
    <xf numFmtId="0" fontId="5" fillId="2" borderId="1" xfId="0" applyFont="1"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5" fillId="3" borderId="1" xfId="0" applyFont="1" applyFill="1" applyBorder="1" applyAlignment="1" applyProtection="1">
      <alignment vertical="top" wrapText="1"/>
      <protection locked="0"/>
    </xf>
    <xf numFmtId="0" fontId="5" fillId="3" borderId="2" xfId="0" applyFont="1" applyFill="1" applyBorder="1" applyAlignment="1" applyProtection="1">
      <alignment vertical="top" wrapText="1"/>
      <protection locked="0"/>
    </xf>
    <xf numFmtId="0" fontId="5" fillId="3" borderId="3" xfId="0" applyFont="1" applyFill="1" applyBorder="1" applyAlignment="1" applyProtection="1">
      <alignment vertical="top" wrapText="1"/>
      <protection locked="0"/>
    </xf>
    <xf numFmtId="0" fontId="32" fillId="2" borderId="1" xfId="0" applyFont="1" applyFill="1" applyBorder="1" applyAlignment="1">
      <alignment vertical="top" wrapText="1"/>
    </xf>
    <xf numFmtId="0" fontId="32" fillId="2" borderId="2" xfId="0" applyFont="1" applyFill="1" applyBorder="1" applyAlignment="1">
      <alignment vertical="top" wrapText="1"/>
    </xf>
    <xf numFmtId="0" fontId="32" fillId="2" borderId="3" xfId="0" applyFont="1" applyFill="1" applyBorder="1" applyAlignment="1">
      <alignment vertical="top" wrapText="1"/>
    </xf>
    <xf numFmtId="0" fontId="23" fillId="2" borderId="0" xfId="0" applyFont="1" applyFill="1" applyAlignment="1">
      <alignment wrapText="1"/>
    </xf>
    <xf numFmtId="0" fontId="0" fillId="0" borderId="0" xfId="0" applyAlignment="1">
      <alignment wrapText="1"/>
    </xf>
    <xf numFmtId="0" fontId="5" fillId="2" borderId="7" xfId="0" applyFont="1" applyFill="1" applyBorder="1"/>
    <xf numFmtId="0" fontId="5" fillId="2" borderId="8" xfId="0" applyFont="1" applyFill="1" applyBorder="1"/>
    <xf numFmtId="0" fontId="5" fillId="2" borderId="9" xfId="0" applyFont="1" applyFill="1" applyBorder="1"/>
    <xf numFmtId="0" fontId="5" fillId="2" borderId="10" xfId="0" applyFont="1" applyFill="1" applyBorder="1"/>
    <xf numFmtId="0" fontId="0" fillId="2" borderId="11" xfId="0" applyFill="1" applyBorder="1"/>
    <xf numFmtId="0" fontId="5" fillId="2" borderId="11" xfId="0" applyFont="1" applyFill="1" applyBorder="1"/>
    <xf numFmtId="0" fontId="5" fillId="2" borderId="10" xfId="0" applyFont="1" applyFill="1" applyBorder="1" applyAlignment="1">
      <alignment vertical="center" wrapText="1"/>
    </xf>
    <xf numFmtId="0" fontId="5" fillId="2" borderId="0" xfId="0" applyFont="1" applyFill="1" applyAlignment="1">
      <alignment vertical="center" wrapText="1"/>
    </xf>
    <xf numFmtId="0" fontId="5" fillId="2" borderId="11" xfId="0" applyFont="1" applyFill="1" applyBorder="1" applyAlignment="1">
      <alignment vertical="center" wrapText="1"/>
    </xf>
    <xf numFmtId="3" fontId="5" fillId="2" borderId="10" xfId="0" applyNumberFormat="1" applyFont="1" applyFill="1" applyBorder="1" applyAlignment="1">
      <alignment horizontal="left"/>
    </xf>
    <xf numFmtId="0" fontId="0" fillId="2" borderId="0" xfId="0" applyFill="1" applyAlignment="1">
      <alignment horizontal="left"/>
    </xf>
    <xf numFmtId="165" fontId="0" fillId="2" borderId="13" xfId="0" applyNumberFormat="1" applyFill="1" applyBorder="1" applyAlignment="1">
      <alignment horizontal="left"/>
    </xf>
    <xf numFmtId="49" fontId="5" fillId="3" borderId="13" xfId="0" applyNumberFormat="1" applyFont="1" applyFill="1" applyBorder="1" applyProtection="1">
      <protection locked="0"/>
    </xf>
    <xf numFmtId="49" fontId="5" fillId="3" borderId="14" xfId="0" applyNumberFormat="1" applyFont="1" applyFill="1" applyBorder="1" applyProtection="1">
      <protection locked="0"/>
    </xf>
    <xf numFmtId="0" fontId="5" fillId="2" borderId="13" xfId="0" applyFont="1" applyFill="1" applyBorder="1"/>
    <xf numFmtId="0" fontId="0" fillId="2" borderId="13" xfId="0" applyFill="1" applyBorder="1"/>
    <xf numFmtId="167" fontId="32" fillId="3" borderId="12" xfId="0" applyNumberFormat="1" applyFont="1" applyFill="1" applyBorder="1" applyProtection="1">
      <protection locked="0"/>
    </xf>
    <xf numFmtId="167" fontId="32" fillId="3" borderId="13" xfId="0" applyNumberFormat="1" applyFont="1" applyFill="1" applyBorder="1" applyProtection="1">
      <protection locked="0"/>
    </xf>
    <xf numFmtId="167" fontId="32" fillId="3" borderId="14" xfId="0" applyNumberFormat="1" applyFont="1" applyFill="1" applyBorder="1" applyProtection="1">
      <protection locked="0"/>
    </xf>
    <xf numFmtId="9" fontId="5" fillId="2" borderId="1" xfId="0" applyNumberFormat="1" applyFont="1" applyFill="1" applyBorder="1"/>
    <xf numFmtId="0" fontId="0" fillId="2" borderId="3" xfId="0" applyFill="1" applyBorder="1"/>
    <xf numFmtId="0" fontId="0" fillId="2" borderId="2" xfId="0" applyFill="1" applyBorder="1"/>
    <xf numFmtId="0" fontId="32" fillId="2" borderId="13" xfId="0" applyFont="1" applyFill="1" applyBorder="1"/>
    <xf numFmtId="3" fontId="5" fillId="2" borderId="1" xfId="0" applyNumberFormat="1" applyFont="1" applyFill="1" applyBorder="1"/>
    <xf numFmtId="1" fontId="5" fillId="2" borderId="0" xfId="0" applyNumberFormat="1" applyFont="1" applyFill="1" applyAlignment="1">
      <alignment horizontal="right"/>
    </xf>
    <xf numFmtId="167" fontId="32" fillId="2" borderId="10" xfId="0" applyNumberFormat="1" applyFont="1" applyFill="1" applyBorder="1" applyProtection="1">
      <protection locked="0"/>
    </xf>
    <xf numFmtId="167" fontId="32" fillId="2" borderId="0" xfId="0" applyNumberFormat="1" applyFont="1" applyFill="1" applyProtection="1">
      <protection locked="0"/>
    </xf>
    <xf numFmtId="167" fontId="32" fillId="2" borderId="11" xfId="0" applyNumberFormat="1" applyFont="1" applyFill="1" applyBorder="1" applyProtection="1">
      <protection locked="0"/>
    </xf>
    <xf numFmtId="167" fontId="0" fillId="2" borderId="0" xfId="0" applyNumberFormat="1" applyFill="1" applyProtection="1">
      <protection locked="0"/>
    </xf>
    <xf numFmtId="167" fontId="0" fillId="2" borderId="11" xfId="0" applyNumberFormat="1" applyFill="1" applyBorder="1" applyProtection="1">
      <protection locked="0"/>
    </xf>
    <xf numFmtId="0" fontId="5" fillId="2" borderId="0" xfId="0" applyFont="1" applyFill="1" applyAlignment="1">
      <alignment wrapText="1"/>
    </xf>
    <xf numFmtId="0" fontId="0" fillId="2" borderId="13" xfId="0" applyFill="1" applyBorder="1" applyAlignment="1">
      <alignment wrapText="1"/>
    </xf>
    <xf numFmtId="0" fontId="32" fillId="2" borderId="0" xfId="0" applyFont="1" applyFill="1"/>
    <xf numFmtId="0" fontId="5" fillId="2" borderId="0" xfId="0" applyFont="1" applyFill="1" applyAlignment="1">
      <alignment horizontal="left"/>
    </xf>
    <xf numFmtId="0" fontId="32" fillId="2" borderId="0" xfId="0" applyFont="1" applyFill="1" applyAlignment="1">
      <alignment horizontal="left"/>
    </xf>
    <xf numFmtId="167" fontId="32" fillId="2" borderId="7" xfId="0" applyNumberFormat="1" applyFont="1" applyFill="1" applyBorder="1" applyProtection="1">
      <protection locked="0"/>
    </xf>
    <xf numFmtId="167" fontId="32" fillId="2" borderId="8" xfId="0" applyNumberFormat="1" applyFont="1" applyFill="1" applyBorder="1" applyProtection="1">
      <protection locked="0"/>
    </xf>
    <xf numFmtId="167" fontId="32" fillId="2" borderId="9" xfId="0" applyNumberFormat="1" applyFont="1" applyFill="1" applyBorder="1" applyProtection="1">
      <protection locked="0"/>
    </xf>
    <xf numFmtId="168" fontId="32" fillId="2" borderId="4" xfId="0" applyNumberFormat="1" applyFont="1" applyFill="1" applyBorder="1" applyAlignment="1" applyProtection="1">
      <alignment horizontal="right" vertical="center"/>
      <protection locked="0"/>
    </xf>
    <xf numFmtId="0" fontId="0" fillId="0" borderId="5" xfId="0" applyBorder="1" applyAlignment="1" applyProtection="1">
      <alignment horizontal="right" vertical="center"/>
      <protection locked="0"/>
    </xf>
    <xf numFmtId="168" fontId="5" fillId="2" borderId="0" xfId="0" applyNumberFormat="1" applyFont="1" applyFill="1" applyAlignment="1">
      <alignment wrapText="1"/>
    </xf>
    <xf numFmtId="0" fontId="32" fillId="2" borderId="13" xfId="0" applyFont="1" applyFill="1" applyBorder="1" applyAlignment="1">
      <alignment wrapText="1"/>
    </xf>
    <xf numFmtId="0" fontId="5" fillId="2" borderId="13" xfId="0" applyFont="1" applyFill="1" applyBorder="1" applyAlignment="1">
      <alignment wrapText="1"/>
    </xf>
    <xf numFmtId="167" fontId="32" fillId="3" borderId="1" xfId="0" applyNumberFormat="1" applyFont="1" applyFill="1" applyBorder="1" applyProtection="1">
      <protection locked="0"/>
    </xf>
    <xf numFmtId="167" fontId="32" fillId="3" borderId="2" xfId="0" applyNumberFormat="1" applyFont="1" applyFill="1" applyBorder="1" applyProtection="1">
      <protection locked="0"/>
    </xf>
    <xf numFmtId="167" fontId="32" fillId="3" borderId="3" xfId="0" applyNumberFormat="1" applyFont="1" applyFill="1" applyBorder="1" applyProtection="1">
      <protection locked="0"/>
    </xf>
    <xf numFmtId="0" fontId="15" fillId="2" borderId="0" xfId="0" applyFont="1" applyFill="1" applyAlignment="1">
      <alignment wrapText="1"/>
    </xf>
    <xf numFmtId="0" fontId="32" fillId="2" borderId="0" xfId="0" applyFont="1" applyFill="1" applyAlignment="1">
      <alignment wrapText="1"/>
    </xf>
    <xf numFmtId="167" fontId="32" fillId="3" borderId="1" xfId="0" applyNumberFormat="1" applyFont="1" applyFill="1" applyBorder="1" applyAlignment="1" applyProtection="1">
      <alignment wrapText="1"/>
      <protection locked="0"/>
    </xf>
    <xf numFmtId="167" fontId="32" fillId="3" borderId="2" xfId="0" applyNumberFormat="1" applyFont="1" applyFill="1" applyBorder="1" applyAlignment="1" applyProtection="1">
      <alignment wrapText="1"/>
      <protection locked="0"/>
    </xf>
    <xf numFmtId="167" fontId="32" fillId="3" borderId="3" xfId="0" applyNumberFormat="1" applyFont="1" applyFill="1" applyBorder="1" applyAlignment="1" applyProtection="1">
      <alignment wrapText="1"/>
      <protection locked="0"/>
    </xf>
    <xf numFmtId="3" fontId="15" fillId="2" borderId="0" xfId="0" applyNumberFormat="1" applyFont="1" applyFill="1"/>
    <xf numFmtId="0" fontId="15" fillId="2" borderId="0" xfId="0" applyFont="1" applyFill="1"/>
    <xf numFmtId="167" fontId="5" fillId="2" borderId="0" xfId="0" applyNumberFormat="1" applyFont="1" applyFill="1" applyProtection="1">
      <protection locked="0"/>
    </xf>
    <xf numFmtId="0" fontId="5" fillId="2" borderId="0" xfId="0" applyFont="1" applyFill="1" applyAlignment="1">
      <alignment horizontal="right"/>
    </xf>
    <xf numFmtId="0" fontId="32" fillId="2" borderId="0" xfId="0" applyFont="1" applyFill="1" applyAlignment="1">
      <alignment horizontal="right"/>
    </xf>
    <xf numFmtId="167" fontId="5" fillId="3" borderId="1" xfId="0" applyNumberFormat="1" applyFont="1" applyFill="1" applyBorder="1" applyProtection="1">
      <protection locked="0"/>
    </xf>
    <xf numFmtId="167" fontId="32" fillId="2" borderId="0" xfId="0" applyNumberFormat="1" applyFont="1" applyFill="1" applyAlignment="1" applyProtection="1">
      <alignment wrapText="1"/>
      <protection locked="0"/>
    </xf>
    <xf numFmtId="164" fontId="32" fillId="3" borderId="10" xfId="0" applyNumberFormat="1" applyFont="1" applyFill="1" applyBorder="1" applyProtection="1">
      <protection locked="0"/>
    </xf>
    <xf numFmtId="164" fontId="32" fillId="3" borderId="0" xfId="0" applyNumberFormat="1" applyFont="1" applyFill="1" applyProtection="1">
      <protection locked="0"/>
    </xf>
    <xf numFmtId="164" fontId="32" fillId="3" borderId="11" xfId="0" applyNumberFormat="1" applyFont="1" applyFill="1" applyBorder="1" applyProtection="1">
      <protection locked="0"/>
    </xf>
    <xf numFmtId="164" fontId="5" fillId="3" borderId="7" xfId="0" applyNumberFormat="1" applyFont="1" applyFill="1" applyBorder="1" applyProtection="1">
      <protection locked="0"/>
    </xf>
    <xf numFmtId="164" fontId="5" fillId="3" borderId="8" xfId="0" applyNumberFormat="1" applyFont="1" applyFill="1" applyBorder="1" applyProtection="1">
      <protection locked="0"/>
    </xf>
    <xf numFmtId="164" fontId="5" fillId="3" borderId="9" xfId="0" applyNumberFormat="1" applyFont="1" applyFill="1" applyBorder="1" applyProtection="1">
      <protection locked="0"/>
    </xf>
    <xf numFmtId="164" fontId="5" fillId="3" borderId="12" xfId="0" applyNumberFormat="1" applyFont="1" applyFill="1" applyBorder="1" applyProtection="1">
      <protection locked="0"/>
    </xf>
    <xf numFmtId="164" fontId="5" fillId="3" borderId="10" xfId="0" applyNumberFormat="1" applyFont="1" applyFill="1" applyBorder="1" applyProtection="1">
      <protection locked="0"/>
    </xf>
    <xf numFmtId="164" fontId="5" fillId="3" borderId="0" xfId="0" applyNumberFormat="1" applyFont="1" applyFill="1" applyProtection="1">
      <protection locked="0"/>
    </xf>
    <xf numFmtId="164" fontId="5" fillId="3" borderId="11" xfId="0" applyNumberFormat="1" applyFont="1" applyFill="1" applyBorder="1" applyProtection="1">
      <protection locked="0"/>
    </xf>
    <xf numFmtId="0" fontId="32" fillId="3" borderId="0" xfId="0" applyFont="1" applyFill="1"/>
    <xf numFmtId="0" fontId="32" fillId="3" borderId="11" xfId="0" applyFont="1" applyFill="1" applyBorder="1"/>
    <xf numFmtId="164" fontId="32" fillId="3" borderId="12" xfId="0" applyNumberFormat="1" applyFont="1" applyFill="1" applyBorder="1" applyProtection="1">
      <protection locked="0"/>
    </xf>
    <xf numFmtId="164" fontId="32" fillId="3" borderId="13" xfId="0" applyNumberFormat="1" applyFont="1" applyFill="1" applyBorder="1" applyProtection="1">
      <protection locked="0"/>
    </xf>
    <xf numFmtId="164" fontId="32" fillId="3" borderId="14" xfId="0" applyNumberFormat="1" applyFont="1" applyFill="1" applyBorder="1" applyProtection="1">
      <protection locked="0"/>
    </xf>
    <xf numFmtId="164" fontId="5" fillId="2" borderId="0" xfId="0" applyNumberFormat="1" applyFont="1" applyFill="1" applyAlignment="1">
      <alignment wrapText="1"/>
    </xf>
    <xf numFmtId="164" fontId="5" fillId="2" borderId="13" xfId="0" applyNumberFormat="1" applyFont="1" applyFill="1" applyBorder="1" applyAlignment="1">
      <alignment wrapText="1"/>
    </xf>
    <xf numFmtId="0" fontId="5" fillId="2" borderId="13" xfId="0" applyFont="1" applyFill="1" applyBorder="1" applyAlignment="1">
      <alignment horizontal="left"/>
    </xf>
    <xf numFmtId="3" fontId="5" fillId="3" borderId="7" xfId="0" applyNumberFormat="1" applyFont="1" applyFill="1" applyBorder="1" applyProtection="1">
      <protection locked="0"/>
    </xf>
    <xf numFmtId="3" fontId="5" fillId="3" borderId="8" xfId="0" applyNumberFormat="1" applyFont="1" applyFill="1" applyBorder="1" applyProtection="1">
      <protection locked="0"/>
    </xf>
    <xf numFmtId="3" fontId="5" fillId="3" borderId="9" xfId="0" applyNumberFormat="1" applyFont="1" applyFill="1" applyBorder="1" applyProtection="1">
      <protection locked="0"/>
    </xf>
    <xf numFmtId="3" fontId="5" fillId="3" borderId="10" xfId="0" applyNumberFormat="1" applyFont="1" applyFill="1" applyBorder="1" applyProtection="1">
      <protection locked="0"/>
    </xf>
    <xf numFmtId="3" fontId="5" fillId="3" borderId="0" xfId="0" applyNumberFormat="1" applyFont="1" applyFill="1" applyProtection="1">
      <protection locked="0"/>
    </xf>
    <xf numFmtId="3" fontId="5" fillId="3" borderId="11" xfId="0" applyNumberFormat="1" applyFont="1" applyFill="1" applyBorder="1" applyProtection="1">
      <protection locked="0"/>
    </xf>
    <xf numFmtId="0" fontId="0" fillId="3" borderId="10" xfId="0" applyFill="1" applyBorder="1" applyProtection="1">
      <protection locked="0"/>
    </xf>
    <xf numFmtId="0" fontId="0" fillId="3" borderId="0" xfId="0" applyFill="1" applyProtection="1">
      <protection locked="0"/>
    </xf>
    <xf numFmtId="0" fontId="0" fillId="3" borderId="11" xfId="0" applyFill="1" applyBorder="1" applyProtection="1">
      <protection locked="0"/>
    </xf>
    <xf numFmtId="0" fontId="5" fillId="3" borderId="14" xfId="0" applyFont="1" applyFill="1" applyBorder="1" applyProtection="1">
      <protection locked="0"/>
    </xf>
    <xf numFmtId="3" fontId="5" fillId="3" borderId="12" xfId="0" applyNumberFormat="1" applyFont="1" applyFill="1" applyBorder="1" applyProtection="1">
      <protection locked="0"/>
    </xf>
    <xf numFmtId="3" fontId="5" fillId="3" borderId="13" xfId="0" applyNumberFormat="1" applyFont="1" applyFill="1" applyBorder="1" applyProtection="1">
      <protection locked="0"/>
    </xf>
    <xf numFmtId="3" fontId="5" fillId="3" borderId="14" xfId="0" applyNumberFormat="1" applyFont="1" applyFill="1" applyBorder="1" applyProtection="1">
      <protection locked="0"/>
    </xf>
    <xf numFmtId="0" fontId="5" fillId="0" borderId="1" xfId="0" applyFont="1" applyBorder="1" applyProtection="1">
      <protection locked="0"/>
    </xf>
    <xf numFmtId="0" fontId="5" fillId="0" borderId="3" xfId="0" applyFont="1" applyBorder="1" applyProtection="1">
      <protection locked="0"/>
    </xf>
    <xf numFmtId="0" fontId="5" fillId="3" borderId="7" xfId="0" applyFont="1" applyFill="1" applyBorder="1" applyAlignment="1" applyProtection="1">
      <alignment vertical="top"/>
      <protection locked="0"/>
    </xf>
    <xf numFmtId="0" fontId="5" fillId="3" borderId="8" xfId="0" applyFont="1" applyFill="1" applyBorder="1" applyAlignment="1" applyProtection="1">
      <alignment vertical="top"/>
      <protection locked="0"/>
    </xf>
    <xf numFmtId="0" fontId="5" fillId="3" borderId="9" xfId="0" applyFont="1" applyFill="1" applyBorder="1" applyAlignment="1" applyProtection="1">
      <alignment vertical="top"/>
      <protection locked="0"/>
    </xf>
    <xf numFmtId="0" fontId="5" fillId="3" borderId="10" xfId="0" applyFont="1" applyFill="1" applyBorder="1" applyAlignment="1" applyProtection="1">
      <alignment vertical="top"/>
      <protection locked="0"/>
    </xf>
    <xf numFmtId="0" fontId="5" fillId="3" borderId="0" xfId="0" applyFont="1" applyFill="1" applyAlignment="1" applyProtection="1">
      <alignment vertical="top"/>
      <protection locked="0"/>
    </xf>
    <xf numFmtId="0" fontId="5" fillId="3" borderId="11" xfId="0" applyFont="1" applyFill="1" applyBorder="1" applyAlignment="1" applyProtection="1">
      <alignment vertical="top"/>
      <protection locked="0"/>
    </xf>
    <xf numFmtId="0" fontId="5" fillId="3" borderId="12" xfId="0" applyFont="1" applyFill="1" applyBorder="1" applyAlignment="1" applyProtection="1">
      <alignment vertical="top"/>
      <protection locked="0"/>
    </xf>
    <xf numFmtId="0" fontId="5" fillId="3" borderId="13" xfId="0" applyFont="1" applyFill="1" applyBorder="1" applyAlignment="1" applyProtection="1">
      <alignment vertical="top"/>
      <protection locked="0"/>
    </xf>
    <xf numFmtId="0" fontId="5" fillId="3" borderId="14" xfId="0" applyFont="1" applyFill="1" applyBorder="1" applyAlignment="1" applyProtection="1">
      <alignment vertical="top"/>
      <protection locked="0"/>
    </xf>
    <xf numFmtId="0" fontId="4" fillId="5" borderId="0" xfId="0" applyFont="1" applyFill="1" applyAlignment="1">
      <alignment vertical="top" wrapText="1"/>
    </xf>
    <xf numFmtId="0" fontId="4" fillId="5" borderId="0" xfId="0" applyFont="1" applyFill="1" applyAlignment="1">
      <alignment horizontal="center" vertical="top" wrapText="1"/>
    </xf>
    <xf numFmtId="0" fontId="5" fillId="5" borderId="0" xfId="0" applyFont="1" applyFill="1" applyAlignment="1">
      <alignment horizontal="center" vertical="top" wrapText="1"/>
    </xf>
    <xf numFmtId="0" fontId="4" fillId="5" borderId="0" xfId="0" applyFont="1" applyFill="1" applyAlignment="1">
      <alignment horizontal="center" vertical="top"/>
    </xf>
    <xf numFmtId="0" fontId="4" fillId="5" borderId="0" xfId="0" applyFont="1" applyFill="1" applyAlignment="1">
      <alignment horizontal="center" vertical="center"/>
    </xf>
    <xf numFmtId="0" fontId="5" fillId="5" borderId="0" xfId="0" applyFont="1" applyFill="1" applyAlignment="1">
      <alignment vertical="top" wrapText="1"/>
    </xf>
    <xf numFmtId="0" fontId="52" fillId="9" borderId="21" xfId="0" applyFont="1" applyFill="1" applyBorder="1" applyAlignment="1">
      <alignment horizontal="left"/>
    </xf>
    <xf numFmtId="0" fontId="0" fillId="0" borderId="21" xfId="0" applyBorder="1"/>
    <xf numFmtId="0" fontId="52" fillId="9" borderId="25" xfId="0" applyFont="1" applyFill="1" applyBorder="1" applyAlignment="1">
      <alignment horizontal="left"/>
    </xf>
    <xf numFmtId="0" fontId="0" fillId="0" borderId="25" xfId="0" applyBorder="1"/>
    <xf numFmtId="0" fontId="5" fillId="14" borderId="0" xfId="0" applyFont="1" applyFill="1" applyAlignment="1">
      <alignment vertical="top" wrapText="1"/>
    </xf>
    <xf numFmtId="0" fontId="5" fillId="0" borderId="0" xfId="0" applyFont="1" applyAlignment="1">
      <alignment vertical="top" wrapText="1"/>
    </xf>
    <xf numFmtId="0" fontId="0" fillId="0" borderId="0" xfId="0" applyAlignment="1">
      <alignment vertical="top" wrapText="1"/>
    </xf>
    <xf numFmtId="0" fontId="40" fillId="0" borderId="0" xfId="0" applyFont="1" applyAlignment="1">
      <alignment vertical="top" wrapText="1"/>
    </xf>
    <xf numFmtId="0" fontId="0" fillId="14" borderId="0" xfId="0" applyFill="1" applyAlignment="1">
      <alignment vertical="top" wrapText="1"/>
    </xf>
    <xf numFmtId="0" fontId="5" fillId="0" borderId="0" xfId="0" applyFont="1" applyAlignment="1" applyProtection="1">
      <alignment vertical="top" wrapText="1"/>
      <protection locked="0"/>
    </xf>
    <xf numFmtId="0" fontId="39" fillId="0" borderId="0" xfId="0" applyFont="1" applyAlignment="1">
      <alignment vertical="top" wrapText="1"/>
    </xf>
    <xf numFmtId="0" fontId="38" fillId="2" borderId="0" xfId="0" applyFont="1" applyFill="1" applyAlignment="1">
      <alignment vertical="top" wrapText="1"/>
    </xf>
    <xf numFmtId="0" fontId="38" fillId="2" borderId="0" xfId="0" applyFont="1" applyFill="1" applyAlignment="1">
      <alignment wrapText="1"/>
    </xf>
  </cellXfs>
  <cellStyles count="5">
    <cellStyle name="Berekening" xfId="4" builtinId="22"/>
    <cellStyle name="Hyperlink" xfId="2" builtinId="8"/>
    <cellStyle name="Invoer" xfId="3" builtinId="20"/>
    <cellStyle name="Procent" xfId="1" builtinId="5"/>
    <cellStyle name="Standaard" xfId="0" builtinId="0"/>
  </cellStyles>
  <dxfs count="283">
    <dxf>
      <border>
        <right style="thin">
          <color auto="1"/>
        </right>
        <vertical/>
        <horizontal/>
      </border>
    </dxf>
    <dxf>
      <font>
        <color theme="1"/>
      </font>
      <border>
        <bottom style="thin">
          <color auto="1"/>
        </bottom>
        <vertical/>
        <horizontal/>
      </border>
    </dxf>
    <dxf>
      <fill>
        <patternFill>
          <bgColor theme="0"/>
        </patternFill>
      </fill>
    </dxf>
    <dxf>
      <border>
        <right style="thin">
          <color auto="1"/>
        </right>
        <vertical/>
        <horizontal/>
      </border>
    </dxf>
    <dxf>
      <fill>
        <patternFill>
          <bgColor theme="0"/>
        </patternFill>
      </fill>
    </dxf>
    <dxf>
      <border>
        <top style="thin">
          <color auto="1"/>
        </top>
        <vertical/>
        <horizontal/>
      </border>
    </dxf>
    <dxf>
      <fill>
        <patternFill>
          <bgColor theme="0"/>
        </patternFill>
      </fill>
    </dxf>
    <dxf>
      <border>
        <right style="thin">
          <color auto="1"/>
        </right>
        <vertical/>
        <horizontal/>
      </border>
    </dxf>
    <dxf>
      <border>
        <bottom style="thin">
          <color auto="1"/>
        </bottom>
        <vertical/>
        <horizontal/>
      </border>
    </dxf>
    <dxf>
      <fill>
        <patternFill>
          <bgColor theme="0"/>
        </patternFill>
      </fill>
    </dxf>
    <dxf>
      <border>
        <right style="thin">
          <color auto="1"/>
        </right>
        <vertical/>
        <horizontal/>
      </border>
    </dxf>
    <dxf>
      <border>
        <right style="thin">
          <color auto="1"/>
        </right>
        <vertical/>
        <horizontal/>
      </border>
    </dxf>
    <dxf>
      <fill>
        <patternFill>
          <bgColor theme="0"/>
        </patternFill>
      </fill>
    </dxf>
    <dxf>
      <border>
        <top style="thin">
          <color auto="1"/>
        </top>
        <vertical/>
        <horizontal/>
      </border>
    </dxf>
    <dxf>
      <border>
        <right style="thin">
          <color auto="1"/>
        </right>
        <bottom/>
        <vertical/>
        <horizontal/>
      </border>
    </dxf>
    <dxf>
      <font>
        <color theme="1"/>
      </font>
      <border>
        <bottom style="thin">
          <color auto="1"/>
        </bottom>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border>
        <top style="thin">
          <color auto="1"/>
        </top>
        <vertical/>
        <horizontal/>
      </border>
    </dxf>
    <dxf>
      <fill>
        <patternFill>
          <bgColor theme="0"/>
        </patternFill>
      </fill>
    </dxf>
    <dxf>
      <fill>
        <patternFill>
          <bgColor theme="0"/>
        </patternFill>
      </fill>
    </dxf>
    <dxf>
      <font>
        <color theme="1"/>
      </font>
      <border>
        <bottom style="thin">
          <color auto="1"/>
        </bottom>
        <vertical/>
        <horizontal/>
      </border>
    </dxf>
    <dxf>
      <font>
        <color theme="1"/>
      </font>
      <border>
        <right style="thin">
          <color auto="1"/>
        </right>
        <vertical/>
        <horizontal/>
      </border>
    </dxf>
    <dxf>
      <border>
        <right style="thin">
          <color auto="1"/>
        </right>
        <vertical/>
        <horizontal/>
      </border>
    </dxf>
    <dxf>
      <fill>
        <patternFill>
          <bgColor theme="0"/>
        </patternFill>
      </fill>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top style="thin">
          <color auto="1"/>
        </top>
        <vertical/>
        <horizontal/>
      </border>
    </dxf>
    <dxf>
      <border>
        <right style="thin">
          <color auto="1"/>
        </right>
        <vertical/>
        <horizontal/>
      </border>
    </dxf>
    <dxf>
      <font>
        <color theme="1"/>
      </font>
      <border>
        <bottom style="thin">
          <color auto="1"/>
        </bottom>
        <vertical/>
        <horizontal/>
      </border>
    </dxf>
    <dxf>
      <fill>
        <patternFill>
          <bgColor theme="0"/>
        </patternFill>
      </fill>
    </dxf>
    <dxf>
      <fill>
        <patternFill>
          <bgColor theme="0"/>
        </patternFill>
      </fill>
    </dxf>
    <dxf>
      <border>
        <right style="thin">
          <color auto="1"/>
        </right>
        <vertical/>
        <horizontal/>
      </border>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dxf>
    <dxf>
      <border>
        <bottom style="thin">
          <color auto="1"/>
        </bottom>
        <vertical/>
        <horizontal/>
      </border>
    </dxf>
    <dxf>
      <fill>
        <patternFill>
          <bgColor theme="0"/>
        </patternFill>
      </fill>
    </dxf>
    <dxf>
      <border>
        <right style="thin">
          <color auto="1"/>
        </right>
        <vertical/>
        <horizontal/>
      </border>
    </dxf>
    <dxf>
      <border>
        <top style="thin">
          <color auto="1"/>
        </top>
        <vertical/>
        <horizontal/>
      </border>
    </dxf>
    <dxf>
      <fill>
        <patternFill>
          <bgColor theme="0"/>
        </patternFill>
      </fill>
    </dxf>
    <dxf>
      <font>
        <color theme="1"/>
      </font>
      <border>
        <bottom style="thin">
          <color auto="1"/>
        </bottom>
        <vertical/>
        <horizontal/>
      </border>
    </dxf>
    <dxf>
      <border>
        <right style="thin">
          <color auto="1"/>
        </right>
        <vertical/>
        <horizontal/>
      </border>
    </dxf>
    <dxf>
      <border>
        <right style="thin">
          <color auto="1"/>
        </right>
        <vertical/>
        <horizontal/>
      </border>
    </dxf>
    <dxf>
      <fill>
        <patternFill>
          <bgColor theme="0"/>
        </patternFill>
      </fill>
    </dxf>
    <dxf>
      <border>
        <right style="thin">
          <color auto="1"/>
        </right>
        <vertical/>
        <horizontal/>
      </border>
    </dxf>
    <dxf>
      <fill>
        <patternFill>
          <bgColor theme="0"/>
        </patternFill>
      </fill>
    </dxf>
    <dxf>
      <border>
        <top style="thin">
          <color auto="1"/>
        </top>
      </border>
    </dxf>
    <dxf>
      <fill>
        <patternFill>
          <bgColor theme="0"/>
        </patternFill>
      </fill>
    </dxf>
    <dxf>
      <border>
        <bottom style="thin">
          <color auto="1"/>
        </bottom>
        <vertical/>
        <horizontal/>
      </border>
    </dxf>
    <dxf>
      <border>
        <right style="thin">
          <color auto="1"/>
        </right>
        <bottom/>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font>
        <color theme="1"/>
      </font>
      <border>
        <bottom style="thin">
          <color auto="1"/>
        </bottom>
        <vertical/>
        <horizontal/>
      </border>
    </dxf>
    <dxf>
      <border>
        <right style="thin">
          <color auto="1"/>
        </right>
        <vertical/>
        <horizontal/>
      </border>
    </dxf>
    <dxf>
      <fill>
        <patternFill>
          <bgColor theme="0"/>
        </patternFill>
      </fill>
    </dxf>
    <dxf>
      <border>
        <right style="thin">
          <color auto="1"/>
        </right>
        <vertical/>
        <horizontal/>
      </border>
    </dxf>
    <dxf>
      <fill>
        <patternFill>
          <bgColor theme="0"/>
        </patternFill>
      </fill>
    </dxf>
    <dxf>
      <border>
        <top style="thin">
          <color auto="1"/>
        </top>
        <bottom/>
        <vertical/>
        <horizontal/>
      </border>
    </dxf>
    <dxf>
      <border>
        <bottom style="thin">
          <color auto="1"/>
        </bottom>
        <vertical/>
        <horizontal/>
      </border>
    </dxf>
    <dxf>
      <fill>
        <patternFill>
          <bgColor theme="0"/>
        </patternFill>
      </fill>
    </dxf>
    <dxf>
      <border>
        <right style="thin">
          <color auto="1"/>
        </right>
        <vertical/>
        <horizontal/>
      </border>
    </dxf>
    <dxf>
      <border>
        <right style="thin">
          <color auto="1"/>
        </right>
        <vertical/>
        <horizontal/>
      </border>
    </dxf>
    <dxf>
      <border>
        <top style="thin">
          <color auto="1"/>
        </top>
        <vertical/>
        <horizontal/>
      </border>
    </dxf>
    <dxf>
      <fill>
        <patternFill>
          <bgColor theme="0"/>
        </patternFill>
      </fill>
    </dxf>
    <dxf>
      <fill>
        <patternFill>
          <bgColor theme="0"/>
        </patternFill>
      </fill>
    </dxf>
    <dxf>
      <font>
        <color theme="1"/>
      </font>
      <border>
        <bottom style="thin">
          <color auto="1"/>
        </bottom>
        <vertical/>
        <horizontal/>
      </border>
    </dxf>
    <dxf>
      <border>
        <right style="thin">
          <color auto="1"/>
        </right>
        <vertical/>
        <horizontal/>
      </border>
    </dxf>
    <dxf>
      <border>
        <right style="thin">
          <color auto="1"/>
        </right>
        <vertical/>
        <horizontal/>
      </border>
    </dxf>
    <dxf>
      <fill>
        <patternFill>
          <bgColor theme="0"/>
        </patternFill>
      </fill>
    </dxf>
    <dxf>
      <fill>
        <patternFill>
          <bgColor theme="0"/>
        </patternFill>
      </fill>
    </dxf>
    <dxf>
      <border>
        <right style="thin">
          <color auto="1"/>
        </right>
        <vertical/>
        <horizontal/>
      </border>
    </dxf>
    <dxf>
      <border>
        <top style="thin">
          <color auto="1"/>
        </top>
        <vertical/>
        <horizontal/>
      </border>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top style="thin">
          <color auto="1"/>
        </top>
        <vertical/>
        <horizontal/>
      </border>
    </dxf>
    <dxf>
      <fill>
        <patternFill>
          <bgColor theme="0"/>
        </patternFill>
      </fill>
    </dxf>
    <dxf>
      <font>
        <color theme="1"/>
      </font>
      <border>
        <top/>
        <bottom style="thin">
          <color auto="1"/>
        </bottom>
        <vertical/>
        <horizontal/>
      </border>
    </dxf>
    <dxf>
      <border>
        <right style="thin">
          <color auto="1"/>
        </right>
        <vertical/>
        <horizontal/>
      </border>
    </dxf>
    <dxf>
      <border>
        <right style="thin">
          <color auto="1"/>
        </right>
        <vertical/>
        <horizontal/>
      </border>
    </dxf>
    <dxf>
      <fill>
        <patternFill>
          <bgColor theme="0"/>
        </patternFill>
      </fill>
    </dxf>
    <dxf>
      <border>
        <right style="thin">
          <color auto="1"/>
        </right>
        <vertical/>
        <horizontal/>
      </border>
    </dxf>
    <dxf>
      <border>
        <top style="thin">
          <color auto="1"/>
        </top>
      </border>
    </dxf>
    <dxf>
      <fill>
        <patternFill>
          <bgColor theme="0"/>
        </patternFill>
      </fill>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border>
        <top style="thin">
          <color auto="1"/>
        </top>
        <vertical/>
        <horizontal/>
      </border>
    </dxf>
    <dxf>
      <fill>
        <patternFill>
          <bgColor theme="0"/>
        </patternFill>
      </fill>
    </dxf>
    <dxf>
      <font>
        <color theme="1"/>
      </font>
      <border>
        <bottom style="thin">
          <color auto="1"/>
        </bottom>
      </border>
    </dxf>
    <dxf>
      <fill>
        <patternFill>
          <bgColor theme="0"/>
        </patternFill>
      </fill>
    </dxf>
    <dxf>
      <border>
        <right style="thin">
          <color auto="1"/>
        </right>
      </border>
    </dxf>
    <dxf>
      <fill>
        <patternFill>
          <bgColor theme="0"/>
        </patternFill>
      </fill>
    </dxf>
    <dxf>
      <border>
        <right style="thin">
          <color auto="1"/>
        </right>
        <vertical/>
        <horizontal/>
      </border>
    </dxf>
    <dxf>
      <fill>
        <patternFill>
          <bgColor theme="0"/>
        </patternFill>
      </fill>
    </dxf>
    <dxf>
      <border>
        <top style="thin">
          <color auto="1"/>
        </top>
        <vertical/>
        <horizontal/>
      </border>
    </dxf>
    <dxf>
      <border>
        <right style="thin">
          <color auto="1"/>
        </right>
        <vertical/>
        <horizontal/>
      </border>
    </dxf>
    <dxf>
      <border>
        <right style="thin">
          <color auto="1"/>
        </right>
        <vertical/>
        <horizontal/>
      </border>
    </dxf>
    <dxf>
      <border>
        <bottom style="thin">
          <color auto="1"/>
        </bottom>
        <vertical/>
        <horizontal/>
      </border>
    </dxf>
    <dxf>
      <fill>
        <patternFill>
          <bgColor theme="0"/>
        </patternFill>
      </fill>
      <border>
        <bottom/>
        <vertical/>
        <horizontal/>
      </border>
    </dxf>
    <dxf>
      <border>
        <right style="thin">
          <color auto="1"/>
        </right>
        <vertical/>
        <horizontal/>
      </border>
    </dxf>
    <dxf>
      <fill>
        <patternFill>
          <bgColor theme="0"/>
        </patternFill>
      </fill>
    </dxf>
    <dxf>
      <border>
        <top style="thin">
          <color auto="1"/>
        </top>
        <vertical/>
        <horizontal/>
      </border>
    </dxf>
    <dxf>
      <font>
        <color theme="1"/>
      </font>
      <border>
        <bottom style="thin">
          <color auto="1"/>
        </bottom>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dxf>
    <dxf>
      <border>
        <top/>
        <bottom style="thin">
          <color auto="1"/>
        </bottom>
        <vertical/>
        <horizontal/>
      </border>
    </dxf>
    <dxf>
      <border>
        <top style="thin">
          <color auto="1"/>
        </top>
        <vertical/>
        <horizontal/>
      </border>
    </dxf>
    <dxf>
      <border>
        <right style="thin">
          <color auto="1"/>
        </right>
        <vertical/>
        <horizontal/>
      </border>
    </dxf>
    <dxf>
      <fill>
        <patternFill>
          <bgColor theme="0"/>
        </patternFill>
      </fill>
    </dxf>
    <dxf>
      <font>
        <color theme="1"/>
      </font>
      <border>
        <bottom style="thin">
          <color auto="1"/>
        </bottom>
        <vertical/>
        <horizontal/>
      </border>
    </dxf>
    <dxf>
      <border>
        <right style="thin">
          <color auto="1"/>
        </right>
        <vertical/>
        <horizontal/>
      </border>
    </dxf>
    <dxf>
      <fill>
        <patternFill>
          <bgColor theme="0"/>
        </patternFill>
      </fill>
    </dxf>
    <dxf>
      <fill>
        <patternFill>
          <bgColor theme="0"/>
        </patternFill>
      </fill>
    </dxf>
    <dxf>
      <border>
        <right style="thin">
          <color auto="1"/>
        </right>
        <vertical/>
        <horizontal/>
      </border>
    </dxf>
    <dxf>
      <fill>
        <patternFill>
          <bgColor theme="0"/>
        </patternFill>
      </fill>
    </dxf>
    <dxf>
      <border>
        <top style="thin">
          <color auto="1"/>
        </top>
        <vertical/>
        <horizontal/>
      </border>
    </dxf>
    <dxf>
      <fill>
        <patternFill>
          <bgColor theme="0"/>
        </patternFill>
      </fill>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right style="thin">
          <color auto="1"/>
        </right>
        <vertical/>
        <horizontal/>
      </border>
    </dxf>
    <dxf>
      <border>
        <top style="thin">
          <color auto="1"/>
        </top>
        <vertical/>
        <horizontal/>
      </border>
    </dxf>
    <dxf>
      <font>
        <color theme="1"/>
      </font>
      <fill>
        <patternFill>
          <bgColor theme="0"/>
        </patternFill>
      </fill>
      <border>
        <left/>
        <right/>
        <top/>
        <bottom/>
      </border>
    </dxf>
    <dxf>
      <border>
        <right style="thin">
          <color auto="1"/>
        </right>
        <vertical/>
        <horizontal/>
      </border>
    </dxf>
    <dxf>
      <border>
        <bottom style="thin">
          <color auto="1"/>
        </bottom>
        <vertical/>
        <horizontal/>
      </border>
    </dxf>
    <dxf>
      <fill>
        <patternFill>
          <bgColor theme="0"/>
        </patternFill>
      </fill>
    </dxf>
    <dxf>
      <border>
        <right style="thin">
          <color auto="1"/>
        </right>
        <vertical/>
        <horizontal/>
      </border>
    </dxf>
    <dxf>
      <fill>
        <patternFill>
          <bgColor rgb="FFB7DEE8"/>
        </patternFill>
      </fill>
      <border>
        <left/>
        <right/>
        <top style="thin">
          <color indexed="64"/>
        </top>
        <bottom/>
      </border>
    </dxf>
    <dxf>
      <fill>
        <patternFill>
          <bgColor theme="0"/>
        </patternFill>
      </fill>
    </dxf>
    <dxf>
      <border>
        <right style="thin">
          <color auto="1"/>
        </right>
        <vertical/>
        <horizontal/>
      </border>
    </dxf>
    <dxf>
      <border>
        <right style="thin">
          <color auto="1"/>
        </right>
        <vertical/>
        <horizontal/>
      </border>
    </dxf>
    <dxf>
      <border>
        <bottom style="thin">
          <color auto="1"/>
        </bottom>
        <vertical/>
        <horizontal/>
      </border>
    </dxf>
    <dxf>
      <fill>
        <patternFill>
          <bgColor theme="0"/>
        </patternFill>
      </fill>
    </dxf>
    <dxf>
      <border>
        <right style="thin">
          <color auto="1"/>
        </right>
        <vertical/>
        <horizontal/>
      </border>
    </dxf>
    <dxf>
      <fill>
        <patternFill>
          <bgColor theme="0"/>
        </patternFill>
      </fill>
    </dxf>
    <dxf>
      <border>
        <top style="thin">
          <color auto="1"/>
        </top>
        <vertical/>
        <horizontal/>
      </border>
    </dxf>
    <dxf>
      <border>
        <right style="thin">
          <color auto="1"/>
        </right>
        <vertical/>
        <horizontal/>
      </border>
    </dxf>
    <dxf>
      <font>
        <color theme="1"/>
      </font>
      <fill>
        <patternFill>
          <bgColor theme="0"/>
        </patternFill>
      </fill>
      <border>
        <bottom style="thin">
          <color auto="1"/>
        </bottom>
        <vertical/>
        <horizontal/>
      </border>
    </dxf>
    <dxf>
      <border>
        <right style="thin">
          <color auto="1"/>
        </right>
        <vertical/>
        <horizontal/>
      </border>
    </dxf>
    <dxf>
      <font>
        <color theme="1"/>
      </font>
      <fill>
        <patternFill>
          <bgColor theme="0"/>
        </patternFill>
      </fill>
    </dxf>
    <dxf>
      <border>
        <right style="thin">
          <color auto="1"/>
        </right>
        <vertical/>
        <horizontal/>
      </border>
    </dxf>
    <dxf>
      <font>
        <color theme="1"/>
      </font>
      <fill>
        <patternFill>
          <bgColor theme="0"/>
        </patternFill>
      </fill>
      <border>
        <top style="thin">
          <color auto="1"/>
        </top>
        <vertical/>
        <horizontal/>
      </border>
    </dxf>
    <dxf>
      <border>
        <right style="thin">
          <color auto="1"/>
        </right>
        <vertical/>
        <horizontal/>
      </border>
    </dxf>
    <dxf>
      <font>
        <color theme="1"/>
      </font>
      <fill>
        <patternFill>
          <bgColor theme="0"/>
        </patternFill>
      </fill>
      <border>
        <bottom style="thin">
          <color auto="1"/>
        </bottom>
        <vertical/>
        <horizontal/>
      </border>
    </dxf>
    <dxf>
      <border>
        <right style="thin">
          <color auto="1"/>
        </right>
        <vertical/>
        <horizontal/>
      </border>
    </dxf>
    <dxf>
      <font>
        <color theme="1"/>
      </font>
      <fill>
        <patternFill>
          <bgColor theme="0"/>
        </patternFill>
      </fill>
      <border>
        <top style="thin">
          <color auto="1"/>
        </top>
        <vertical/>
        <horizontal/>
      </border>
    </dxf>
    <dxf>
      <font>
        <color theme="1"/>
      </font>
      <fill>
        <patternFill>
          <bgColor theme="0"/>
        </patternFill>
      </fill>
      <border>
        <bottom style="thin">
          <color auto="1"/>
        </bottom>
        <vertical/>
        <horizontal/>
      </border>
    </dxf>
    <dxf>
      <font>
        <color theme="1"/>
      </font>
      <fill>
        <patternFill>
          <bgColor theme="0"/>
        </patternFill>
      </fill>
    </dxf>
    <dxf>
      <border>
        <right style="thin">
          <color auto="1"/>
        </right>
        <vertical/>
        <horizontal/>
      </border>
    </dxf>
    <dxf>
      <font>
        <color theme="1"/>
      </font>
      <fill>
        <patternFill>
          <bgColor theme="0"/>
        </patternFill>
      </fill>
      <border>
        <top style="thin">
          <color auto="1"/>
        </top>
        <vertical/>
        <horizontal/>
      </border>
    </dxf>
    <dxf>
      <font>
        <color theme="1"/>
      </font>
      <fill>
        <patternFill>
          <bgColor theme="0"/>
        </patternFill>
      </fill>
      <border>
        <bottom style="thin">
          <color auto="1"/>
        </bottom>
        <vertical/>
        <horizontal/>
      </border>
    </dxf>
    <dxf>
      <border>
        <right style="thin">
          <color auto="1"/>
        </right>
        <vertical/>
        <horizontal/>
      </border>
    </dxf>
    <dxf>
      <font>
        <color theme="1"/>
      </font>
      <fill>
        <patternFill>
          <bgColor theme="0"/>
        </patternFill>
      </fill>
      <border>
        <top style="thin">
          <color auto="1"/>
        </top>
        <vertical/>
        <horizontal/>
      </border>
    </dxf>
    <dxf>
      <font>
        <color theme="1"/>
      </font>
      <fill>
        <patternFill>
          <bgColor theme="0"/>
        </patternFill>
      </fill>
      <border>
        <top/>
        <bottom style="thin">
          <color auto="1"/>
        </bottom>
        <vertical/>
        <horizontal/>
      </border>
    </dxf>
    <dxf>
      <font>
        <color theme="1"/>
      </font>
      <fill>
        <patternFill>
          <bgColor theme="0"/>
        </patternFill>
      </fill>
    </dxf>
    <dxf>
      <border>
        <right style="thin">
          <color auto="1"/>
        </right>
        <vertical/>
        <horizontal/>
      </border>
    </dxf>
    <dxf>
      <font>
        <color theme="1"/>
      </font>
      <fill>
        <patternFill>
          <bgColor theme="0"/>
        </patternFill>
      </fill>
      <border>
        <top style="thin">
          <color auto="1"/>
        </top>
        <vertical/>
        <horizontal/>
      </border>
    </dxf>
    <dxf>
      <font>
        <color theme="1"/>
      </font>
      <fill>
        <patternFill>
          <bgColor theme="0"/>
        </patternFill>
      </fill>
      <border>
        <bottom style="thin">
          <color auto="1"/>
        </bottom>
        <vertical/>
        <horizontal/>
      </border>
    </dxf>
    <dxf>
      <border>
        <right style="thin">
          <color auto="1"/>
        </right>
        <vertical/>
        <horizontal/>
      </border>
    </dxf>
    <dxf>
      <font>
        <color auto="1"/>
      </font>
      <fill>
        <patternFill>
          <bgColor theme="0"/>
        </patternFill>
      </fill>
      <border>
        <top style="thin">
          <color auto="1"/>
        </top>
        <vertical/>
        <horizontal/>
      </border>
    </dxf>
    <dxf>
      <border>
        <right style="thin">
          <color auto="1"/>
        </right>
        <vertical/>
        <horizontal/>
      </border>
    </dxf>
    <dxf>
      <border>
        <right style="thin">
          <color auto="1"/>
        </right>
        <vertical/>
        <horizontal/>
      </border>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theme="0"/>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border>
        <left style="thin">
          <color indexed="64"/>
        </left>
        <right style="thin">
          <color indexed="64"/>
        </right>
        <top style="thin">
          <color indexed="64"/>
        </top>
      </border>
    </dxf>
    <dxf>
      <border>
        <left style="thin">
          <color indexed="64"/>
        </left>
        <right style="thin">
          <color indexed="64"/>
        </right>
        <top style="thin">
          <color indexed="64"/>
        </top>
      </border>
    </dxf>
    <dxf>
      <fill>
        <patternFill>
          <bgColor rgb="FFB7DEE8"/>
        </patternFill>
      </fill>
    </dxf>
    <dxf>
      <fill>
        <patternFill>
          <bgColor rgb="FFB7DEE8"/>
        </patternFill>
      </fill>
    </dxf>
    <dxf>
      <fill>
        <patternFill>
          <bgColor theme="0"/>
        </patternFill>
      </fill>
    </dxf>
    <dxf>
      <fill>
        <patternFill>
          <bgColor rgb="FFB7DEE8"/>
        </patternFill>
      </fill>
    </dxf>
    <dxf>
      <border>
        <left style="thin">
          <color indexed="64"/>
        </left>
        <right style="thin">
          <color indexed="64"/>
        </right>
        <top/>
        <bottom style="thin">
          <color indexed="64"/>
        </bottom>
      </border>
    </dxf>
    <dxf>
      <fill>
        <patternFill>
          <bgColor rgb="FFB7DEE8"/>
        </patternFill>
      </fill>
    </dxf>
    <dxf>
      <fill>
        <patternFill>
          <bgColor rgb="FFB7DEE8"/>
        </patternFill>
      </fill>
    </dxf>
    <dxf>
      <border>
        <left style="thin">
          <color auto="1"/>
        </left>
        <right style="thin">
          <color auto="1"/>
        </right>
        <bottom style="thin">
          <color auto="1"/>
        </bottom>
        <vertical/>
        <horizontal/>
      </border>
    </dxf>
    <dxf>
      <fill>
        <patternFill>
          <bgColor theme="0"/>
        </patternFill>
      </fill>
    </dxf>
    <dxf>
      <border>
        <left style="thin">
          <color indexed="64"/>
        </left>
        <right style="thin">
          <color indexed="64"/>
        </right>
        <top/>
        <bottom style="thin">
          <color indexed="64"/>
        </bottom>
      </border>
    </dxf>
    <dxf>
      <fill>
        <patternFill>
          <bgColor rgb="FFB7DEE8"/>
        </patternFill>
      </fill>
    </dxf>
    <dxf>
      <fill>
        <patternFill>
          <bgColor rgb="FFB7DEE8"/>
        </patternFill>
      </fill>
    </dxf>
    <dxf>
      <fill>
        <patternFill>
          <bgColor rgb="FFB7DEE8"/>
        </patternFill>
      </fill>
    </dxf>
    <dxf>
      <fill>
        <patternFill patternType="solid">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s>
  <tableStyles count="0" defaultTableStyle="TableStyleMedium2" defaultPivotStyle="PivotStyleLight16"/>
  <colors>
    <mruColors>
      <color rgb="FFB7DEE8"/>
      <color rgb="FFFFFFFF"/>
      <color rgb="FFFFC000"/>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List" dx="22" fmlaLink="Hulpblad_overig!$B$17" fmlaRange="Hulpblad_overig!$A$14:$A$16" sel="1" val="0"/>
</file>

<file path=xl/ctrlProps/ctrlProp10.xml><?xml version="1.0" encoding="utf-8"?>
<formControlPr xmlns="http://schemas.microsoft.com/office/spreadsheetml/2009/9/main" objectType="List" dx="22" fmlaLink="Hulpblad_overig!$C$39" fmlaRange="Hulpblad_overig!$C$34:$C$35" sel="1" val="0"/>
</file>

<file path=xl/ctrlProps/ctrlProp11.xml><?xml version="1.0" encoding="utf-8"?>
<formControlPr xmlns="http://schemas.microsoft.com/office/spreadsheetml/2009/9/main" objectType="List" dx="22" fmlaLink="Hulpblad_overig!$B$11" fmlaRange="Hulpblad_overig!$D$34:$D$35" sel="1" val="0"/>
</file>

<file path=xl/ctrlProps/ctrlProp12.xml><?xml version="1.0" encoding="utf-8"?>
<formControlPr xmlns="http://schemas.microsoft.com/office/spreadsheetml/2009/9/main" objectType="List" dx="22" fmlaLink="Hulpblad_overig!$A$32" fmlaRange="Hulpblad_overig!$A$30:$A$31" sel="1" val="0"/>
</file>

<file path=xl/ctrlProps/ctrlProp2.xml><?xml version="1.0" encoding="utf-8"?>
<formControlPr xmlns="http://schemas.microsoft.com/office/spreadsheetml/2009/9/main" objectType="List" dx="22" fmlaLink="Hulpblad_overig!$B$22" fmlaRange="Hulpblad_overig!$B$19:$BB$20" sel="2" val="0"/>
</file>

<file path=xl/ctrlProps/ctrlProp3.xml><?xml version="1.0" encoding="utf-8"?>
<formControlPr xmlns="http://schemas.microsoft.com/office/spreadsheetml/2009/9/main" objectType="List" dx="22" fmlaLink="Hulpblad_overig!$B$4" fmlaRange="Hulpblad_overig!$A$34:$A$35" sel="1" val="0"/>
</file>

<file path=xl/ctrlProps/ctrlProp4.xml><?xml version="1.0" encoding="utf-8"?>
<formControlPr xmlns="http://schemas.microsoft.com/office/spreadsheetml/2009/9/main" objectType="List" dx="22" fmlaLink="Hulpblad_overig!$B$8" fmlaRange="Hulpblad_overig!$A$7:$A$8" sel="1" val="0"/>
</file>

<file path=xl/ctrlProps/ctrlProp5.xml><?xml version="1.0" encoding="utf-8"?>
<formControlPr xmlns="http://schemas.microsoft.com/office/spreadsheetml/2009/9/main" objectType="List" dx="22" fmlaLink="Hulpblad_overig!$B$231" fmlaRange="Hulpblad_overig!$B$228:$B$230" sel="1" val="0"/>
</file>

<file path=xl/ctrlProps/ctrlProp6.xml><?xml version="1.0" encoding="utf-8"?>
<formControlPr xmlns="http://schemas.microsoft.com/office/spreadsheetml/2009/9/main" objectType="List" dx="22" fmlaLink="Hulpblad_categorieën_parameters!$B$7" fmlaRange="Hulpblad_categorieën_parameters!$B$2:$B$6" sel="1" val="0"/>
</file>

<file path=xl/ctrlProps/ctrlProp7.xml><?xml version="1.0" encoding="utf-8"?>
<formControlPr xmlns="http://schemas.microsoft.com/office/spreadsheetml/2009/9/main" objectType="List" dx="22" fmlaLink="Hulpblad_categorieën_parameters!$C$29" fmlaRange="Hulpblad_categorieën_parameters!$C$16:$C$28" sel="3" val="0"/>
</file>

<file path=xl/ctrlProps/ctrlProp8.xml><?xml version="1.0" encoding="utf-8"?>
<formControlPr xmlns="http://schemas.microsoft.com/office/spreadsheetml/2009/9/main" objectType="List" dx="22" fmlaLink="Hulpblad_categorieën_parameters!$C$81" fmlaRange="Hulpblad_categorieën_parameters!$C$62:$C$80" sel="1" val="0"/>
</file>

<file path=xl/ctrlProps/ctrlProp9.xml><?xml version="1.0" encoding="utf-8"?>
<formControlPr xmlns="http://schemas.microsoft.com/office/spreadsheetml/2009/9/main" objectType="List" dx="22" fmlaLink="Hulpblad_overig!$B$39" fmlaRange="Hulpblad_overig!$B$34:$B$35"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3867151</xdr:colOff>
      <xdr:row>0</xdr:row>
      <xdr:rowOff>0</xdr:rowOff>
    </xdr:from>
    <xdr:to>
      <xdr:col>0</xdr:col>
      <xdr:colOff>6762751</xdr:colOff>
      <xdr:row>0</xdr:row>
      <xdr:rowOff>1478604</xdr:rowOff>
    </xdr:to>
    <xdr:pic>
      <xdr:nvPicPr>
        <xdr:cNvPr id="2" name="Afbeelding 1" descr="logo rijksdienst voor ondernemend nederland">
          <a:extLst>
            <a:ext uri="{FF2B5EF4-FFF2-40B4-BE49-F238E27FC236}">
              <a16:creationId xmlns:a16="http://schemas.microsoft.com/office/drawing/2014/main" id="{C495A515-D5B4-9BCB-1810-74260D1823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67151" y="0"/>
          <a:ext cx="2895600" cy="14786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14</xdr:row>
          <xdr:rowOff>28575</xdr:rowOff>
        </xdr:from>
        <xdr:to>
          <xdr:col>5</xdr:col>
          <xdr:colOff>19050</xdr:colOff>
          <xdr:row>16</xdr:row>
          <xdr:rowOff>142875</xdr:rowOff>
        </xdr:to>
        <xdr:sp macro="" textlink="">
          <xdr:nvSpPr>
            <xdr:cNvPr id="2049" name="List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695325</xdr:colOff>
          <xdr:row>51</xdr:row>
          <xdr:rowOff>47625</xdr:rowOff>
        </xdr:from>
        <xdr:to>
          <xdr:col>7</xdr:col>
          <xdr:colOff>19050</xdr:colOff>
          <xdr:row>53</xdr:row>
          <xdr:rowOff>28575</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1362075</xdr:colOff>
          <xdr:row>7</xdr:row>
          <xdr:rowOff>28575</xdr:rowOff>
        </xdr:from>
        <xdr:to>
          <xdr:col>5</xdr:col>
          <xdr:colOff>0</xdr:colOff>
          <xdr:row>7</xdr:row>
          <xdr:rowOff>323850</xdr:rowOff>
        </xdr:to>
        <xdr:sp macro="" textlink="">
          <xdr:nvSpPr>
            <xdr:cNvPr id="2051" name="List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1352550</xdr:colOff>
          <xdr:row>8</xdr:row>
          <xdr:rowOff>28575</xdr:rowOff>
        </xdr:from>
        <xdr:to>
          <xdr:col>5</xdr:col>
          <xdr:colOff>0</xdr:colOff>
          <xdr:row>8</xdr:row>
          <xdr:rowOff>323850</xdr:rowOff>
        </xdr:to>
        <xdr:sp macro="" textlink="">
          <xdr:nvSpPr>
            <xdr:cNvPr id="2052" name="List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3676650</xdr:colOff>
          <xdr:row>28</xdr:row>
          <xdr:rowOff>28575</xdr:rowOff>
        </xdr:from>
        <xdr:to>
          <xdr:col>5</xdr:col>
          <xdr:colOff>9525</xdr:colOff>
          <xdr:row>29</xdr:row>
          <xdr:rowOff>295275</xdr:rowOff>
        </xdr:to>
        <xdr:sp macro="" textlink="">
          <xdr:nvSpPr>
            <xdr:cNvPr id="3073" name="List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38100</xdr:rowOff>
        </xdr:from>
        <xdr:to>
          <xdr:col>5</xdr:col>
          <xdr:colOff>0</xdr:colOff>
          <xdr:row>7</xdr:row>
          <xdr:rowOff>800100</xdr:rowOff>
        </xdr:to>
        <xdr:sp macro="" textlink="">
          <xdr:nvSpPr>
            <xdr:cNvPr id="3074" name="List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8</xdr:row>
          <xdr:rowOff>47625</xdr:rowOff>
        </xdr:from>
        <xdr:to>
          <xdr:col>5</xdr:col>
          <xdr:colOff>0</xdr:colOff>
          <xdr:row>8</xdr:row>
          <xdr:rowOff>1771650</xdr:rowOff>
        </xdr:to>
        <xdr:sp macro="" textlink="">
          <xdr:nvSpPr>
            <xdr:cNvPr id="3075" name="List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9</xdr:row>
          <xdr:rowOff>19050</xdr:rowOff>
        </xdr:from>
        <xdr:to>
          <xdr:col>5</xdr:col>
          <xdr:colOff>9525</xdr:colOff>
          <xdr:row>9</xdr:row>
          <xdr:rowOff>2162175</xdr:rowOff>
        </xdr:to>
        <xdr:sp macro="" textlink="">
          <xdr:nvSpPr>
            <xdr:cNvPr id="3076" name="List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39</xdr:row>
          <xdr:rowOff>257175</xdr:rowOff>
        </xdr:from>
        <xdr:to>
          <xdr:col>5</xdr:col>
          <xdr:colOff>9525</xdr:colOff>
          <xdr:row>40</xdr:row>
          <xdr:rowOff>304800</xdr:rowOff>
        </xdr:to>
        <xdr:sp macro="" textlink="">
          <xdr:nvSpPr>
            <xdr:cNvPr id="3077" name="List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45</xdr:row>
          <xdr:rowOff>95250</xdr:rowOff>
        </xdr:from>
        <xdr:to>
          <xdr:col>5</xdr:col>
          <xdr:colOff>0</xdr:colOff>
          <xdr:row>45</xdr:row>
          <xdr:rowOff>390525</xdr:rowOff>
        </xdr:to>
        <xdr:sp macro="" textlink="">
          <xdr:nvSpPr>
            <xdr:cNvPr id="3078" name="List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3705225</xdr:colOff>
          <xdr:row>13</xdr:row>
          <xdr:rowOff>19050</xdr:rowOff>
        </xdr:from>
        <xdr:to>
          <xdr:col>3</xdr:col>
          <xdr:colOff>552450</xdr:colOff>
          <xdr:row>14</xdr:row>
          <xdr:rowOff>142875</xdr:rowOff>
        </xdr:to>
        <xdr:sp macro="" textlink="">
          <xdr:nvSpPr>
            <xdr:cNvPr id="3079" name="List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19050</xdr:colOff>
          <xdr:row>32</xdr:row>
          <xdr:rowOff>152400</xdr:rowOff>
        </xdr:from>
        <xdr:to>
          <xdr:col>10</xdr:col>
          <xdr:colOff>9525</xdr:colOff>
          <xdr:row>34</xdr:row>
          <xdr:rowOff>123825</xdr:rowOff>
        </xdr:to>
        <xdr:sp macro="" textlink="">
          <xdr:nvSpPr>
            <xdr:cNvPr id="4097" name="List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rvo.nl/subsidies-financiering/sde/aanvragen/downloads"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omments" Target="../comments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F04D3-B234-46C3-A498-46CC0E2CA5A8}">
  <dimension ref="A1:WVI34"/>
  <sheetViews>
    <sheetView tabSelected="1" zoomScaleNormal="100" workbookViewId="0">
      <selection activeCell="B34" sqref="B34"/>
    </sheetView>
  </sheetViews>
  <sheetFormatPr defaultColWidth="0" defaultRowHeight="15" zeroHeight="1" x14ac:dyDescent="0.25"/>
  <cols>
    <col min="1" max="1" width="123.85546875" style="2" customWidth="1"/>
    <col min="2" max="2" width="9.140625" style="2" customWidth="1"/>
    <col min="3" max="256" width="9.140625" style="2" hidden="1"/>
    <col min="257" max="257" width="123.85546875" style="2" hidden="1"/>
    <col min="258" max="512" width="9.140625" style="2" hidden="1"/>
    <col min="513" max="513" width="123.85546875" style="2" hidden="1"/>
    <col min="514" max="768" width="9.140625" style="2" hidden="1"/>
    <col min="769" max="769" width="123.85546875" style="2" hidden="1"/>
    <col min="770" max="1024" width="9.140625" style="2" hidden="1"/>
    <col min="1025" max="1025" width="123.85546875" style="2" hidden="1"/>
    <col min="1026" max="1280" width="9.140625" style="2" hidden="1"/>
    <col min="1281" max="1281" width="123.85546875" style="2" hidden="1"/>
    <col min="1282" max="1536" width="9.140625" style="2" hidden="1"/>
    <col min="1537" max="1537" width="123.85546875" style="2" hidden="1"/>
    <col min="1538" max="1792" width="9.140625" style="2" hidden="1"/>
    <col min="1793" max="1793" width="123.85546875" style="2" hidden="1"/>
    <col min="1794" max="2048" width="9.140625" style="2" hidden="1"/>
    <col min="2049" max="2049" width="123.85546875" style="2" hidden="1"/>
    <col min="2050" max="2304" width="9.140625" style="2" hidden="1"/>
    <col min="2305" max="2305" width="123.85546875" style="2" hidden="1"/>
    <col min="2306" max="2560" width="9.140625" style="2" hidden="1"/>
    <col min="2561" max="2561" width="123.85546875" style="2" hidden="1"/>
    <col min="2562" max="2816" width="9.140625" style="2" hidden="1"/>
    <col min="2817" max="2817" width="123.85546875" style="2" hidden="1"/>
    <col min="2818" max="3072" width="9.140625" style="2" hidden="1"/>
    <col min="3073" max="3073" width="123.85546875" style="2" hidden="1"/>
    <col min="3074" max="3328" width="9.140625" style="2" hidden="1"/>
    <col min="3329" max="3329" width="123.85546875" style="2" hidden="1"/>
    <col min="3330" max="3584" width="9.140625" style="2" hidden="1"/>
    <col min="3585" max="3585" width="123.85546875" style="2" hidden="1"/>
    <col min="3586" max="3840" width="9.140625" style="2" hidden="1"/>
    <col min="3841" max="3841" width="123.85546875" style="2" hidden="1"/>
    <col min="3842" max="4096" width="9.140625" style="2" hidden="1"/>
    <col min="4097" max="4097" width="123.85546875" style="2" hidden="1"/>
    <col min="4098" max="4352" width="9.140625" style="2" hidden="1"/>
    <col min="4353" max="4353" width="123.85546875" style="2" hidden="1"/>
    <col min="4354" max="4608" width="9.140625" style="2" hidden="1"/>
    <col min="4609" max="4609" width="123.85546875" style="2" hidden="1"/>
    <col min="4610" max="4864" width="9.140625" style="2" hidden="1"/>
    <col min="4865" max="4865" width="123.85546875" style="2" hidden="1"/>
    <col min="4866" max="5120" width="9.140625" style="2" hidden="1"/>
    <col min="5121" max="5121" width="123.85546875" style="2" hidden="1"/>
    <col min="5122" max="5376" width="9.140625" style="2" hidden="1"/>
    <col min="5377" max="5377" width="123.85546875" style="2" hidden="1"/>
    <col min="5378" max="5632" width="9.140625" style="2" hidden="1"/>
    <col min="5633" max="5633" width="123.85546875" style="2" hidden="1"/>
    <col min="5634" max="5888" width="9.140625" style="2" hidden="1"/>
    <col min="5889" max="5889" width="123.85546875" style="2" hidden="1"/>
    <col min="5890" max="6144" width="9.140625" style="2" hidden="1"/>
    <col min="6145" max="6145" width="123.85546875" style="2" hidden="1"/>
    <col min="6146" max="6400" width="9.140625" style="2" hidden="1"/>
    <col min="6401" max="6401" width="123.85546875" style="2" hidden="1"/>
    <col min="6402" max="6656" width="9.140625" style="2" hidden="1"/>
    <col min="6657" max="6657" width="123.85546875" style="2" hidden="1"/>
    <col min="6658" max="6912" width="9.140625" style="2" hidden="1"/>
    <col min="6913" max="6913" width="123.85546875" style="2" hidden="1"/>
    <col min="6914" max="7168" width="9.140625" style="2" hidden="1"/>
    <col min="7169" max="7169" width="123.85546875" style="2" hidden="1"/>
    <col min="7170" max="7424" width="9.140625" style="2" hidden="1"/>
    <col min="7425" max="7425" width="123.85546875" style="2" hidden="1"/>
    <col min="7426" max="7680" width="9.140625" style="2" hidden="1"/>
    <col min="7681" max="7681" width="123.85546875" style="2" hidden="1"/>
    <col min="7682" max="7936" width="9.140625" style="2" hidden="1"/>
    <col min="7937" max="7937" width="123.85546875" style="2" hidden="1"/>
    <col min="7938" max="8192" width="9.140625" style="2" hidden="1"/>
    <col min="8193" max="8193" width="123.85546875" style="2" hidden="1"/>
    <col min="8194" max="8448" width="9.140625" style="2" hidden="1"/>
    <col min="8449" max="8449" width="123.85546875" style="2" hidden="1"/>
    <col min="8450" max="8704" width="9.140625" style="2" hidden="1"/>
    <col min="8705" max="8705" width="123.85546875" style="2" hidden="1"/>
    <col min="8706" max="8960" width="9.140625" style="2" hidden="1"/>
    <col min="8961" max="8961" width="123.85546875" style="2" hidden="1"/>
    <col min="8962" max="9216" width="9.140625" style="2" hidden="1"/>
    <col min="9217" max="9217" width="123.85546875" style="2" hidden="1"/>
    <col min="9218" max="9472" width="9.140625" style="2" hidden="1"/>
    <col min="9473" max="9473" width="123.85546875" style="2" hidden="1"/>
    <col min="9474" max="9728" width="9.140625" style="2" hidden="1"/>
    <col min="9729" max="9729" width="123.85546875" style="2" hidden="1"/>
    <col min="9730" max="9984" width="9.140625" style="2" hidden="1"/>
    <col min="9985" max="9985" width="123.85546875" style="2" hidden="1"/>
    <col min="9986" max="10240" width="9.140625" style="2" hidden="1"/>
    <col min="10241" max="10241" width="123.85546875" style="2" hidden="1"/>
    <col min="10242" max="10496" width="9.140625" style="2" hidden="1"/>
    <col min="10497" max="10497" width="123.85546875" style="2" hidden="1"/>
    <col min="10498" max="10752" width="9.140625" style="2" hidden="1"/>
    <col min="10753" max="10753" width="123.85546875" style="2" hidden="1"/>
    <col min="10754" max="11008" width="9.140625" style="2" hidden="1"/>
    <col min="11009" max="11009" width="123.85546875" style="2" hidden="1"/>
    <col min="11010" max="11264" width="9.140625" style="2" hidden="1"/>
    <col min="11265" max="11265" width="123.85546875" style="2" hidden="1"/>
    <col min="11266" max="11520" width="9.140625" style="2" hidden="1"/>
    <col min="11521" max="11521" width="123.85546875" style="2" hidden="1"/>
    <col min="11522" max="11776" width="9.140625" style="2" hidden="1"/>
    <col min="11777" max="11777" width="123.85546875" style="2" hidden="1"/>
    <col min="11778" max="12032" width="9.140625" style="2" hidden="1"/>
    <col min="12033" max="12033" width="123.85546875" style="2" hidden="1"/>
    <col min="12034" max="12288" width="9.140625" style="2" hidden="1"/>
    <col min="12289" max="12289" width="123.85546875" style="2" hidden="1"/>
    <col min="12290" max="12544" width="9.140625" style="2" hidden="1"/>
    <col min="12545" max="12545" width="123.85546875" style="2" hidden="1"/>
    <col min="12546" max="12800" width="9.140625" style="2" hidden="1"/>
    <col min="12801" max="12801" width="123.85546875" style="2" hidden="1"/>
    <col min="12802" max="13056" width="9.140625" style="2" hidden="1"/>
    <col min="13057" max="13057" width="123.85546875" style="2" hidden="1"/>
    <col min="13058" max="13312" width="9.140625" style="2" hidden="1"/>
    <col min="13313" max="13313" width="123.85546875" style="2" hidden="1"/>
    <col min="13314" max="13568" width="9.140625" style="2" hidden="1"/>
    <col min="13569" max="13569" width="123.85546875" style="2" hidden="1"/>
    <col min="13570" max="13824" width="9.140625" style="2" hidden="1"/>
    <col min="13825" max="13825" width="123.85546875" style="2" hidden="1"/>
    <col min="13826" max="14080" width="9.140625" style="2" hidden="1"/>
    <col min="14081" max="14081" width="123.85546875" style="2" hidden="1"/>
    <col min="14082" max="14336" width="9.140625" style="2" hidden="1"/>
    <col min="14337" max="14337" width="123.85546875" style="2" hidden="1"/>
    <col min="14338" max="14592" width="9.140625" style="2" hidden="1"/>
    <col min="14593" max="14593" width="123.85546875" style="2" hidden="1"/>
    <col min="14594" max="14848" width="9.140625" style="2" hidden="1"/>
    <col min="14849" max="14849" width="123.85546875" style="2" hidden="1"/>
    <col min="14850" max="15104" width="9.140625" style="2" hidden="1"/>
    <col min="15105" max="15105" width="123.85546875" style="2" hidden="1"/>
    <col min="15106" max="15360" width="9.140625" style="2" hidden="1"/>
    <col min="15361" max="15361" width="123.85546875" style="2" hidden="1"/>
    <col min="15362" max="15616" width="9.140625" style="2" hidden="1"/>
    <col min="15617" max="15617" width="123.85546875" style="2" hidden="1"/>
    <col min="15618" max="15872" width="9.140625" style="2" hidden="1"/>
    <col min="15873" max="15873" width="123.85546875" style="2" hidden="1"/>
    <col min="15874" max="16128" width="9.140625" style="2" hidden="1"/>
    <col min="16129" max="16129" width="123.85546875" style="2" hidden="1"/>
    <col min="16130" max="16384" width="9.140625" style="2" hidden="1"/>
  </cols>
  <sheetData>
    <row r="1" spans="1:2" ht="135" customHeight="1" x14ac:dyDescent="0.25"/>
    <row r="2" spans="1:2" ht="35.25" x14ac:dyDescent="0.25">
      <c r="A2" s="18" t="s">
        <v>743</v>
      </c>
    </row>
    <row r="3" spans="1:2" ht="36" customHeight="1" x14ac:dyDescent="0.25">
      <c r="A3" s="19" t="s">
        <v>1041</v>
      </c>
    </row>
    <row r="4" spans="1:2" ht="21.95" customHeight="1" x14ac:dyDescent="0.25">
      <c r="A4" s="20" t="s">
        <v>0</v>
      </c>
    </row>
    <row r="5" spans="1:2" ht="43.15" customHeight="1" x14ac:dyDescent="0.25">
      <c r="A5" s="3" t="s">
        <v>982</v>
      </c>
    </row>
    <row r="6" spans="1:2" ht="14.25" customHeight="1" x14ac:dyDescent="0.25">
      <c r="A6" s="21" t="s">
        <v>1</v>
      </c>
      <c r="B6" s="22"/>
    </row>
    <row r="7" spans="1:2" ht="25.5" x14ac:dyDescent="0.25">
      <c r="A7" s="3" t="s">
        <v>2</v>
      </c>
    </row>
    <row r="8" spans="1:2" ht="33.75" customHeight="1" x14ac:dyDescent="0.25">
      <c r="A8" s="20" t="s">
        <v>3</v>
      </c>
    </row>
    <row r="9" spans="1:2" ht="45" customHeight="1" x14ac:dyDescent="0.25">
      <c r="A9" s="3" t="s">
        <v>4</v>
      </c>
    </row>
    <row r="10" spans="1:2" ht="27" customHeight="1" x14ac:dyDescent="0.25">
      <c r="A10" s="20" t="s">
        <v>5</v>
      </c>
    </row>
    <row r="11" spans="1:2" x14ac:dyDescent="0.25">
      <c r="A11" s="23" t="s">
        <v>6</v>
      </c>
    </row>
    <row r="12" spans="1:2" ht="25.5" x14ac:dyDescent="0.25">
      <c r="A12" s="3" t="s">
        <v>7</v>
      </c>
    </row>
    <row r="13" spans="1:2" s="4" customFormat="1" x14ac:dyDescent="0.25">
      <c r="A13" s="12"/>
    </row>
    <row r="14" spans="1:2" x14ac:dyDescent="0.25">
      <c r="A14" s="23" t="s">
        <v>8</v>
      </c>
    </row>
    <row r="15" spans="1:2" ht="38.25" x14ac:dyDescent="0.25">
      <c r="A15" s="3" t="s">
        <v>9</v>
      </c>
    </row>
    <row r="16" spans="1:2" x14ac:dyDescent="0.25">
      <c r="A16" s="3"/>
    </row>
    <row r="17" spans="1:5" x14ac:dyDescent="0.25">
      <c r="A17" s="23" t="s">
        <v>10</v>
      </c>
    </row>
    <row r="18" spans="1:5" ht="38.25" x14ac:dyDescent="0.25">
      <c r="A18" s="3" t="s">
        <v>11</v>
      </c>
    </row>
    <row r="19" spans="1:5" x14ac:dyDescent="0.25">
      <c r="A19" s="23"/>
    </row>
    <row r="20" spans="1:5" x14ac:dyDescent="0.25">
      <c r="A20" s="24" t="s">
        <v>12</v>
      </c>
      <c r="B20" s="3"/>
      <c r="C20" s="3"/>
      <c r="D20" s="3"/>
      <c r="E20" s="3"/>
    </row>
    <row r="21" spans="1:5" ht="25.5" x14ac:dyDescent="0.25">
      <c r="A21" s="3" t="s">
        <v>13</v>
      </c>
      <c r="B21" s="3"/>
      <c r="C21" s="3"/>
      <c r="D21" s="3"/>
      <c r="E21" s="3"/>
    </row>
    <row r="22" spans="1:5" x14ac:dyDescent="0.25">
      <c r="A22" s="3" t="s">
        <v>14</v>
      </c>
      <c r="B22" s="3"/>
      <c r="C22" s="3"/>
      <c r="D22" s="3"/>
      <c r="E22" s="3"/>
    </row>
    <row r="23" spans="1:5" x14ac:dyDescent="0.25">
      <c r="A23" s="3" t="s">
        <v>15</v>
      </c>
      <c r="B23" s="3"/>
      <c r="C23" s="3"/>
      <c r="D23" s="3"/>
      <c r="E23" s="3"/>
    </row>
    <row r="24" spans="1:5" ht="11.25" customHeight="1" x14ac:dyDescent="0.25"/>
    <row r="25" spans="1:5" ht="21.95" customHeight="1" x14ac:dyDescent="0.25">
      <c r="A25" s="1" t="s">
        <v>16</v>
      </c>
    </row>
    <row r="26" spans="1:5" ht="25.5" x14ac:dyDescent="0.25">
      <c r="A26" s="3" t="s">
        <v>17</v>
      </c>
    </row>
    <row r="27" spans="1:5" ht="34.5" customHeight="1" x14ac:dyDescent="0.25">
      <c r="A27" s="3" t="s">
        <v>18</v>
      </c>
    </row>
    <row r="28" spans="1:5" ht="21.95" customHeight="1" x14ac:dyDescent="0.25">
      <c r="A28" s="20" t="s">
        <v>19</v>
      </c>
    </row>
    <row r="29" spans="1:5" ht="25.5" x14ac:dyDescent="0.25">
      <c r="A29" s="3" t="s">
        <v>20</v>
      </c>
    </row>
    <row r="30" spans="1:5" x14ac:dyDescent="0.25"/>
    <row r="31" spans="1:5" x14ac:dyDescent="0.25"/>
    <row r="32" spans="1:5" x14ac:dyDescent="0.25"/>
    <row r="33" spans="1:1" x14ac:dyDescent="0.25">
      <c r="A33" s="25"/>
    </row>
    <row r="34" spans="1:1" x14ac:dyDescent="0.25"/>
  </sheetData>
  <sheetProtection algorithmName="SHA-512" hashValue="kaFbH9N3Bnegck0DIgxyguICjW8h9WnZymd5edh1OZ4H1FIHkXQ+izWXE9i357pfMHVOjU6ifnTVnJiU+ffZVg==" saltValue="hr7OcvmUYwMdYXkX9zMNbQ==" spinCount="100000" sheet="1" objects="1" scenarios="1"/>
  <hyperlinks>
    <hyperlink ref="A6" r:id="rId1" xr:uid="{EB37CBA0-F96C-489F-AB87-860672FDF22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437A-E80A-413F-AD3A-A8C2B333BB16}">
  <dimension ref="A1:W101"/>
  <sheetViews>
    <sheetView zoomScaleNormal="100" workbookViewId="0">
      <selection activeCell="H22" sqref="H22"/>
    </sheetView>
  </sheetViews>
  <sheetFormatPr defaultColWidth="8.7109375" defaultRowHeight="15" x14ac:dyDescent="0.25"/>
  <cols>
    <col min="1" max="1" width="38" style="4" customWidth="1"/>
    <col min="2" max="3" width="8.7109375" style="4"/>
    <col min="4" max="4" width="23.140625" style="4" customWidth="1"/>
    <col min="5" max="5" width="40.42578125" style="4" customWidth="1"/>
    <col min="6" max="6" width="10.5703125" style="4" customWidth="1"/>
    <col min="7" max="7" width="14" style="4" customWidth="1"/>
    <col min="8" max="8" width="125" style="4" customWidth="1"/>
    <col min="9" max="22" width="11.7109375" style="4" customWidth="1"/>
    <col min="23" max="23" width="10.140625" style="4" bestFit="1" customWidth="1"/>
    <col min="24" max="256" width="8.7109375" style="4"/>
    <col min="257" max="257" width="38" style="4" customWidth="1"/>
    <col min="258" max="259" width="8.7109375" style="4"/>
    <col min="260" max="260" width="23.140625" style="4" customWidth="1"/>
    <col min="261" max="261" width="40.42578125" style="4" customWidth="1"/>
    <col min="262" max="262" width="10.5703125" style="4" customWidth="1"/>
    <col min="263" max="263" width="14" style="4" customWidth="1"/>
    <col min="264" max="264" width="125" style="4" customWidth="1"/>
    <col min="265" max="278" width="11.7109375" style="4" customWidth="1"/>
    <col min="279" max="279" width="10.140625" style="4" bestFit="1" customWidth="1"/>
    <col min="280" max="512" width="8.7109375" style="4"/>
    <col min="513" max="513" width="38" style="4" customWidth="1"/>
    <col min="514" max="515" width="8.7109375" style="4"/>
    <col min="516" max="516" width="23.140625" style="4" customWidth="1"/>
    <col min="517" max="517" width="40.42578125" style="4" customWidth="1"/>
    <col min="518" max="518" width="10.5703125" style="4" customWidth="1"/>
    <col min="519" max="519" width="14" style="4" customWidth="1"/>
    <col min="520" max="520" width="125" style="4" customWidth="1"/>
    <col min="521" max="534" width="11.7109375" style="4" customWidth="1"/>
    <col min="535" max="535" width="10.140625" style="4" bestFit="1" customWidth="1"/>
    <col min="536" max="768" width="8.7109375" style="4"/>
    <col min="769" max="769" width="38" style="4" customWidth="1"/>
    <col min="770" max="771" width="8.7109375" style="4"/>
    <col min="772" max="772" width="23.140625" style="4" customWidth="1"/>
    <col min="773" max="773" width="40.42578125" style="4" customWidth="1"/>
    <col min="774" max="774" width="10.5703125" style="4" customWidth="1"/>
    <col min="775" max="775" width="14" style="4" customWidth="1"/>
    <col min="776" max="776" width="125" style="4" customWidth="1"/>
    <col min="777" max="790" width="11.7109375" style="4" customWidth="1"/>
    <col min="791" max="791" width="10.140625" style="4" bestFit="1" customWidth="1"/>
    <col min="792" max="1024" width="8.7109375" style="4"/>
    <col min="1025" max="1025" width="38" style="4" customWidth="1"/>
    <col min="1026" max="1027" width="8.7109375" style="4"/>
    <col min="1028" max="1028" width="23.140625" style="4" customWidth="1"/>
    <col min="1029" max="1029" width="40.42578125" style="4" customWidth="1"/>
    <col min="1030" max="1030" width="10.5703125" style="4" customWidth="1"/>
    <col min="1031" max="1031" width="14" style="4" customWidth="1"/>
    <col min="1032" max="1032" width="125" style="4" customWidth="1"/>
    <col min="1033" max="1046" width="11.7109375" style="4" customWidth="1"/>
    <col min="1047" max="1047" width="10.140625" style="4" bestFit="1" customWidth="1"/>
    <col min="1048" max="1280" width="8.7109375" style="4"/>
    <col min="1281" max="1281" width="38" style="4" customWidth="1"/>
    <col min="1282" max="1283" width="8.7109375" style="4"/>
    <col min="1284" max="1284" width="23.140625" style="4" customWidth="1"/>
    <col min="1285" max="1285" width="40.42578125" style="4" customWidth="1"/>
    <col min="1286" max="1286" width="10.5703125" style="4" customWidth="1"/>
    <col min="1287" max="1287" width="14" style="4" customWidth="1"/>
    <col min="1288" max="1288" width="125" style="4" customWidth="1"/>
    <col min="1289" max="1302" width="11.7109375" style="4" customWidth="1"/>
    <col min="1303" max="1303" width="10.140625" style="4" bestFit="1" customWidth="1"/>
    <col min="1304" max="1536" width="8.7109375" style="4"/>
    <col min="1537" max="1537" width="38" style="4" customWidth="1"/>
    <col min="1538" max="1539" width="8.7109375" style="4"/>
    <col min="1540" max="1540" width="23.140625" style="4" customWidth="1"/>
    <col min="1541" max="1541" width="40.42578125" style="4" customWidth="1"/>
    <col min="1542" max="1542" width="10.5703125" style="4" customWidth="1"/>
    <col min="1543" max="1543" width="14" style="4" customWidth="1"/>
    <col min="1544" max="1544" width="125" style="4" customWidth="1"/>
    <col min="1545" max="1558" width="11.7109375" style="4" customWidth="1"/>
    <col min="1559" max="1559" width="10.140625" style="4" bestFit="1" customWidth="1"/>
    <col min="1560" max="1792" width="8.7109375" style="4"/>
    <col min="1793" max="1793" width="38" style="4" customWidth="1"/>
    <col min="1794" max="1795" width="8.7109375" style="4"/>
    <col min="1796" max="1796" width="23.140625" style="4" customWidth="1"/>
    <col min="1797" max="1797" width="40.42578125" style="4" customWidth="1"/>
    <col min="1798" max="1798" width="10.5703125" style="4" customWidth="1"/>
    <col min="1799" max="1799" width="14" style="4" customWidth="1"/>
    <col min="1800" max="1800" width="125" style="4" customWidth="1"/>
    <col min="1801" max="1814" width="11.7109375" style="4" customWidth="1"/>
    <col min="1815" max="1815" width="10.140625" style="4" bestFit="1" customWidth="1"/>
    <col min="1816" max="2048" width="8.7109375" style="4"/>
    <col min="2049" max="2049" width="38" style="4" customWidth="1"/>
    <col min="2050" max="2051" width="8.7109375" style="4"/>
    <col min="2052" max="2052" width="23.140625" style="4" customWidth="1"/>
    <col min="2053" max="2053" width="40.42578125" style="4" customWidth="1"/>
    <col min="2054" max="2054" width="10.5703125" style="4" customWidth="1"/>
    <col min="2055" max="2055" width="14" style="4" customWidth="1"/>
    <col min="2056" max="2056" width="125" style="4" customWidth="1"/>
    <col min="2057" max="2070" width="11.7109375" style="4" customWidth="1"/>
    <col min="2071" max="2071" width="10.140625" style="4" bestFit="1" customWidth="1"/>
    <col min="2072" max="2304" width="8.7109375" style="4"/>
    <col min="2305" max="2305" width="38" style="4" customWidth="1"/>
    <col min="2306" max="2307" width="8.7109375" style="4"/>
    <col min="2308" max="2308" width="23.140625" style="4" customWidth="1"/>
    <col min="2309" max="2309" width="40.42578125" style="4" customWidth="1"/>
    <col min="2310" max="2310" width="10.5703125" style="4" customWidth="1"/>
    <col min="2311" max="2311" width="14" style="4" customWidth="1"/>
    <col min="2312" max="2312" width="125" style="4" customWidth="1"/>
    <col min="2313" max="2326" width="11.7109375" style="4" customWidth="1"/>
    <col min="2327" max="2327" width="10.140625" style="4" bestFit="1" customWidth="1"/>
    <col min="2328" max="2560" width="8.7109375" style="4"/>
    <col min="2561" max="2561" width="38" style="4" customWidth="1"/>
    <col min="2562" max="2563" width="8.7109375" style="4"/>
    <col min="2564" max="2564" width="23.140625" style="4" customWidth="1"/>
    <col min="2565" max="2565" width="40.42578125" style="4" customWidth="1"/>
    <col min="2566" max="2566" width="10.5703125" style="4" customWidth="1"/>
    <col min="2567" max="2567" width="14" style="4" customWidth="1"/>
    <col min="2568" max="2568" width="125" style="4" customWidth="1"/>
    <col min="2569" max="2582" width="11.7109375" style="4" customWidth="1"/>
    <col min="2583" max="2583" width="10.140625" style="4" bestFit="1" customWidth="1"/>
    <col min="2584" max="2816" width="8.7109375" style="4"/>
    <col min="2817" max="2817" width="38" style="4" customWidth="1"/>
    <col min="2818" max="2819" width="8.7109375" style="4"/>
    <col min="2820" max="2820" width="23.140625" style="4" customWidth="1"/>
    <col min="2821" max="2821" width="40.42578125" style="4" customWidth="1"/>
    <col min="2822" max="2822" width="10.5703125" style="4" customWidth="1"/>
    <col min="2823" max="2823" width="14" style="4" customWidth="1"/>
    <col min="2824" max="2824" width="125" style="4" customWidth="1"/>
    <col min="2825" max="2838" width="11.7109375" style="4" customWidth="1"/>
    <col min="2839" max="2839" width="10.140625" style="4" bestFit="1" customWidth="1"/>
    <col min="2840" max="3072" width="8.7109375" style="4"/>
    <col min="3073" max="3073" width="38" style="4" customWidth="1"/>
    <col min="3074" max="3075" width="8.7109375" style="4"/>
    <col min="3076" max="3076" width="23.140625" style="4" customWidth="1"/>
    <col min="3077" max="3077" width="40.42578125" style="4" customWidth="1"/>
    <col min="3078" max="3078" width="10.5703125" style="4" customWidth="1"/>
    <col min="3079" max="3079" width="14" style="4" customWidth="1"/>
    <col min="3080" max="3080" width="125" style="4" customWidth="1"/>
    <col min="3081" max="3094" width="11.7109375" style="4" customWidth="1"/>
    <col min="3095" max="3095" width="10.140625" style="4" bestFit="1" customWidth="1"/>
    <col min="3096" max="3328" width="8.7109375" style="4"/>
    <col min="3329" max="3329" width="38" style="4" customWidth="1"/>
    <col min="3330" max="3331" width="8.7109375" style="4"/>
    <col min="3332" max="3332" width="23.140625" style="4" customWidth="1"/>
    <col min="3333" max="3333" width="40.42578125" style="4" customWidth="1"/>
    <col min="3334" max="3334" width="10.5703125" style="4" customWidth="1"/>
    <col min="3335" max="3335" width="14" style="4" customWidth="1"/>
    <col min="3336" max="3336" width="125" style="4" customWidth="1"/>
    <col min="3337" max="3350" width="11.7109375" style="4" customWidth="1"/>
    <col min="3351" max="3351" width="10.140625" style="4" bestFit="1" customWidth="1"/>
    <col min="3352" max="3584" width="8.7109375" style="4"/>
    <col min="3585" max="3585" width="38" style="4" customWidth="1"/>
    <col min="3586" max="3587" width="8.7109375" style="4"/>
    <col min="3588" max="3588" width="23.140625" style="4" customWidth="1"/>
    <col min="3589" max="3589" width="40.42578125" style="4" customWidth="1"/>
    <col min="3590" max="3590" width="10.5703125" style="4" customWidth="1"/>
    <col min="3591" max="3591" width="14" style="4" customWidth="1"/>
    <col min="3592" max="3592" width="125" style="4" customWidth="1"/>
    <col min="3593" max="3606" width="11.7109375" style="4" customWidth="1"/>
    <col min="3607" max="3607" width="10.140625" style="4" bestFit="1" customWidth="1"/>
    <col min="3608" max="3840" width="8.7109375" style="4"/>
    <col min="3841" max="3841" width="38" style="4" customWidth="1"/>
    <col min="3842" max="3843" width="8.7109375" style="4"/>
    <col min="3844" max="3844" width="23.140625" style="4" customWidth="1"/>
    <col min="3845" max="3845" width="40.42578125" style="4" customWidth="1"/>
    <col min="3846" max="3846" width="10.5703125" style="4" customWidth="1"/>
    <col min="3847" max="3847" width="14" style="4" customWidth="1"/>
    <col min="3848" max="3848" width="125" style="4" customWidth="1"/>
    <col min="3849" max="3862" width="11.7109375" style="4" customWidth="1"/>
    <col min="3863" max="3863" width="10.140625" style="4" bestFit="1" customWidth="1"/>
    <col min="3864" max="4096" width="8.7109375" style="4"/>
    <col min="4097" max="4097" width="38" style="4" customWidth="1"/>
    <col min="4098" max="4099" width="8.7109375" style="4"/>
    <col min="4100" max="4100" width="23.140625" style="4" customWidth="1"/>
    <col min="4101" max="4101" width="40.42578125" style="4" customWidth="1"/>
    <col min="4102" max="4102" width="10.5703125" style="4" customWidth="1"/>
    <col min="4103" max="4103" width="14" style="4" customWidth="1"/>
    <col min="4104" max="4104" width="125" style="4" customWidth="1"/>
    <col min="4105" max="4118" width="11.7109375" style="4" customWidth="1"/>
    <col min="4119" max="4119" width="10.140625" style="4" bestFit="1" customWidth="1"/>
    <col min="4120" max="4352" width="8.7109375" style="4"/>
    <col min="4353" max="4353" width="38" style="4" customWidth="1"/>
    <col min="4354" max="4355" width="8.7109375" style="4"/>
    <col min="4356" max="4356" width="23.140625" style="4" customWidth="1"/>
    <col min="4357" max="4357" width="40.42578125" style="4" customWidth="1"/>
    <col min="4358" max="4358" width="10.5703125" style="4" customWidth="1"/>
    <col min="4359" max="4359" width="14" style="4" customWidth="1"/>
    <col min="4360" max="4360" width="125" style="4" customWidth="1"/>
    <col min="4361" max="4374" width="11.7109375" style="4" customWidth="1"/>
    <col min="4375" max="4375" width="10.140625" style="4" bestFit="1" customWidth="1"/>
    <col min="4376" max="4608" width="8.7109375" style="4"/>
    <col min="4609" max="4609" width="38" style="4" customWidth="1"/>
    <col min="4610" max="4611" width="8.7109375" style="4"/>
    <col min="4612" max="4612" width="23.140625" style="4" customWidth="1"/>
    <col min="4613" max="4613" width="40.42578125" style="4" customWidth="1"/>
    <col min="4614" max="4614" width="10.5703125" style="4" customWidth="1"/>
    <col min="4615" max="4615" width="14" style="4" customWidth="1"/>
    <col min="4616" max="4616" width="125" style="4" customWidth="1"/>
    <col min="4617" max="4630" width="11.7109375" style="4" customWidth="1"/>
    <col min="4631" max="4631" width="10.140625" style="4" bestFit="1" customWidth="1"/>
    <col min="4632" max="4864" width="8.7109375" style="4"/>
    <col min="4865" max="4865" width="38" style="4" customWidth="1"/>
    <col min="4866" max="4867" width="8.7109375" style="4"/>
    <col min="4868" max="4868" width="23.140625" style="4" customWidth="1"/>
    <col min="4869" max="4869" width="40.42578125" style="4" customWidth="1"/>
    <col min="4870" max="4870" width="10.5703125" style="4" customWidth="1"/>
    <col min="4871" max="4871" width="14" style="4" customWidth="1"/>
    <col min="4872" max="4872" width="125" style="4" customWidth="1"/>
    <col min="4873" max="4886" width="11.7109375" style="4" customWidth="1"/>
    <col min="4887" max="4887" width="10.140625" style="4" bestFit="1" customWidth="1"/>
    <col min="4888" max="5120" width="8.7109375" style="4"/>
    <col min="5121" max="5121" width="38" style="4" customWidth="1"/>
    <col min="5122" max="5123" width="8.7109375" style="4"/>
    <col min="5124" max="5124" width="23.140625" style="4" customWidth="1"/>
    <col min="5125" max="5125" width="40.42578125" style="4" customWidth="1"/>
    <col min="5126" max="5126" width="10.5703125" style="4" customWidth="1"/>
    <col min="5127" max="5127" width="14" style="4" customWidth="1"/>
    <col min="5128" max="5128" width="125" style="4" customWidth="1"/>
    <col min="5129" max="5142" width="11.7109375" style="4" customWidth="1"/>
    <col min="5143" max="5143" width="10.140625" style="4" bestFit="1" customWidth="1"/>
    <col min="5144" max="5376" width="8.7109375" style="4"/>
    <col min="5377" max="5377" width="38" style="4" customWidth="1"/>
    <col min="5378" max="5379" width="8.7109375" style="4"/>
    <col min="5380" max="5380" width="23.140625" style="4" customWidth="1"/>
    <col min="5381" max="5381" width="40.42578125" style="4" customWidth="1"/>
    <col min="5382" max="5382" width="10.5703125" style="4" customWidth="1"/>
    <col min="5383" max="5383" width="14" style="4" customWidth="1"/>
    <col min="5384" max="5384" width="125" style="4" customWidth="1"/>
    <col min="5385" max="5398" width="11.7109375" style="4" customWidth="1"/>
    <col min="5399" max="5399" width="10.140625" style="4" bestFit="1" customWidth="1"/>
    <col min="5400" max="5632" width="8.7109375" style="4"/>
    <col min="5633" max="5633" width="38" style="4" customWidth="1"/>
    <col min="5634" max="5635" width="8.7109375" style="4"/>
    <col min="5636" max="5636" width="23.140625" style="4" customWidth="1"/>
    <col min="5637" max="5637" width="40.42578125" style="4" customWidth="1"/>
    <col min="5638" max="5638" width="10.5703125" style="4" customWidth="1"/>
    <col min="5639" max="5639" width="14" style="4" customWidth="1"/>
    <col min="5640" max="5640" width="125" style="4" customWidth="1"/>
    <col min="5641" max="5654" width="11.7109375" style="4" customWidth="1"/>
    <col min="5655" max="5655" width="10.140625" style="4" bestFit="1" customWidth="1"/>
    <col min="5656" max="5888" width="8.7109375" style="4"/>
    <col min="5889" max="5889" width="38" style="4" customWidth="1"/>
    <col min="5890" max="5891" width="8.7109375" style="4"/>
    <col min="5892" max="5892" width="23.140625" style="4" customWidth="1"/>
    <col min="5893" max="5893" width="40.42578125" style="4" customWidth="1"/>
    <col min="5894" max="5894" width="10.5703125" style="4" customWidth="1"/>
    <col min="5895" max="5895" width="14" style="4" customWidth="1"/>
    <col min="5896" max="5896" width="125" style="4" customWidth="1"/>
    <col min="5897" max="5910" width="11.7109375" style="4" customWidth="1"/>
    <col min="5911" max="5911" width="10.140625" style="4" bestFit="1" customWidth="1"/>
    <col min="5912" max="6144" width="8.7109375" style="4"/>
    <col min="6145" max="6145" width="38" style="4" customWidth="1"/>
    <col min="6146" max="6147" width="8.7109375" style="4"/>
    <col min="6148" max="6148" width="23.140625" style="4" customWidth="1"/>
    <col min="6149" max="6149" width="40.42578125" style="4" customWidth="1"/>
    <col min="6150" max="6150" width="10.5703125" style="4" customWidth="1"/>
    <col min="6151" max="6151" width="14" style="4" customWidth="1"/>
    <col min="6152" max="6152" width="125" style="4" customWidth="1"/>
    <col min="6153" max="6166" width="11.7109375" style="4" customWidth="1"/>
    <col min="6167" max="6167" width="10.140625" style="4" bestFit="1" customWidth="1"/>
    <col min="6168" max="6400" width="8.7109375" style="4"/>
    <col min="6401" max="6401" width="38" style="4" customWidth="1"/>
    <col min="6402" max="6403" width="8.7109375" style="4"/>
    <col min="6404" max="6404" width="23.140625" style="4" customWidth="1"/>
    <col min="6405" max="6405" width="40.42578125" style="4" customWidth="1"/>
    <col min="6406" max="6406" width="10.5703125" style="4" customWidth="1"/>
    <col min="6407" max="6407" width="14" style="4" customWidth="1"/>
    <col min="6408" max="6408" width="125" style="4" customWidth="1"/>
    <col min="6409" max="6422" width="11.7109375" style="4" customWidth="1"/>
    <col min="6423" max="6423" width="10.140625" style="4" bestFit="1" customWidth="1"/>
    <col min="6424" max="6656" width="8.7109375" style="4"/>
    <col min="6657" max="6657" width="38" style="4" customWidth="1"/>
    <col min="6658" max="6659" width="8.7109375" style="4"/>
    <col min="6660" max="6660" width="23.140625" style="4" customWidth="1"/>
    <col min="6661" max="6661" width="40.42578125" style="4" customWidth="1"/>
    <col min="6662" max="6662" width="10.5703125" style="4" customWidth="1"/>
    <col min="6663" max="6663" width="14" style="4" customWidth="1"/>
    <col min="6664" max="6664" width="125" style="4" customWidth="1"/>
    <col min="6665" max="6678" width="11.7109375" style="4" customWidth="1"/>
    <col min="6679" max="6679" width="10.140625" style="4" bestFit="1" customWidth="1"/>
    <col min="6680" max="6912" width="8.7109375" style="4"/>
    <col min="6913" max="6913" width="38" style="4" customWidth="1"/>
    <col min="6914" max="6915" width="8.7109375" style="4"/>
    <col min="6916" max="6916" width="23.140625" style="4" customWidth="1"/>
    <col min="6917" max="6917" width="40.42578125" style="4" customWidth="1"/>
    <col min="6918" max="6918" width="10.5703125" style="4" customWidth="1"/>
    <col min="6919" max="6919" width="14" style="4" customWidth="1"/>
    <col min="6920" max="6920" width="125" style="4" customWidth="1"/>
    <col min="6921" max="6934" width="11.7109375" style="4" customWidth="1"/>
    <col min="6935" max="6935" width="10.140625" style="4" bestFit="1" customWidth="1"/>
    <col min="6936" max="7168" width="8.7109375" style="4"/>
    <col min="7169" max="7169" width="38" style="4" customWidth="1"/>
    <col min="7170" max="7171" width="8.7109375" style="4"/>
    <col min="7172" max="7172" width="23.140625" style="4" customWidth="1"/>
    <col min="7173" max="7173" width="40.42578125" style="4" customWidth="1"/>
    <col min="7174" max="7174" width="10.5703125" style="4" customWidth="1"/>
    <col min="7175" max="7175" width="14" style="4" customWidth="1"/>
    <col min="7176" max="7176" width="125" style="4" customWidth="1"/>
    <col min="7177" max="7190" width="11.7109375" style="4" customWidth="1"/>
    <col min="7191" max="7191" width="10.140625" style="4" bestFit="1" customWidth="1"/>
    <col min="7192" max="7424" width="8.7109375" style="4"/>
    <col min="7425" max="7425" width="38" style="4" customWidth="1"/>
    <col min="7426" max="7427" width="8.7109375" style="4"/>
    <col min="7428" max="7428" width="23.140625" style="4" customWidth="1"/>
    <col min="7429" max="7429" width="40.42578125" style="4" customWidth="1"/>
    <col min="7430" max="7430" width="10.5703125" style="4" customWidth="1"/>
    <col min="7431" max="7431" width="14" style="4" customWidth="1"/>
    <col min="7432" max="7432" width="125" style="4" customWidth="1"/>
    <col min="7433" max="7446" width="11.7109375" style="4" customWidth="1"/>
    <col min="7447" max="7447" width="10.140625" style="4" bestFit="1" customWidth="1"/>
    <col min="7448" max="7680" width="8.7109375" style="4"/>
    <col min="7681" max="7681" width="38" style="4" customWidth="1"/>
    <col min="7682" max="7683" width="8.7109375" style="4"/>
    <col min="7684" max="7684" width="23.140625" style="4" customWidth="1"/>
    <col min="7685" max="7685" width="40.42578125" style="4" customWidth="1"/>
    <col min="7686" max="7686" width="10.5703125" style="4" customWidth="1"/>
    <col min="7687" max="7687" width="14" style="4" customWidth="1"/>
    <col min="7688" max="7688" width="125" style="4" customWidth="1"/>
    <col min="7689" max="7702" width="11.7109375" style="4" customWidth="1"/>
    <col min="7703" max="7703" width="10.140625" style="4" bestFit="1" customWidth="1"/>
    <col min="7704" max="7936" width="8.7109375" style="4"/>
    <col min="7937" max="7937" width="38" style="4" customWidth="1"/>
    <col min="7938" max="7939" width="8.7109375" style="4"/>
    <col min="7940" max="7940" width="23.140625" style="4" customWidth="1"/>
    <col min="7941" max="7941" width="40.42578125" style="4" customWidth="1"/>
    <col min="7942" max="7942" width="10.5703125" style="4" customWidth="1"/>
    <col min="7943" max="7943" width="14" style="4" customWidth="1"/>
    <col min="7944" max="7944" width="125" style="4" customWidth="1"/>
    <col min="7945" max="7958" width="11.7109375" style="4" customWidth="1"/>
    <col min="7959" max="7959" width="10.140625" style="4" bestFit="1" customWidth="1"/>
    <col min="7960" max="8192" width="8.7109375" style="4"/>
    <col min="8193" max="8193" width="38" style="4" customWidth="1"/>
    <col min="8194" max="8195" width="8.7109375" style="4"/>
    <col min="8196" max="8196" width="23.140625" style="4" customWidth="1"/>
    <col min="8197" max="8197" width="40.42578125" style="4" customWidth="1"/>
    <col min="8198" max="8198" width="10.5703125" style="4" customWidth="1"/>
    <col min="8199" max="8199" width="14" style="4" customWidth="1"/>
    <col min="8200" max="8200" width="125" style="4" customWidth="1"/>
    <col min="8201" max="8214" width="11.7109375" style="4" customWidth="1"/>
    <col min="8215" max="8215" width="10.140625" style="4" bestFit="1" customWidth="1"/>
    <col min="8216" max="8448" width="8.7109375" style="4"/>
    <col min="8449" max="8449" width="38" style="4" customWidth="1"/>
    <col min="8450" max="8451" width="8.7109375" style="4"/>
    <col min="8452" max="8452" width="23.140625" style="4" customWidth="1"/>
    <col min="8453" max="8453" width="40.42578125" style="4" customWidth="1"/>
    <col min="8454" max="8454" width="10.5703125" style="4" customWidth="1"/>
    <col min="8455" max="8455" width="14" style="4" customWidth="1"/>
    <col min="8456" max="8456" width="125" style="4" customWidth="1"/>
    <col min="8457" max="8470" width="11.7109375" style="4" customWidth="1"/>
    <col min="8471" max="8471" width="10.140625" style="4" bestFit="1" customWidth="1"/>
    <col min="8472" max="8704" width="8.7109375" style="4"/>
    <col min="8705" max="8705" width="38" style="4" customWidth="1"/>
    <col min="8706" max="8707" width="8.7109375" style="4"/>
    <col min="8708" max="8708" width="23.140625" style="4" customWidth="1"/>
    <col min="8709" max="8709" width="40.42578125" style="4" customWidth="1"/>
    <col min="8710" max="8710" width="10.5703125" style="4" customWidth="1"/>
    <col min="8711" max="8711" width="14" style="4" customWidth="1"/>
    <col min="8712" max="8712" width="125" style="4" customWidth="1"/>
    <col min="8713" max="8726" width="11.7109375" style="4" customWidth="1"/>
    <col min="8727" max="8727" width="10.140625" style="4" bestFit="1" customWidth="1"/>
    <col min="8728" max="8960" width="8.7109375" style="4"/>
    <col min="8961" max="8961" width="38" style="4" customWidth="1"/>
    <col min="8962" max="8963" width="8.7109375" style="4"/>
    <col min="8964" max="8964" width="23.140625" style="4" customWidth="1"/>
    <col min="8965" max="8965" width="40.42578125" style="4" customWidth="1"/>
    <col min="8966" max="8966" width="10.5703125" style="4" customWidth="1"/>
    <col min="8967" max="8967" width="14" style="4" customWidth="1"/>
    <col min="8968" max="8968" width="125" style="4" customWidth="1"/>
    <col min="8969" max="8982" width="11.7109375" style="4" customWidth="1"/>
    <col min="8983" max="8983" width="10.140625" style="4" bestFit="1" customWidth="1"/>
    <col min="8984" max="9216" width="8.7109375" style="4"/>
    <col min="9217" max="9217" width="38" style="4" customWidth="1"/>
    <col min="9218" max="9219" width="8.7109375" style="4"/>
    <col min="9220" max="9220" width="23.140625" style="4" customWidth="1"/>
    <col min="9221" max="9221" width="40.42578125" style="4" customWidth="1"/>
    <col min="9222" max="9222" width="10.5703125" style="4" customWidth="1"/>
    <col min="9223" max="9223" width="14" style="4" customWidth="1"/>
    <col min="9224" max="9224" width="125" style="4" customWidth="1"/>
    <col min="9225" max="9238" width="11.7109375" style="4" customWidth="1"/>
    <col min="9239" max="9239" width="10.140625" style="4" bestFit="1" customWidth="1"/>
    <col min="9240" max="9472" width="8.7109375" style="4"/>
    <col min="9473" max="9473" width="38" style="4" customWidth="1"/>
    <col min="9474" max="9475" width="8.7109375" style="4"/>
    <col min="9476" max="9476" width="23.140625" style="4" customWidth="1"/>
    <col min="9477" max="9477" width="40.42578125" style="4" customWidth="1"/>
    <col min="9478" max="9478" width="10.5703125" style="4" customWidth="1"/>
    <col min="9479" max="9479" width="14" style="4" customWidth="1"/>
    <col min="9480" max="9480" width="125" style="4" customWidth="1"/>
    <col min="9481" max="9494" width="11.7109375" style="4" customWidth="1"/>
    <col min="9495" max="9495" width="10.140625" style="4" bestFit="1" customWidth="1"/>
    <col min="9496" max="9728" width="8.7109375" style="4"/>
    <col min="9729" max="9729" width="38" style="4" customWidth="1"/>
    <col min="9730" max="9731" width="8.7109375" style="4"/>
    <col min="9732" max="9732" width="23.140625" style="4" customWidth="1"/>
    <col min="9733" max="9733" width="40.42578125" style="4" customWidth="1"/>
    <col min="9734" max="9734" width="10.5703125" style="4" customWidth="1"/>
    <col min="9735" max="9735" width="14" style="4" customWidth="1"/>
    <col min="9736" max="9736" width="125" style="4" customWidth="1"/>
    <col min="9737" max="9750" width="11.7109375" style="4" customWidth="1"/>
    <col min="9751" max="9751" width="10.140625" style="4" bestFit="1" customWidth="1"/>
    <col min="9752" max="9984" width="8.7109375" style="4"/>
    <col min="9985" max="9985" width="38" style="4" customWidth="1"/>
    <col min="9986" max="9987" width="8.7109375" style="4"/>
    <col min="9988" max="9988" width="23.140625" style="4" customWidth="1"/>
    <col min="9989" max="9989" width="40.42578125" style="4" customWidth="1"/>
    <col min="9990" max="9990" width="10.5703125" style="4" customWidth="1"/>
    <col min="9991" max="9991" width="14" style="4" customWidth="1"/>
    <col min="9992" max="9992" width="125" style="4" customWidth="1"/>
    <col min="9993" max="10006" width="11.7109375" style="4" customWidth="1"/>
    <col min="10007" max="10007" width="10.140625" style="4" bestFit="1" customWidth="1"/>
    <col min="10008" max="10240" width="8.7109375" style="4"/>
    <col min="10241" max="10241" width="38" style="4" customWidth="1"/>
    <col min="10242" max="10243" width="8.7109375" style="4"/>
    <col min="10244" max="10244" width="23.140625" style="4" customWidth="1"/>
    <col min="10245" max="10245" width="40.42578125" style="4" customWidth="1"/>
    <col min="10246" max="10246" width="10.5703125" style="4" customWidth="1"/>
    <col min="10247" max="10247" width="14" style="4" customWidth="1"/>
    <col min="10248" max="10248" width="125" style="4" customWidth="1"/>
    <col min="10249" max="10262" width="11.7109375" style="4" customWidth="1"/>
    <col min="10263" max="10263" width="10.140625" style="4" bestFit="1" customWidth="1"/>
    <col min="10264" max="10496" width="8.7109375" style="4"/>
    <col min="10497" max="10497" width="38" style="4" customWidth="1"/>
    <col min="10498" max="10499" width="8.7109375" style="4"/>
    <col min="10500" max="10500" width="23.140625" style="4" customWidth="1"/>
    <col min="10501" max="10501" width="40.42578125" style="4" customWidth="1"/>
    <col min="10502" max="10502" width="10.5703125" style="4" customWidth="1"/>
    <col min="10503" max="10503" width="14" style="4" customWidth="1"/>
    <col min="10504" max="10504" width="125" style="4" customWidth="1"/>
    <col min="10505" max="10518" width="11.7109375" style="4" customWidth="1"/>
    <col min="10519" max="10519" width="10.140625" style="4" bestFit="1" customWidth="1"/>
    <col min="10520" max="10752" width="8.7109375" style="4"/>
    <col min="10753" max="10753" width="38" style="4" customWidth="1"/>
    <col min="10754" max="10755" width="8.7109375" style="4"/>
    <col min="10756" max="10756" width="23.140625" style="4" customWidth="1"/>
    <col min="10757" max="10757" width="40.42578125" style="4" customWidth="1"/>
    <col min="10758" max="10758" width="10.5703125" style="4" customWidth="1"/>
    <col min="10759" max="10759" width="14" style="4" customWidth="1"/>
    <col min="10760" max="10760" width="125" style="4" customWidth="1"/>
    <col min="10761" max="10774" width="11.7109375" style="4" customWidth="1"/>
    <col min="10775" max="10775" width="10.140625" style="4" bestFit="1" customWidth="1"/>
    <col min="10776" max="11008" width="8.7109375" style="4"/>
    <col min="11009" max="11009" width="38" style="4" customWidth="1"/>
    <col min="11010" max="11011" width="8.7109375" style="4"/>
    <col min="11012" max="11012" width="23.140625" style="4" customWidth="1"/>
    <col min="11013" max="11013" width="40.42578125" style="4" customWidth="1"/>
    <col min="11014" max="11014" width="10.5703125" style="4" customWidth="1"/>
    <col min="11015" max="11015" width="14" style="4" customWidth="1"/>
    <col min="11016" max="11016" width="125" style="4" customWidth="1"/>
    <col min="11017" max="11030" width="11.7109375" style="4" customWidth="1"/>
    <col min="11031" max="11031" width="10.140625" style="4" bestFit="1" customWidth="1"/>
    <col min="11032" max="11264" width="8.7109375" style="4"/>
    <col min="11265" max="11265" width="38" style="4" customWidth="1"/>
    <col min="11266" max="11267" width="8.7109375" style="4"/>
    <col min="11268" max="11268" width="23.140625" style="4" customWidth="1"/>
    <col min="11269" max="11269" width="40.42578125" style="4" customWidth="1"/>
    <col min="11270" max="11270" width="10.5703125" style="4" customWidth="1"/>
    <col min="11271" max="11271" width="14" style="4" customWidth="1"/>
    <col min="11272" max="11272" width="125" style="4" customWidth="1"/>
    <col min="11273" max="11286" width="11.7109375" style="4" customWidth="1"/>
    <col min="11287" max="11287" width="10.140625" style="4" bestFit="1" customWidth="1"/>
    <col min="11288" max="11520" width="8.7109375" style="4"/>
    <col min="11521" max="11521" width="38" style="4" customWidth="1"/>
    <col min="11522" max="11523" width="8.7109375" style="4"/>
    <col min="11524" max="11524" width="23.140625" style="4" customWidth="1"/>
    <col min="11525" max="11525" width="40.42578125" style="4" customWidth="1"/>
    <col min="11526" max="11526" width="10.5703125" style="4" customWidth="1"/>
    <col min="11527" max="11527" width="14" style="4" customWidth="1"/>
    <col min="11528" max="11528" width="125" style="4" customWidth="1"/>
    <col min="11529" max="11542" width="11.7109375" style="4" customWidth="1"/>
    <col min="11543" max="11543" width="10.140625" style="4" bestFit="1" customWidth="1"/>
    <col min="11544" max="11776" width="8.7109375" style="4"/>
    <col min="11777" max="11777" width="38" style="4" customWidth="1"/>
    <col min="11778" max="11779" width="8.7109375" style="4"/>
    <col min="11780" max="11780" width="23.140625" style="4" customWidth="1"/>
    <col min="11781" max="11781" width="40.42578125" style="4" customWidth="1"/>
    <col min="11782" max="11782" width="10.5703125" style="4" customWidth="1"/>
    <col min="11783" max="11783" width="14" style="4" customWidth="1"/>
    <col min="11784" max="11784" width="125" style="4" customWidth="1"/>
    <col min="11785" max="11798" width="11.7109375" style="4" customWidth="1"/>
    <col min="11799" max="11799" width="10.140625" style="4" bestFit="1" customWidth="1"/>
    <col min="11800" max="12032" width="8.7109375" style="4"/>
    <col min="12033" max="12033" width="38" style="4" customWidth="1"/>
    <col min="12034" max="12035" width="8.7109375" style="4"/>
    <col min="12036" max="12036" width="23.140625" style="4" customWidth="1"/>
    <col min="12037" max="12037" width="40.42578125" style="4" customWidth="1"/>
    <col min="12038" max="12038" width="10.5703125" style="4" customWidth="1"/>
    <col min="12039" max="12039" width="14" style="4" customWidth="1"/>
    <col min="12040" max="12040" width="125" style="4" customWidth="1"/>
    <col min="12041" max="12054" width="11.7109375" style="4" customWidth="1"/>
    <col min="12055" max="12055" width="10.140625" style="4" bestFit="1" customWidth="1"/>
    <col min="12056" max="12288" width="8.7109375" style="4"/>
    <col min="12289" max="12289" width="38" style="4" customWidth="1"/>
    <col min="12290" max="12291" width="8.7109375" style="4"/>
    <col min="12292" max="12292" width="23.140625" style="4" customWidth="1"/>
    <col min="12293" max="12293" width="40.42578125" style="4" customWidth="1"/>
    <col min="12294" max="12294" width="10.5703125" style="4" customWidth="1"/>
    <col min="12295" max="12295" width="14" style="4" customWidth="1"/>
    <col min="12296" max="12296" width="125" style="4" customWidth="1"/>
    <col min="12297" max="12310" width="11.7109375" style="4" customWidth="1"/>
    <col min="12311" max="12311" width="10.140625" style="4" bestFit="1" customWidth="1"/>
    <col min="12312" max="12544" width="8.7109375" style="4"/>
    <col min="12545" max="12545" width="38" style="4" customWidth="1"/>
    <col min="12546" max="12547" width="8.7109375" style="4"/>
    <col min="12548" max="12548" width="23.140625" style="4" customWidth="1"/>
    <col min="12549" max="12549" width="40.42578125" style="4" customWidth="1"/>
    <col min="12550" max="12550" width="10.5703125" style="4" customWidth="1"/>
    <col min="12551" max="12551" width="14" style="4" customWidth="1"/>
    <col min="12552" max="12552" width="125" style="4" customWidth="1"/>
    <col min="12553" max="12566" width="11.7109375" style="4" customWidth="1"/>
    <col min="12567" max="12567" width="10.140625" style="4" bestFit="1" customWidth="1"/>
    <col min="12568" max="12800" width="8.7109375" style="4"/>
    <col min="12801" max="12801" width="38" style="4" customWidth="1"/>
    <col min="12802" max="12803" width="8.7109375" style="4"/>
    <col min="12804" max="12804" width="23.140625" style="4" customWidth="1"/>
    <col min="12805" max="12805" width="40.42578125" style="4" customWidth="1"/>
    <col min="12806" max="12806" width="10.5703125" style="4" customWidth="1"/>
    <col min="12807" max="12807" width="14" style="4" customWidth="1"/>
    <col min="12808" max="12808" width="125" style="4" customWidth="1"/>
    <col min="12809" max="12822" width="11.7109375" style="4" customWidth="1"/>
    <col min="12823" max="12823" width="10.140625" style="4" bestFit="1" customWidth="1"/>
    <col min="12824" max="13056" width="8.7109375" style="4"/>
    <col min="13057" max="13057" width="38" style="4" customWidth="1"/>
    <col min="13058" max="13059" width="8.7109375" style="4"/>
    <col min="13060" max="13060" width="23.140625" style="4" customWidth="1"/>
    <col min="13061" max="13061" width="40.42578125" style="4" customWidth="1"/>
    <col min="13062" max="13062" width="10.5703125" style="4" customWidth="1"/>
    <col min="13063" max="13063" width="14" style="4" customWidth="1"/>
    <col min="13064" max="13064" width="125" style="4" customWidth="1"/>
    <col min="13065" max="13078" width="11.7109375" style="4" customWidth="1"/>
    <col min="13079" max="13079" width="10.140625" style="4" bestFit="1" customWidth="1"/>
    <col min="13080" max="13312" width="8.7109375" style="4"/>
    <col min="13313" max="13313" width="38" style="4" customWidth="1"/>
    <col min="13314" max="13315" width="8.7109375" style="4"/>
    <col min="13316" max="13316" width="23.140625" style="4" customWidth="1"/>
    <col min="13317" max="13317" width="40.42578125" style="4" customWidth="1"/>
    <col min="13318" max="13318" width="10.5703125" style="4" customWidth="1"/>
    <col min="13319" max="13319" width="14" style="4" customWidth="1"/>
    <col min="13320" max="13320" width="125" style="4" customWidth="1"/>
    <col min="13321" max="13334" width="11.7109375" style="4" customWidth="1"/>
    <col min="13335" max="13335" width="10.140625" style="4" bestFit="1" customWidth="1"/>
    <col min="13336" max="13568" width="8.7109375" style="4"/>
    <col min="13569" max="13569" width="38" style="4" customWidth="1"/>
    <col min="13570" max="13571" width="8.7109375" style="4"/>
    <col min="13572" max="13572" width="23.140625" style="4" customWidth="1"/>
    <col min="13573" max="13573" width="40.42578125" style="4" customWidth="1"/>
    <col min="13574" max="13574" width="10.5703125" style="4" customWidth="1"/>
    <col min="13575" max="13575" width="14" style="4" customWidth="1"/>
    <col min="13576" max="13576" width="125" style="4" customWidth="1"/>
    <col min="13577" max="13590" width="11.7109375" style="4" customWidth="1"/>
    <col min="13591" max="13591" width="10.140625" style="4" bestFit="1" customWidth="1"/>
    <col min="13592" max="13824" width="8.7109375" style="4"/>
    <col min="13825" max="13825" width="38" style="4" customWidth="1"/>
    <col min="13826" max="13827" width="8.7109375" style="4"/>
    <col min="13828" max="13828" width="23.140625" style="4" customWidth="1"/>
    <col min="13829" max="13829" width="40.42578125" style="4" customWidth="1"/>
    <col min="13830" max="13830" width="10.5703125" style="4" customWidth="1"/>
    <col min="13831" max="13831" width="14" style="4" customWidth="1"/>
    <col min="13832" max="13832" width="125" style="4" customWidth="1"/>
    <col min="13833" max="13846" width="11.7109375" style="4" customWidth="1"/>
    <col min="13847" max="13847" width="10.140625" style="4" bestFit="1" customWidth="1"/>
    <col min="13848" max="14080" width="8.7109375" style="4"/>
    <col min="14081" max="14081" width="38" style="4" customWidth="1"/>
    <col min="14082" max="14083" width="8.7109375" style="4"/>
    <col min="14084" max="14084" width="23.140625" style="4" customWidth="1"/>
    <col min="14085" max="14085" width="40.42578125" style="4" customWidth="1"/>
    <col min="14086" max="14086" width="10.5703125" style="4" customWidth="1"/>
    <col min="14087" max="14087" width="14" style="4" customWidth="1"/>
    <col min="14088" max="14088" width="125" style="4" customWidth="1"/>
    <col min="14089" max="14102" width="11.7109375" style="4" customWidth="1"/>
    <col min="14103" max="14103" width="10.140625" style="4" bestFit="1" customWidth="1"/>
    <col min="14104" max="14336" width="8.7109375" style="4"/>
    <col min="14337" max="14337" width="38" style="4" customWidth="1"/>
    <col min="14338" max="14339" width="8.7109375" style="4"/>
    <col min="14340" max="14340" width="23.140625" style="4" customWidth="1"/>
    <col min="14341" max="14341" width="40.42578125" style="4" customWidth="1"/>
    <col min="14342" max="14342" width="10.5703125" style="4" customWidth="1"/>
    <col min="14343" max="14343" width="14" style="4" customWidth="1"/>
    <col min="14344" max="14344" width="125" style="4" customWidth="1"/>
    <col min="14345" max="14358" width="11.7109375" style="4" customWidth="1"/>
    <col min="14359" max="14359" width="10.140625" style="4" bestFit="1" customWidth="1"/>
    <col min="14360" max="14592" width="8.7109375" style="4"/>
    <col min="14593" max="14593" width="38" style="4" customWidth="1"/>
    <col min="14594" max="14595" width="8.7109375" style="4"/>
    <col min="14596" max="14596" width="23.140625" style="4" customWidth="1"/>
    <col min="14597" max="14597" width="40.42578125" style="4" customWidth="1"/>
    <col min="14598" max="14598" width="10.5703125" style="4" customWidth="1"/>
    <col min="14599" max="14599" width="14" style="4" customWidth="1"/>
    <col min="14600" max="14600" width="125" style="4" customWidth="1"/>
    <col min="14601" max="14614" width="11.7109375" style="4" customWidth="1"/>
    <col min="14615" max="14615" width="10.140625" style="4" bestFit="1" customWidth="1"/>
    <col min="14616" max="14848" width="8.7109375" style="4"/>
    <col min="14849" max="14849" width="38" style="4" customWidth="1"/>
    <col min="14850" max="14851" width="8.7109375" style="4"/>
    <col min="14852" max="14852" width="23.140625" style="4" customWidth="1"/>
    <col min="14853" max="14853" width="40.42578125" style="4" customWidth="1"/>
    <col min="14854" max="14854" width="10.5703125" style="4" customWidth="1"/>
    <col min="14855" max="14855" width="14" style="4" customWidth="1"/>
    <col min="14856" max="14856" width="125" style="4" customWidth="1"/>
    <col min="14857" max="14870" width="11.7109375" style="4" customWidth="1"/>
    <col min="14871" max="14871" width="10.140625" style="4" bestFit="1" customWidth="1"/>
    <col min="14872" max="15104" width="8.7109375" style="4"/>
    <col min="15105" max="15105" width="38" style="4" customWidth="1"/>
    <col min="15106" max="15107" width="8.7109375" style="4"/>
    <col min="15108" max="15108" width="23.140625" style="4" customWidth="1"/>
    <col min="15109" max="15109" width="40.42578125" style="4" customWidth="1"/>
    <col min="15110" max="15110" width="10.5703125" style="4" customWidth="1"/>
    <col min="15111" max="15111" width="14" style="4" customWidth="1"/>
    <col min="15112" max="15112" width="125" style="4" customWidth="1"/>
    <col min="15113" max="15126" width="11.7109375" style="4" customWidth="1"/>
    <col min="15127" max="15127" width="10.140625" style="4" bestFit="1" customWidth="1"/>
    <col min="15128" max="15360" width="8.7109375" style="4"/>
    <col min="15361" max="15361" width="38" style="4" customWidth="1"/>
    <col min="15362" max="15363" width="8.7109375" style="4"/>
    <col min="15364" max="15364" width="23.140625" style="4" customWidth="1"/>
    <col min="15365" max="15365" width="40.42578125" style="4" customWidth="1"/>
    <col min="15366" max="15366" width="10.5703125" style="4" customWidth="1"/>
    <col min="15367" max="15367" width="14" style="4" customWidth="1"/>
    <col min="15368" max="15368" width="125" style="4" customWidth="1"/>
    <col min="15369" max="15382" width="11.7109375" style="4" customWidth="1"/>
    <col min="15383" max="15383" width="10.140625" style="4" bestFit="1" customWidth="1"/>
    <col min="15384" max="15616" width="8.7109375" style="4"/>
    <col min="15617" max="15617" width="38" style="4" customWidth="1"/>
    <col min="15618" max="15619" width="8.7109375" style="4"/>
    <col min="15620" max="15620" width="23.140625" style="4" customWidth="1"/>
    <col min="15621" max="15621" width="40.42578125" style="4" customWidth="1"/>
    <col min="15622" max="15622" width="10.5703125" style="4" customWidth="1"/>
    <col min="15623" max="15623" width="14" style="4" customWidth="1"/>
    <col min="15624" max="15624" width="125" style="4" customWidth="1"/>
    <col min="15625" max="15638" width="11.7109375" style="4" customWidth="1"/>
    <col min="15639" max="15639" width="10.140625" style="4" bestFit="1" customWidth="1"/>
    <col min="15640" max="15872" width="8.7109375" style="4"/>
    <col min="15873" max="15873" width="38" style="4" customWidth="1"/>
    <col min="15874" max="15875" width="8.7109375" style="4"/>
    <col min="15876" max="15876" width="23.140625" style="4" customWidth="1"/>
    <col min="15877" max="15877" width="40.42578125" style="4" customWidth="1"/>
    <col min="15878" max="15878" width="10.5703125" style="4" customWidth="1"/>
    <col min="15879" max="15879" width="14" style="4" customWidth="1"/>
    <col min="15880" max="15880" width="125" style="4" customWidth="1"/>
    <col min="15881" max="15894" width="11.7109375" style="4" customWidth="1"/>
    <col min="15895" max="15895" width="10.140625" style="4" bestFit="1" customWidth="1"/>
    <col min="15896" max="16128" width="8.7109375" style="4"/>
    <col min="16129" max="16129" width="38" style="4" customWidth="1"/>
    <col min="16130" max="16131" width="8.7109375" style="4"/>
    <col min="16132" max="16132" width="23.140625" style="4" customWidth="1"/>
    <col min="16133" max="16133" width="40.42578125" style="4" customWidth="1"/>
    <col min="16134" max="16134" width="10.5703125" style="4" customWidth="1"/>
    <col min="16135" max="16135" width="14" style="4" customWidth="1"/>
    <col min="16136" max="16136" width="125" style="4" customWidth="1"/>
    <col min="16137" max="16150" width="11.7109375" style="4" customWidth="1"/>
    <col min="16151" max="16151" width="10.140625" style="4" bestFit="1" customWidth="1"/>
    <col min="16152" max="16384" width="8.7109375" style="4"/>
  </cols>
  <sheetData>
    <row r="1" spans="1:9" ht="45" x14ac:dyDescent="0.6">
      <c r="A1" s="26" t="str">
        <f>Invulinstructie_disclaimer!A2</f>
        <v>Model haalbaarheidsstudie SDE++ 2025</v>
      </c>
      <c r="I1" s="27"/>
    </row>
    <row r="2" spans="1:9" ht="11.25" customHeight="1" x14ac:dyDescent="0.6">
      <c r="A2" s="26"/>
      <c r="I2" s="27"/>
    </row>
    <row r="3" spans="1:9" ht="20.100000000000001" customHeight="1" x14ac:dyDescent="0.3">
      <c r="A3" s="28" t="s">
        <v>21</v>
      </c>
      <c r="F3" s="28"/>
      <c r="I3" s="29"/>
    </row>
    <row r="4" spans="1:9" ht="20.100000000000001" customHeight="1" x14ac:dyDescent="0.3">
      <c r="A4" s="29"/>
      <c r="I4" s="29"/>
    </row>
    <row r="5" spans="1:9" ht="18" x14ac:dyDescent="0.25">
      <c r="A5" s="28" t="s">
        <v>22</v>
      </c>
      <c r="E5" s="12"/>
    </row>
    <row r="6" spans="1:9" ht="18" x14ac:dyDescent="0.25">
      <c r="A6" s="28"/>
      <c r="E6" s="12"/>
    </row>
    <row r="7" spans="1:9" ht="12.75" customHeight="1" x14ac:dyDescent="0.25">
      <c r="A7" s="30" t="s">
        <v>23</v>
      </c>
      <c r="B7" s="386"/>
      <c r="C7" s="387"/>
      <c r="D7" s="387"/>
      <c r="E7" s="388"/>
      <c r="F7" s="31"/>
    </row>
    <row r="8" spans="1:9" ht="35.25" customHeight="1" x14ac:dyDescent="0.25">
      <c r="A8" s="32" t="s">
        <v>24</v>
      </c>
      <c r="H8" s="33" t="str">
        <f>IF(Hulpblad_overig!B4=2,"Wanneer u geen producent bent, kan aan u geen subsidie worden verleend","Voeg voor een sterkere haalbaarheidsstudie een juridisch organogram (UBO-overzicht) toe")</f>
        <v>Voeg voor een sterkere haalbaarheidsstudie een juridisch organogram (UBO-overzicht) toe</v>
      </c>
    </row>
    <row r="9" spans="1:9" ht="26.25" customHeight="1" x14ac:dyDescent="0.25">
      <c r="A9" s="34" t="s">
        <v>25</v>
      </c>
      <c r="F9" s="35"/>
    </row>
    <row r="10" spans="1:9" ht="18" customHeight="1" x14ac:dyDescent="0.25">
      <c r="A10" s="36" t="str">
        <f>IF(Hulpblad_overig!B8=2,"U maakt gebruik van balansfinanciering","U maakt gebruik van projectfinanciering, u kunt regels 11 t/m 13 overslaan")</f>
        <v>U maakt gebruik van projectfinanciering, u kunt regels 11 t/m 13 overslaan</v>
      </c>
      <c r="F10" s="37"/>
    </row>
    <row r="11" spans="1:9" ht="12.75" customHeight="1" x14ac:dyDescent="0.25">
      <c r="A11" s="32" t="str">
        <f>IF(Hulpblad_overig!B8=2,"Wat is het eigen vermogen (€)?","Niet van toepassing")</f>
        <v>Niet van toepassing</v>
      </c>
      <c r="E11" s="146">
        <v>0</v>
      </c>
      <c r="F11" s="37"/>
    </row>
    <row r="12" spans="1:9" ht="12.75" customHeight="1" x14ac:dyDescent="0.25">
      <c r="A12" s="32" t="str">
        <f>IF(Hulpblad_overig!B8=2,"Wat is het rentedragende gefinancierde vermogen (€)?","Niet van toepassing")</f>
        <v>Niet van toepassing</v>
      </c>
      <c r="E12" s="147">
        <v>0</v>
      </c>
      <c r="F12" s="37"/>
    </row>
    <row r="13" spans="1:9" ht="12.75" customHeight="1" x14ac:dyDescent="0.25">
      <c r="A13" s="32" t="str">
        <f>IF(Hulpblad_overig!B8=2,"Berekend percentage eigen vermogen voor SDE++ aanvragen (%)","Niet van toepassing")</f>
        <v>Niet van toepassing</v>
      </c>
      <c r="E13" s="148">
        <f>IF(Hulpblad_overig!B8=1,0,E11/(E11+E12))</f>
        <v>0</v>
      </c>
      <c r="F13" s="37"/>
      <c r="H13" s="6" t="str">
        <f>IF(AND(Hulpblad_overig!B8=2,E13&lt;20%),"U maakt gebruik van balansfinanciering met minder dan 20% eigen vermogen. Voeg intentieverklaringen toe van beoogde financiers voor het totaal benodigde vreemd vermogen","")</f>
        <v/>
      </c>
    </row>
    <row r="14" spans="1:9" ht="12.75" customHeight="1" x14ac:dyDescent="0.25">
      <c r="A14" s="32"/>
      <c r="E14" s="5"/>
      <c r="F14" s="37"/>
    </row>
    <row r="15" spans="1:9" ht="12.75" customHeight="1" x14ac:dyDescent="0.25">
      <c r="A15" s="32"/>
      <c r="E15" s="5"/>
      <c r="F15" s="37"/>
      <c r="H15" s="381" t="str">
        <f>IF(Hulpblad_overig!B17=1,"Voeg de meest recente (concept) jaarrekening van de aanvrager toe.",IF(Hulpblad_overig!B17=2,"Voeg een bedrijfsbalans met resultatenrekening toe",IF(Hulpblad_overig!B17=3,"Voeg een openingsbalans toe","")))</f>
        <v>Voeg de meest recente (concept) jaarrekening van de aanvrager toe.</v>
      </c>
    </row>
    <row r="16" spans="1:9" ht="12.75" customHeight="1" x14ac:dyDescent="0.25">
      <c r="A16" s="12" t="s">
        <v>26</v>
      </c>
      <c r="E16" s="5"/>
      <c r="F16" s="37"/>
      <c r="H16" s="381"/>
    </row>
    <row r="17" spans="1:22" ht="12.75" customHeight="1" x14ac:dyDescent="0.25">
      <c r="A17" s="32"/>
      <c r="E17" s="5"/>
      <c r="F17" s="37"/>
      <c r="H17" s="382" t="str">
        <f>IF(Hulpblad_overig!B17=1,"Indien de onderneming deel uitmaakt van een groter verband (zoals een holding), voeg dan in aanvulling op de jaarrekening van de aanvrager zelf, de meest recente geconsolideerde (concept) jaarrekening toe (optioneel voor een sterkere haalbaarheidstudie).","")</f>
        <v>Indien de onderneming deel uitmaakt van een groter verband (zoals een holding), voeg dan in aanvulling op de jaarrekening van de aanvrager zelf, de meest recente geconsolideerde (concept) jaarrekening toe (optioneel voor een sterkere haalbaarheidstudie).</v>
      </c>
    </row>
    <row r="18" spans="1:22" ht="12.75" customHeight="1" x14ac:dyDescent="0.25">
      <c r="A18" s="28"/>
      <c r="H18" s="382"/>
    </row>
    <row r="19" spans="1:22" ht="12.75" customHeight="1" x14ac:dyDescent="0.25">
      <c r="A19" s="32" t="s">
        <v>27</v>
      </c>
      <c r="C19" s="13"/>
      <c r="D19" s="38"/>
      <c r="E19" s="145">
        <v>1</v>
      </c>
    </row>
    <row r="20" spans="1:22" ht="12.75" customHeight="1" x14ac:dyDescent="0.25">
      <c r="A20" s="32"/>
      <c r="C20" s="13"/>
      <c r="D20" s="38"/>
    </row>
    <row r="21" spans="1:22" ht="18" customHeight="1" x14ac:dyDescent="0.25">
      <c r="A21" s="28" t="s">
        <v>28</v>
      </c>
      <c r="B21" s="7"/>
      <c r="C21" s="8"/>
      <c r="D21" s="9"/>
      <c r="E21" s="39"/>
      <c r="F21" s="30"/>
      <c r="G21" s="40"/>
    </row>
    <row r="22" spans="1:22" ht="163.5" customHeight="1" x14ac:dyDescent="0.25">
      <c r="A22" s="12"/>
      <c r="B22" s="389"/>
      <c r="C22" s="390"/>
      <c r="D22" s="390"/>
      <c r="E22" s="390"/>
      <c r="F22" s="390"/>
      <c r="G22" s="391"/>
    </row>
    <row r="23" spans="1:22" ht="19.5" customHeight="1" x14ac:dyDescent="0.25">
      <c r="C23" s="13"/>
      <c r="D23" s="38"/>
      <c r="E23" s="38"/>
    </row>
    <row r="24" spans="1:22" ht="18" customHeight="1" x14ac:dyDescent="0.25">
      <c r="A24" s="28" t="s">
        <v>29</v>
      </c>
      <c r="C24" s="13"/>
      <c r="D24" s="38"/>
      <c r="E24" s="38"/>
    </row>
    <row r="25" spans="1:22" ht="163.5" customHeight="1" x14ac:dyDescent="0.25">
      <c r="A25" s="30"/>
      <c r="B25" s="392"/>
      <c r="C25" s="393"/>
      <c r="D25" s="393"/>
      <c r="E25" s="393"/>
      <c r="F25" s="387"/>
      <c r="G25" s="388"/>
    </row>
    <row r="26" spans="1:22" x14ac:dyDescent="0.25">
      <c r="A26" s="30"/>
      <c r="C26" s="13"/>
      <c r="D26" s="38"/>
      <c r="E26" s="38"/>
    </row>
    <row r="28" spans="1:22" ht="18" x14ac:dyDescent="0.25">
      <c r="A28" s="28" t="s">
        <v>30</v>
      </c>
    </row>
    <row r="29" spans="1:22" x14ac:dyDescent="0.25">
      <c r="A29" s="12" t="s">
        <v>31</v>
      </c>
    </row>
    <row r="30" spans="1:22" ht="12.75" customHeight="1" x14ac:dyDescent="0.25">
      <c r="B30" s="394"/>
      <c r="C30" s="395"/>
      <c r="D30" s="395"/>
      <c r="E30" s="396"/>
      <c r="G30" s="146">
        <v>0</v>
      </c>
      <c r="H30" s="11" t="str">
        <f>IF(G30&gt;0,"Voeg eventueel offerte(s) toe voor "&amp;B30&amp;"","")</f>
        <v/>
      </c>
      <c r="I30" s="38"/>
      <c r="J30" s="38"/>
      <c r="K30" s="38"/>
      <c r="L30" s="38"/>
      <c r="M30" s="38"/>
      <c r="N30" s="38"/>
      <c r="O30" s="38"/>
      <c r="P30" s="38"/>
      <c r="Q30" s="38"/>
      <c r="R30" s="38"/>
      <c r="S30" s="38"/>
      <c r="T30" s="38"/>
      <c r="U30" s="38"/>
      <c r="V30" s="38"/>
    </row>
    <row r="31" spans="1:22" ht="12.75" customHeight="1" x14ac:dyDescent="0.25">
      <c r="B31" s="383"/>
      <c r="C31" s="384"/>
      <c r="D31" s="384"/>
      <c r="E31" s="385"/>
      <c r="G31" s="10">
        <v>0</v>
      </c>
      <c r="H31" s="11" t="str">
        <f t="shared" ref="H31:H39" si="0">IF(G31&gt;0,"Voeg eventueel offerte(s) toe voor "&amp;B31&amp;"","")</f>
        <v/>
      </c>
      <c r="I31" s="38"/>
      <c r="J31" s="38"/>
      <c r="K31" s="38"/>
      <c r="L31" s="38"/>
      <c r="M31" s="38"/>
      <c r="N31" s="38"/>
      <c r="O31" s="38"/>
      <c r="P31" s="38"/>
      <c r="Q31" s="38"/>
      <c r="R31" s="38"/>
      <c r="S31" s="38"/>
      <c r="T31" s="38"/>
      <c r="U31" s="38"/>
      <c r="V31" s="38"/>
    </row>
    <row r="32" spans="1:22" ht="12.75" customHeight="1" x14ac:dyDescent="0.25">
      <c r="B32" s="383"/>
      <c r="C32" s="384"/>
      <c r="D32" s="384"/>
      <c r="E32" s="385"/>
      <c r="G32" s="10">
        <v>0</v>
      </c>
      <c r="H32" s="11" t="str">
        <f t="shared" si="0"/>
        <v/>
      </c>
      <c r="I32" s="38"/>
      <c r="J32" s="38"/>
      <c r="K32" s="38"/>
      <c r="L32" s="38"/>
      <c r="M32" s="38"/>
      <c r="N32" s="38"/>
      <c r="O32" s="38"/>
      <c r="P32" s="38"/>
      <c r="Q32" s="38"/>
      <c r="R32" s="38"/>
      <c r="S32" s="38"/>
      <c r="T32" s="38"/>
      <c r="U32" s="38"/>
      <c r="V32" s="38"/>
    </row>
    <row r="33" spans="1:23" ht="12.75" customHeight="1" x14ac:dyDescent="0.25">
      <c r="B33" s="383"/>
      <c r="C33" s="384"/>
      <c r="D33" s="384"/>
      <c r="E33" s="385"/>
      <c r="G33" s="10">
        <v>0</v>
      </c>
      <c r="H33" s="11" t="str">
        <f t="shared" si="0"/>
        <v/>
      </c>
      <c r="I33" s="38"/>
      <c r="J33" s="38"/>
      <c r="K33" s="38"/>
      <c r="L33" s="38"/>
      <c r="M33" s="38"/>
      <c r="N33" s="38"/>
      <c r="O33" s="38"/>
      <c r="P33" s="38"/>
      <c r="Q33" s="38"/>
      <c r="R33" s="38"/>
      <c r="S33" s="38"/>
      <c r="T33" s="38"/>
      <c r="U33" s="38"/>
      <c r="V33" s="38"/>
    </row>
    <row r="34" spans="1:23" ht="12.75" customHeight="1" x14ac:dyDescent="0.25">
      <c r="B34" s="383"/>
      <c r="C34" s="384"/>
      <c r="D34" s="384"/>
      <c r="E34" s="385"/>
      <c r="G34" s="10">
        <v>0</v>
      </c>
      <c r="H34" s="11" t="str">
        <f t="shared" si="0"/>
        <v/>
      </c>
      <c r="I34" s="38"/>
      <c r="J34" s="38"/>
      <c r="K34" s="38"/>
      <c r="L34" s="38"/>
      <c r="M34" s="38"/>
      <c r="N34" s="38"/>
      <c r="O34" s="38"/>
      <c r="P34" s="38"/>
      <c r="Q34" s="38"/>
      <c r="R34" s="38"/>
      <c r="S34" s="38"/>
      <c r="T34" s="38"/>
      <c r="U34" s="38"/>
      <c r="V34" s="38"/>
    </row>
    <row r="35" spans="1:23" ht="12.75" customHeight="1" x14ac:dyDescent="0.25">
      <c r="B35" s="383"/>
      <c r="C35" s="400"/>
      <c r="D35" s="400"/>
      <c r="E35" s="401"/>
      <c r="G35" s="147">
        <v>0</v>
      </c>
      <c r="H35" s="11" t="str">
        <f t="shared" si="0"/>
        <v/>
      </c>
      <c r="I35" s="38"/>
      <c r="J35" s="38"/>
      <c r="K35" s="38"/>
      <c r="L35" s="38"/>
      <c r="M35" s="38"/>
      <c r="N35" s="38"/>
      <c r="O35" s="38"/>
      <c r="P35" s="38"/>
      <c r="Q35" s="38"/>
      <c r="R35" s="38"/>
      <c r="S35" s="38"/>
      <c r="T35" s="38"/>
      <c r="U35" s="38"/>
      <c r="V35" s="38"/>
    </row>
    <row r="36" spans="1:23" ht="12.75" customHeight="1" x14ac:dyDescent="0.25">
      <c r="B36" s="383"/>
      <c r="C36" s="400"/>
      <c r="D36" s="400"/>
      <c r="E36" s="401"/>
      <c r="G36" s="147">
        <v>0</v>
      </c>
      <c r="H36" s="11" t="str">
        <f t="shared" si="0"/>
        <v/>
      </c>
      <c r="I36" s="38"/>
      <c r="J36" s="38"/>
      <c r="K36" s="38"/>
      <c r="L36" s="38"/>
      <c r="M36" s="38"/>
      <c r="N36" s="38"/>
      <c r="O36" s="38"/>
      <c r="P36" s="38"/>
      <c r="Q36" s="38"/>
      <c r="R36" s="38"/>
      <c r="S36" s="38"/>
      <c r="T36" s="38"/>
      <c r="U36" s="38"/>
      <c r="V36" s="38"/>
    </row>
    <row r="37" spans="1:23" ht="12.75" customHeight="1" x14ac:dyDescent="0.25">
      <c r="B37" s="383"/>
      <c r="C37" s="400"/>
      <c r="D37" s="400"/>
      <c r="E37" s="401"/>
      <c r="G37" s="147">
        <v>0</v>
      </c>
      <c r="H37" s="11" t="str">
        <f t="shared" si="0"/>
        <v/>
      </c>
      <c r="I37" s="38"/>
      <c r="J37" s="38"/>
      <c r="K37" s="38"/>
      <c r="L37" s="38"/>
      <c r="M37" s="38"/>
      <c r="N37" s="38"/>
      <c r="O37" s="38"/>
      <c r="P37" s="38"/>
      <c r="Q37" s="38"/>
      <c r="R37" s="38"/>
      <c r="S37" s="38"/>
      <c r="T37" s="38"/>
      <c r="U37" s="38"/>
      <c r="V37" s="38"/>
    </row>
    <row r="38" spans="1:23" ht="12.75" customHeight="1" x14ac:dyDescent="0.25">
      <c r="B38" s="383"/>
      <c r="C38" s="400"/>
      <c r="D38" s="400"/>
      <c r="E38" s="401"/>
      <c r="G38" s="147">
        <v>0</v>
      </c>
      <c r="H38" s="11" t="str">
        <f t="shared" si="0"/>
        <v/>
      </c>
      <c r="I38" s="38"/>
      <c r="J38" s="38"/>
      <c r="K38" s="38"/>
      <c r="L38" s="38"/>
      <c r="M38" s="38"/>
      <c r="N38" s="38"/>
      <c r="O38" s="38"/>
      <c r="P38" s="38"/>
      <c r="Q38" s="38"/>
      <c r="R38" s="38"/>
      <c r="S38" s="38"/>
      <c r="T38" s="38"/>
      <c r="U38" s="38"/>
      <c r="V38" s="38"/>
    </row>
    <row r="39" spans="1:23" ht="12.75" customHeight="1" x14ac:dyDescent="0.25">
      <c r="A39" s="12"/>
      <c r="B39" s="402"/>
      <c r="C39" s="403"/>
      <c r="D39" s="403"/>
      <c r="E39" s="404"/>
      <c r="G39" s="160">
        <v>0</v>
      </c>
      <c r="H39" s="11" t="str">
        <f t="shared" si="0"/>
        <v/>
      </c>
      <c r="I39" s="38"/>
      <c r="J39" s="38"/>
      <c r="K39" s="38"/>
      <c r="L39" s="38"/>
      <c r="M39" s="38"/>
      <c r="N39" s="38"/>
      <c r="O39" s="38"/>
      <c r="P39" s="38"/>
      <c r="Q39" s="38"/>
      <c r="R39" s="38"/>
      <c r="S39" s="38"/>
      <c r="T39" s="38"/>
      <c r="U39" s="38"/>
      <c r="V39" s="38"/>
    </row>
    <row r="40" spans="1:23" ht="12.75" customHeight="1" x14ac:dyDescent="0.25">
      <c r="A40" s="12" t="s">
        <v>32</v>
      </c>
      <c r="B40" s="41"/>
      <c r="C40" s="41"/>
      <c r="D40" s="41"/>
      <c r="E40" s="41"/>
      <c r="G40" s="42">
        <f>SUM(G30:G39)</f>
        <v>0</v>
      </c>
      <c r="H40" s="11" t="str">
        <f>IF(G40&gt;30000000,"Voeg eventueel een liquiditeitsbegroting toe (planning wanneer u welke bedragen in het project gaat inbrengen)","")</f>
        <v/>
      </c>
      <c r="I40" s="43"/>
      <c r="J40" s="43"/>
      <c r="K40" s="43"/>
      <c r="L40" s="43"/>
      <c r="M40" s="43"/>
      <c r="N40" s="43"/>
      <c r="O40" s="43"/>
      <c r="P40" s="43"/>
      <c r="Q40" s="43"/>
      <c r="R40" s="43"/>
      <c r="S40" s="43"/>
      <c r="T40" s="43"/>
      <c r="U40" s="43"/>
      <c r="V40" s="43"/>
    </row>
    <row r="41" spans="1:23" ht="12.75" customHeight="1" x14ac:dyDescent="0.25"/>
    <row r="42" spans="1:23" ht="18" x14ac:dyDescent="0.25">
      <c r="A42" s="28" t="s">
        <v>33</v>
      </c>
    </row>
    <row r="43" spans="1:23" ht="12.75" customHeight="1" x14ac:dyDescent="0.25">
      <c r="A43" s="12" t="str">
        <f>IF(Hulpblad_overig!B8=2,"Eigen vermogen (€)","Niet van toepassing")</f>
        <v>Niet van toepassing</v>
      </c>
      <c r="G43" s="186">
        <f>IF(Hulpblad_overig!B8=2,G40*E13,0)</f>
        <v>0</v>
      </c>
    </row>
    <row r="44" spans="1:23" ht="12.75" customHeight="1" x14ac:dyDescent="0.25">
      <c r="A44" s="12" t="str">
        <f>IF(Hulpblad_overig!B8=2,"Rentedragende financiering (€)","Niet van toepassing")</f>
        <v>Niet van toepassing</v>
      </c>
      <c r="G44" s="163">
        <f>IF(Hulpblad_overig!B8=2,G40-G43,0)</f>
        <v>0</v>
      </c>
    </row>
    <row r="45" spans="1:23" x14ac:dyDescent="0.25">
      <c r="A45" s="12"/>
    </row>
    <row r="46" spans="1:23" s="30" customFormat="1" ht="12.75" x14ac:dyDescent="0.2">
      <c r="G46" s="42"/>
      <c r="H46" s="43"/>
      <c r="I46" s="43"/>
      <c r="J46" s="43"/>
      <c r="K46" s="43"/>
      <c r="L46" s="43"/>
      <c r="M46" s="43"/>
      <c r="N46" s="43"/>
      <c r="O46" s="43"/>
      <c r="P46" s="43"/>
      <c r="Q46" s="43"/>
      <c r="R46" s="43"/>
      <c r="S46" s="43"/>
      <c r="T46" s="43"/>
      <c r="U46" s="43"/>
      <c r="V46" s="43"/>
      <c r="W46" s="43"/>
    </row>
    <row r="47" spans="1:23" s="30" customFormat="1" ht="18" x14ac:dyDescent="0.25">
      <c r="A47" s="405" t="str">
        <f>IF(Hulpblad_overig!B8=2,"U maakt gebruik van balansfinanciering, u kunt regels 49 t/m 98 overslaan","Invulblok voor projectfinanciering")</f>
        <v>Invulblok voor projectfinanciering</v>
      </c>
      <c r="B47" s="405"/>
      <c r="C47" s="406"/>
      <c r="D47" s="406"/>
      <c r="E47" s="406"/>
      <c r="G47" s="42"/>
      <c r="H47" s="43"/>
      <c r="I47" s="43"/>
      <c r="J47" s="43"/>
      <c r="K47" s="43"/>
      <c r="L47" s="43"/>
      <c r="M47" s="43"/>
      <c r="N47" s="43"/>
      <c r="O47" s="43"/>
      <c r="P47" s="43"/>
      <c r="Q47" s="43"/>
      <c r="R47" s="43"/>
      <c r="S47" s="43"/>
      <c r="T47" s="43"/>
      <c r="U47" s="43"/>
      <c r="V47" s="43"/>
      <c r="W47" s="43"/>
    </row>
    <row r="48" spans="1:23" s="30" customFormat="1" ht="18" x14ac:dyDescent="0.25">
      <c r="A48" s="28"/>
      <c r="B48" s="4"/>
      <c r="C48" s="4"/>
      <c r="D48" s="4"/>
      <c r="E48" s="4"/>
      <c r="G48" s="42"/>
      <c r="H48" s="43"/>
      <c r="I48" s="43"/>
      <c r="J48" s="43"/>
      <c r="K48" s="43"/>
      <c r="L48" s="43"/>
      <c r="M48" s="43"/>
      <c r="N48" s="43"/>
      <c r="O48" s="43"/>
      <c r="P48" s="43"/>
      <c r="Q48" s="43"/>
      <c r="R48" s="43"/>
      <c r="S48" s="43"/>
      <c r="T48" s="43"/>
      <c r="U48" s="43"/>
      <c r="V48" s="43"/>
      <c r="W48" s="43"/>
    </row>
    <row r="49" spans="1:23" s="30" customFormat="1" x14ac:dyDescent="0.25">
      <c r="A49" s="44" t="str">
        <f>IF(Hulpblad_overig!B8=1,"Eigen vermogen","Niet van toepassing")</f>
        <v>Eigen vermogen</v>
      </c>
      <c r="B49" s="4"/>
      <c r="C49" s="4"/>
      <c r="D49" s="4"/>
      <c r="E49" s="4"/>
      <c r="G49" s="42"/>
      <c r="H49" s="43"/>
      <c r="I49" s="43"/>
      <c r="J49" s="43"/>
      <c r="K49" s="43"/>
      <c r="L49" s="43"/>
      <c r="M49" s="43"/>
      <c r="N49" s="43"/>
      <c r="O49" s="43"/>
      <c r="P49" s="43"/>
      <c r="Q49" s="43"/>
      <c r="R49" s="43"/>
      <c r="S49" s="43"/>
      <c r="T49" s="43"/>
      <c r="U49" s="43"/>
      <c r="V49" s="43"/>
      <c r="W49" s="43"/>
    </row>
    <row r="50" spans="1:23" s="30" customFormat="1" ht="12.75" customHeight="1" x14ac:dyDescent="0.25">
      <c r="A50" s="12" t="str">
        <f>IF(Hulpblad_overig!B8=1,"Geef hier eventueel aangevraagde investeringssubsidie op:","Niet van toepassing")</f>
        <v>Geef hier eventueel aangevraagde investeringssubsidie op:</v>
      </c>
      <c r="B50" s="4"/>
      <c r="C50" s="4"/>
      <c r="D50" s="4"/>
      <c r="E50" s="14"/>
      <c r="G50" s="12"/>
      <c r="H50" s="12"/>
      <c r="I50" s="43"/>
      <c r="J50" s="43"/>
      <c r="K50" s="43"/>
      <c r="L50" s="43"/>
      <c r="M50" s="43"/>
      <c r="N50" s="43"/>
      <c r="O50" s="43"/>
      <c r="P50" s="43"/>
      <c r="Q50" s="43"/>
      <c r="R50" s="43"/>
      <c r="S50" s="43"/>
      <c r="T50" s="43"/>
      <c r="U50" s="43"/>
      <c r="V50" s="43"/>
      <c r="W50" s="43"/>
    </row>
    <row r="51" spans="1:23" ht="12.75" customHeight="1" x14ac:dyDescent="0.25">
      <c r="A51" s="161" t="s">
        <v>410</v>
      </c>
      <c r="B51" s="407"/>
      <c r="C51" s="408"/>
      <c r="D51" s="408"/>
      <c r="E51" s="409"/>
      <c r="G51" s="184">
        <v>0</v>
      </c>
      <c r="H51" s="11" t="str">
        <f>IF(AND(G51&gt;0,B51=""),"U moet nog de naam van de subsidieregeling invullen","")</f>
        <v/>
      </c>
      <c r="I51" s="38"/>
      <c r="J51" s="38"/>
      <c r="K51" s="38"/>
      <c r="L51" s="38"/>
      <c r="M51" s="38"/>
      <c r="N51" s="38"/>
      <c r="O51" s="38"/>
      <c r="P51" s="38"/>
      <c r="Q51" s="38"/>
      <c r="R51" s="38"/>
      <c r="S51" s="38"/>
      <c r="T51" s="38"/>
      <c r="U51" s="38"/>
      <c r="V51" s="38"/>
    </row>
    <row r="52" spans="1:23" ht="12.75" customHeight="1" x14ac:dyDescent="0.25">
      <c r="B52" s="12" t="str">
        <f>IF(Hulpblad_overig!B8=1,"Is deze investeringssubsidie reeds verleend? (ja/nee)","Niet van toepassing")</f>
        <v>Is deze investeringssubsidie reeds verleend? (ja/nee)</v>
      </c>
      <c r="C52" s="13"/>
      <c r="D52" s="13"/>
      <c r="E52" s="13"/>
      <c r="G52" s="164"/>
      <c r="H52" s="43"/>
      <c r="I52" s="38"/>
      <c r="J52" s="38"/>
      <c r="K52" s="38"/>
      <c r="L52" s="38"/>
      <c r="M52" s="38"/>
      <c r="N52" s="38"/>
      <c r="O52" s="38"/>
      <c r="P52" s="38"/>
      <c r="Q52" s="38"/>
      <c r="R52" s="38"/>
      <c r="S52" s="38"/>
      <c r="T52" s="38"/>
      <c r="U52" s="38"/>
      <c r="V52" s="38"/>
    </row>
    <row r="53" spans="1:23" ht="12.75" customHeight="1" x14ac:dyDescent="0.25">
      <c r="B53" s="15"/>
      <c r="C53" s="13"/>
      <c r="D53" s="13"/>
      <c r="E53" s="13"/>
      <c r="F53" s="8"/>
      <c r="G53" s="187"/>
      <c r="H53" s="43"/>
      <c r="I53" s="38"/>
      <c r="J53" s="38"/>
      <c r="K53" s="38"/>
      <c r="L53" s="38"/>
      <c r="M53" s="38"/>
      <c r="N53" s="38"/>
      <c r="O53" s="38"/>
      <c r="P53" s="38"/>
      <c r="Q53" s="38"/>
      <c r="R53" s="38"/>
      <c r="S53" s="38"/>
      <c r="T53" s="38"/>
      <c r="U53" s="38"/>
      <c r="V53" s="38"/>
    </row>
    <row r="54" spans="1:23" s="30" customFormat="1" ht="17.25" customHeight="1" x14ac:dyDescent="0.25">
      <c r="A54" s="44" t="str">
        <f>IF(Hulpblad_overig!B8=1,"Nadere toelichting/omschrijving eigenvermogen","Niet van toepassing")</f>
        <v>Nadere toelichting/omschrijving eigenvermogen</v>
      </c>
      <c r="B54" s="4"/>
      <c r="C54" s="4"/>
      <c r="D54" s="4"/>
      <c r="E54" s="14"/>
      <c r="G54" s="12"/>
      <c r="H54" s="12"/>
      <c r="I54" s="43"/>
      <c r="J54" s="43"/>
      <c r="K54" s="43"/>
      <c r="L54" s="43"/>
      <c r="M54" s="43"/>
      <c r="N54" s="43"/>
      <c r="O54" s="43"/>
      <c r="P54" s="43"/>
      <c r="Q54" s="43"/>
      <c r="R54" s="43"/>
      <c r="S54" s="43"/>
      <c r="T54" s="43"/>
      <c r="U54" s="43"/>
      <c r="V54" s="43"/>
      <c r="W54" s="43"/>
    </row>
    <row r="55" spans="1:23" s="30" customFormat="1" ht="12.75" customHeight="1" x14ac:dyDescent="0.25">
      <c r="A55" s="12" t="str">
        <f>IF(Hulpblad_overig!B8=1,"Inbreng van eigen vermogen van de aanvrager zelf (€)","Niet van toepassing")</f>
        <v>Inbreng van eigen vermogen van de aanvrager zelf (€)</v>
      </c>
      <c r="B55" s="4"/>
      <c r="C55" s="4"/>
      <c r="D55" s="4"/>
      <c r="E55" s="14"/>
      <c r="G55" s="184">
        <v>0</v>
      </c>
      <c r="H55" s="11"/>
      <c r="I55" s="43"/>
      <c r="J55" s="43"/>
      <c r="K55" s="43"/>
      <c r="L55" s="43"/>
      <c r="M55" s="43"/>
      <c r="N55" s="43"/>
      <c r="O55" s="43"/>
      <c r="P55" s="43"/>
      <c r="Q55" s="43"/>
      <c r="R55" s="43"/>
      <c r="S55" s="43"/>
      <c r="T55" s="43"/>
      <c r="U55" s="43"/>
      <c r="V55" s="43"/>
      <c r="W55" s="43"/>
    </row>
    <row r="56" spans="1:23" s="30" customFormat="1" ht="12.75" customHeight="1" x14ac:dyDescent="0.2">
      <c r="A56" s="12" t="str">
        <f>IF(Hulpblad_overig!B8=1,"Verleende investeringssubsidie (€)","Niet van toepassing")</f>
        <v>Verleende investeringssubsidie (€)</v>
      </c>
      <c r="B56" s="410" t="str">
        <f>IF(OR(Hulpblad_overig!B22=2,B51=""),"",B51)</f>
        <v/>
      </c>
      <c r="C56" s="411"/>
      <c r="D56" s="411"/>
      <c r="E56" s="412"/>
      <c r="G56" s="173">
        <f>IF(Hulpblad_overig!B22=1,G51,0)</f>
        <v>0</v>
      </c>
      <c r="H56" s="11" t="str">
        <f>IF(G56&gt;0,"Voeg de subsidiebeschikking "&amp;B56&amp;" toe","")</f>
        <v/>
      </c>
      <c r="I56" s="43"/>
      <c r="J56" s="43"/>
      <c r="K56" s="43"/>
      <c r="L56" s="43"/>
      <c r="M56" s="43"/>
      <c r="N56" s="43"/>
      <c r="O56" s="43"/>
      <c r="P56" s="43"/>
      <c r="Q56" s="43"/>
      <c r="R56" s="43"/>
      <c r="S56" s="43"/>
      <c r="T56" s="43"/>
      <c r="U56" s="43"/>
      <c r="V56" s="43"/>
      <c r="W56" s="43"/>
    </row>
    <row r="57" spans="1:23" s="30" customFormat="1" ht="12.75" customHeight="1" x14ac:dyDescent="0.2">
      <c r="A57" s="12"/>
      <c r="B57" s="188"/>
      <c r="C57" s="161"/>
      <c r="D57" s="161"/>
      <c r="E57" s="161"/>
      <c r="G57" s="164"/>
      <c r="H57" s="16"/>
      <c r="I57" s="43"/>
      <c r="J57" s="43"/>
      <c r="K57" s="43"/>
      <c r="L57" s="43"/>
      <c r="M57" s="43"/>
      <c r="N57" s="43"/>
      <c r="O57" s="43"/>
      <c r="P57" s="43"/>
      <c r="Q57" s="43"/>
      <c r="R57" s="43"/>
      <c r="S57" s="43"/>
      <c r="T57" s="43"/>
      <c r="U57" s="43"/>
      <c r="V57" s="43"/>
      <c r="W57" s="43"/>
    </row>
    <row r="58" spans="1:23" s="30" customFormat="1" ht="12.75" customHeight="1" x14ac:dyDescent="0.2">
      <c r="A58" s="12" t="str">
        <f>IF(Hulpblad_overig!B8=1,"Inbreng vermogen middels crowdfunding of participaties (€) (indien van toepassing)","Niet van toepassing")</f>
        <v>Inbreng vermogen middels crowdfunding of participaties (€) (indien van toepassing)</v>
      </c>
      <c r="B58" s="188"/>
      <c r="C58" s="161"/>
      <c r="D58" s="161"/>
      <c r="E58" s="161"/>
      <c r="G58" s="179">
        <v>0</v>
      </c>
      <c r="H58" s="6" t="str">
        <f>IF(G58&gt;0,"Voeg bijlage toe met een beschrijving of prospectus voor het crowdfunding- of participatieproject waaruit blijkt dat u dit vermogen kunt inbrengen","")</f>
        <v/>
      </c>
      <c r="I58" s="43"/>
      <c r="J58" s="43"/>
      <c r="K58" s="43"/>
      <c r="L58" s="43"/>
      <c r="M58" s="43"/>
      <c r="N58" s="43"/>
      <c r="O58" s="43"/>
      <c r="P58" s="43"/>
      <c r="Q58" s="43"/>
      <c r="R58" s="43"/>
      <c r="S58" s="43"/>
      <c r="T58" s="43"/>
      <c r="U58" s="43"/>
      <c r="V58" s="43"/>
      <c r="W58" s="43"/>
    </row>
    <row r="59" spans="1:23" s="30" customFormat="1" ht="12.75" customHeight="1" x14ac:dyDescent="0.2">
      <c r="A59" s="12"/>
      <c r="B59" s="188"/>
      <c r="C59" s="161"/>
      <c r="D59" s="161"/>
      <c r="E59" s="161"/>
      <c r="G59" s="164"/>
      <c r="H59" s="17"/>
      <c r="I59" s="43"/>
      <c r="J59" s="43"/>
      <c r="K59" s="43"/>
      <c r="L59" s="43"/>
      <c r="M59" s="43"/>
      <c r="N59" s="43"/>
      <c r="O59" s="43"/>
      <c r="P59" s="43"/>
      <c r="Q59" s="43"/>
      <c r="R59" s="43"/>
      <c r="S59" s="43"/>
      <c r="T59" s="43"/>
      <c r="U59" s="43"/>
      <c r="V59" s="43"/>
      <c r="W59" s="43"/>
    </row>
    <row r="60" spans="1:23" s="30" customFormat="1" ht="12.75" customHeight="1" x14ac:dyDescent="0.2">
      <c r="A60" s="12" t="str">
        <f>IF(Hulpblad_overig!B8=1,"Namen overige eigenvermogenverschaffers en inbreng (€) (indien van toepassing)","Niet van toepassing")</f>
        <v>Namen overige eigenvermogenverschaffers en inbreng (€) (indien van toepassing)</v>
      </c>
      <c r="B60" s="161"/>
      <c r="C60" s="161"/>
      <c r="D60" s="161"/>
      <c r="E60" s="164"/>
      <c r="G60" s="42"/>
      <c r="H60" s="16"/>
      <c r="I60" s="43"/>
      <c r="J60" s="43"/>
      <c r="K60" s="43"/>
      <c r="L60" s="43"/>
      <c r="M60" s="43"/>
      <c r="N60" s="43"/>
      <c r="O60" s="43"/>
      <c r="P60" s="43"/>
      <c r="Q60" s="43"/>
      <c r="R60" s="43"/>
      <c r="S60" s="43"/>
      <c r="T60" s="43"/>
      <c r="U60" s="43"/>
      <c r="V60" s="43"/>
      <c r="W60" s="43"/>
    </row>
    <row r="61" spans="1:23" s="30" customFormat="1" ht="12.75" customHeight="1" x14ac:dyDescent="0.2">
      <c r="A61" s="12"/>
      <c r="B61" s="413"/>
      <c r="C61" s="414"/>
      <c r="D61" s="414"/>
      <c r="E61" s="415"/>
      <c r="F61" s="161"/>
      <c r="G61" s="146">
        <v>0</v>
      </c>
      <c r="H61" s="11" t="str">
        <f t="shared" ref="H61:H70" si="1">IF(G61&gt;0,"Voeg contract toe en eventueel jaarrekening of bedrijfsbalans van " &amp;B61&amp;"","")</f>
        <v/>
      </c>
      <c r="I61" s="43"/>
      <c r="J61" s="43"/>
      <c r="K61" s="43"/>
      <c r="L61" s="43"/>
      <c r="M61" s="43"/>
      <c r="N61" s="43"/>
      <c r="O61" s="43"/>
      <c r="P61" s="43"/>
      <c r="Q61" s="43"/>
      <c r="R61" s="43"/>
      <c r="S61" s="43"/>
      <c r="T61" s="43"/>
      <c r="U61" s="43"/>
      <c r="V61" s="43"/>
      <c r="W61" s="43"/>
    </row>
    <row r="62" spans="1:23" s="30" customFormat="1" ht="12.75" customHeight="1" x14ac:dyDescent="0.2">
      <c r="A62" s="12"/>
      <c r="B62" s="397"/>
      <c r="C62" s="398"/>
      <c r="D62" s="398"/>
      <c r="E62" s="399"/>
      <c r="F62" s="161"/>
      <c r="G62" s="10">
        <v>0</v>
      </c>
      <c r="H62" s="11" t="str">
        <f t="shared" si="1"/>
        <v/>
      </c>
      <c r="I62" s="43"/>
      <c r="J62" s="43"/>
      <c r="K62" s="43"/>
      <c r="L62" s="43"/>
      <c r="M62" s="43"/>
      <c r="N62" s="43"/>
      <c r="O62" s="43"/>
      <c r="P62" s="43"/>
      <c r="Q62" s="43"/>
      <c r="R62" s="43"/>
      <c r="S62" s="43"/>
      <c r="T62" s="43"/>
      <c r="U62" s="43"/>
      <c r="V62" s="43"/>
      <c r="W62" s="43"/>
    </row>
    <row r="63" spans="1:23" s="30" customFormat="1" ht="12.75" customHeight="1" x14ac:dyDescent="0.2">
      <c r="A63" s="12"/>
      <c r="B63" s="397"/>
      <c r="C63" s="398"/>
      <c r="D63" s="398"/>
      <c r="E63" s="399"/>
      <c r="F63" s="161"/>
      <c r="G63" s="10">
        <v>0</v>
      </c>
      <c r="H63" s="11" t="str">
        <f t="shared" si="1"/>
        <v/>
      </c>
      <c r="I63" s="43"/>
      <c r="J63" s="43"/>
      <c r="K63" s="43"/>
      <c r="L63" s="43"/>
      <c r="M63" s="43"/>
      <c r="N63" s="43"/>
      <c r="O63" s="43"/>
      <c r="P63" s="43"/>
      <c r="Q63" s="43"/>
      <c r="R63" s="43"/>
      <c r="S63" s="43"/>
      <c r="T63" s="43"/>
      <c r="U63" s="43"/>
      <c r="V63" s="43"/>
      <c r="W63" s="43"/>
    </row>
    <row r="64" spans="1:23" s="30" customFormat="1" ht="12.75" customHeight="1" x14ac:dyDescent="0.2">
      <c r="A64" s="12"/>
      <c r="B64" s="397"/>
      <c r="C64" s="398"/>
      <c r="D64" s="398"/>
      <c r="E64" s="399"/>
      <c r="F64" s="161"/>
      <c r="G64" s="10">
        <v>0</v>
      </c>
      <c r="H64" s="11" t="str">
        <f t="shared" si="1"/>
        <v/>
      </c>
      <c r="I64" s="43"/>
      <c r="J64" s="43"/>
      <c r="K64" s="43"/>
      <c r="L64" s="43"/>
      <c r="M64" s="43"/>
      <c r="N64" s="43"/>
      <c r="O64" s="43"/>
      <c r="P64" s="43"/>
      <c r="Q64" s="43"/>
      <c r="R64" s="43"/>
      <c r="S64" s="43"/>
      <c r="T64" s="43"/>
      <c r="U64" s="43"/>
      <c r="V64" s="43"/>
      <c r="W64" s="43"/>
    </row>
    <row r="65" spans="1:23" s="30" customFormat="1" ht="12.75" customHeight="1" x14ac:dyDescent="0.2">
      <c r="A65" s="12"/>
      <c r="B65" s="397"/>
      <c r="C65" s="398"/>
      <c r="D65" s="398"/>
      <c r="E65" s="399"/>
      <c r="F65" s="161"/>
      <c r="G65" s="10">
        <v>0</v>
      </c>
      <c r="H65" s="11" t="str">
        <f t="shared" si="1"/>
        <v/>
      </c>
      <c r="I65" s="43"/>
      <c r="J65" s="43"/>
      <c r="K65" s="43"/>
      <c r="L65" s="43"/>
      <c r="M65" s="43"/>
      <c r="N65" s="43"/>
      <c r="O65" s="43"/>
      <c r="P65" s="43"/>
      <c r="Q65" s="43"/>
      <c r="R65" s="43"/>
      <c r="S65" s="43"/>
      <c r="T65" s="43"/>
      <c r="U65" s="43"/>
      <c r="V65" s="43"/>
      <c r="W65" s="43"/>
    </row>
    <row r="66" spans="1:23" s="30" customFormat="1" ht="12.75" customHeight="1" x14ac:dyDescent="0.2">
      <c r="A66" s="12"/>
      <c r="B66" s="397"/>
      <c r="C66" s="416"/>
      <c r="D66" s="416"/>
      <c r="E66" s="417"/>
      <c r="F66" s="161"/>
      <c r="G66" s="147">
        <v>0</v>
      </c>
      <c r="H66" s="11" t="str">
        <f t="shared" si="1"/>
        <v/>
      </c>
      <c r="I66" s="43"/>
      <c r="J66" s="43"/>
      <c r="K66" s="43"/>
      <c r="L66" s="43"/>
      <c r="M66" s="43"/>
      <c r="N66" s="43"/>
      <c r="O66" s="43"/>
      <c r="P66" s="43"/>
      <c r="Q66" s="43"/>
      <c r="R66" s="43"/>
      <c r="S66" s="43"/>
      <c r="T66" s="43"/>
      <c r="U66" s="43"/>
      <c r="V66" s="43"/>
      <c r="W66" s="43"/>
    </row>
    <row r="67" spans="1:23" s="30" customFormat="1" ht="12.75" customHeight="1" x14ac:dyDescent="0.2">
      <c r="A67" s="12"/>
      <c r="B67" s="397"/>
      <c r="C67" s="416"/>
      <c r="D67" s="416"/>
      <c r="E67" s="417"/>
      <c r="F67" s="161"/>
      <c r="G67" s="147">
        <v>0</v>
      </c>
      <c r="H67" s="11" t="str">
        <f t="shared" si="1"/>
        <v/>
      </c>
      <c r="I67" s="43"/>
      <c r="J67" s="43"/>
      <c r="K67" s="43"/>
      <c r="L67" s="43"/>
      <c r="M67" s="43"/>
      <c r="N67" s="43"/>
      <c r="O67" s="43"/>
      <c r="P67" s="43"/>
      <c r="Q67" s="43"/>
      <c r="R67" s="43"/>
      <c r="S67" s="43"/>
      <c r="T67" s="43"/>
      <c r="U67" s="43"/>
      <c r="V67" s="43"/>
      <c r="W67" s="43"/>
    </row>
    <row r="68" spans="1:23" s="30" customFormat="1" ht="12.75" customHeight="1" x14ac:dyDescent="0.2">
      <c r="A68" s="12"/>
      <c r="B68" s="397"/>
      <c r="C68" s="416"/>
      <c r="D68" s="416"/>
      <c r="E68" s="417"/>
      <c r="F68" s="161"/>
      <c r="G68" s="147">
        <v>0</v>
      </c>
      <c r="H68" s="11" t="str">
        <f t="shared" si="1"/>
        <v/>
      </c>
      <c r="I68" s="43"/>
      <c r="J68" s="43"/>
      <c r="K68" s="43"/>
      <c r="L68" s="43"/>
      <c r="M68" s="43"/>
      <c r="N68" s="43"/>
      <c r="O68" s="43"/>
      <c r="P68" s="43"/>
      <c r="Q68" s="43"/>
      <c r="R68" s="43"/>
      <c r="S68" s="43"/>
      <c r="T68" s="43"/>
      <c r="U68" s="43"/>
      <c r="V68" s="43"/>
      <c r="W68" s="43"/>
    </row>
    <row r="69" spans="1:23" s="30" customFormat="1" ht="12.75" customHeight="1" x14ac:dyDescent="0.2">
      <c r="A69" s="12"/>
      <c r="B69" s="397"/>
      <c r="C69" s="416"/>
      <c r="D69" s="416"/>
      <c r="E69" s="417"/>
      <c r="F69" s="161"/>
      <c r="G69" s="147">
        <v>0</v>
      </c>
      <c r="H69" s="11" t="str">
        <f t="shared" si="1"/>
        <v/>
      </c>
      <c r="I69" s="43"/>
      <c r="J69" s="43"/>
      <c r="K69" s="43"/>
      <c r="L69" s="43"/>
      <c r="M69" s="43"/>
      <c r="N69" s="43"/>
      <c r="O69" s="43"/>
      <c r="P69" s="43"/>
      <c r="Q69" s="43"/>
      <c r="R69" s="43"/>
      <c r="S69" s="43"/>
      <c r="T69" s="43"/>
      <c r="U69" s="43"/>
      <c r="V69" s="43"/>
      <c r="W69" s="43"/>
    </row>
    <row r="70" spans="1:23" s="30" customFormat="1" ht="12.75" customHeight="1" x14ac:dyDescent="0.2">
      <c r="A70" s="12"/>
      <c r="B70" s="418"/>
      <c r="C70" s="419"/>
      <c r="D70" s="419"/>
      <c r="E70" s="420"/>
      <c r="F70" s="161"/>
      <c r="G70" s="160">
        <v>0</v>
      </c>
      <c r="H70" s="11" t="str">
        <f t="shared" si="1"/>
        <v/>
      </c>
      <c r="I70" s="43"/>
      <c r="J70" s="43"/>
      <c r="K70" s="43"/>
      <c r="L70" s="43"/>
      <c r="M70" s="43"/>
      <c r="N70" s="43"/>
      <c r="O70" s="43"/>
      <c r="P70" s="43"/>
      <c r="Q70" s="43"/>
      <c r="R70" s="43"/>
      <c r="S70" s="43"/>
      <c r="T70" s="43"/>
      <c r="U70" s="43"/>
      <c r="V70" s="43"/>
      <c r="W70" s="43"/>
    </row>
    <row r="71" spans="1:23" s="30" customFormat="1" ht="12.75" customHeight="1" x14ac:dyDescent="0.2">
      <c r="A71" s="12" t="str">
        <f>IF(Hulpblad_overig!B8=1,"Namen verschaffers achtergestelde leningen en hoogte lening (€)","Niet van toepassing")</f>
        <v>Namen verschaffers achtergestelde leningen en hoogte lening (€)</v>
      </c>
      <c r="B71" s="12"/>
      <c r="C71" s="161"/>
      <c r="D71" s="161"/>
      <c r="E71" s="161"/>
      <c r="F71" s="161"/>
      <c r="G71" s="164"/>
      <c r="H71" s="16"/>
      <c r="I71" s="43"/>
      <c r="J71" s="43"/>
      <c r="K71" s="43"/>
      <c r="L71" s="43"/>
      <c r="M71" s="43"/>
      <c r="N71" s="43"/>
      <c r="O71" s="43"/>
      <c r="P71" s="43"/>
      <c r="Q71" s="43"/>
      <c r="R71" s="43"/>
      <c r="S71" s="43"/>
      <c r="T71" s="43"/>
      <c r="U71" s="43"/>
      <c r="V71" s="43"/>
      <c r="W71" s="43"/>
    </row>
    <row r="72" spans="1:23" s="30" customFormat="1" ht="12.75" customHeight="1" x14ac:dyDescent="0.2">
      <c r="A72" s="12"/>
      <c r="B72" s="413"/>
      <c r="C72" s="421"/>
      <c r="D72" s="421"/>
      <c r="E72" s="422"/>
      <c r="F72" s="161"/>
      <c r="G72" s="146">
        <v>0</v>
      </c>
      <c r="H72" s="11" t="str">
        <f>IF(G72&gt;0,"Voeg contract achtergestelde lening toe van " &amp;B72&amp;"","")</f>
        <v/>
      </c>
      <c r="I72" s="43"/>
      <c r="J72" s="43"/>
      <c r="K72" s="43"/>
      <c r="L72" s="43"/>
      <c r="M72" s="43"/>
      <c r="N72" s="43"/>
      <c r="O72" s="43"/>
      <c r="P72" s="43"/>
      <c r="Q72" s="43"/>
      <c r="R72" s="43"/>
      <c r="S72" s="43"/>
      <c r="T72" s="43"/>
      <c r="U72" s="43"/>
      <c r="V72" s="43"/>
      <c r="W72" s="43"/>
    </row>
    <row r="73" spans="1:23" s="30" customFormat="1" ht="12.75" customHeight="1" x14ac:dyDescent="0.2">
      <c r="A73" s="12"/>
      <c r="B73" s="397"/>
      <c r="C73" s="416"/>
      <c r="D73" s="416"/>
      <c r="E73" s="417"/>
      <c r="F73" s="161"/>
      <c r="G73" s="147">
        <v>0</v>
      </c>
      <c r="H73" s="11" t="str">
        <f>IF(G73&gt;0,"Voeg contract achtergestelde lening toe van " &amp;B73&amp;"","")</f>
        <v/>
      </c>
      <c r="I73" s="43"/>
      <c r="J73" s="43"/>
      <c r="K73" s="43"/>
      <c r="L73" s="43"/>
      <c r="M73" s="43"/>
      <c r="N73" s="43"/>
      <c r="O73" s="43"/>
      <c r="P73" s="43"/>
      <c r="Q73" s="43"/>
      <c r="R73" s="43"/>
      <c r="S73" s="43"/>
      <c r="T73" s="43"/>
      <c r="U73" s="43"/>
      <c r="V73" s="43"/>
      <c r="W73" s="43"/>
    </row>
    <row r="74" spans="1:23" s="30" customFormat="1" ht="12.75" customHeight="1" x14ac:dyDescent="0.2">
      <c r="A74" s="12"/>
      <c r="B74" s="397"/>
      <c r="C74" s="416"/>
      <c r="D74" s="416"/>
      <c r="E74" s="417"/>
      <c r="F74" s="161"/>
      <c r="G74" s="147">
        <v>0</v>
      </c>
      <c r="H74" s="11" t="str">
        <f>IF(G74&gt;0,"Voeg contract achtergestelde lening toe van " &amp;B74&amp;"","")</f>
        <v/>
      </c>
      <c r="I74" s="43"/>
      <c r="J74" s="43"/>
      <c r="K74" s="43"/>
      <c r="L74" s="43"/>
      <c r="M74" s="43"/>
      <c r="N74" s="43"/>
      <c r="O74" s="43"/>
      <c r="P74" s="43"/>
      <c r="Q74" s="43"/>
      <c r="R74" s="43"/>
      <c r="S74" s="43"/>
      <c r="T74" s="43"/>
      <c r="U74" s="43"/>
      <c r="V74" s="43"/>
      <c r="W74" s="43"/>
    </row>
    <row r="75" spans="1:23" s="30" customFormat="1" ht="12.75" customHeight="1" x14ac:dyDescent="0.2">
      <c r="A75" s="12"/>
      <c r="B75" s="397"/>
      <c r="C75" s="416"/>
      <c r="D75" s="416"/>
      <c r="E75" s="417"/>
      <c r="F75" s="161"/>
      <c r="G75" s="147">
        <v>0</v>
      </c>
      <c r="H75" s="11" t="str">
        <f>IF(G75&gt;0,"Voeg contract achtergestelde lening toe van " &amp;B75&amp;"","")</f>
        <v/>
      </c>
      <c r="I75" s="43"/>
      <c r="J75" s="43"/>
      <c r="K75" s="43"/>
      <c r="L75" s="43"/>
      <c r="M75" s="43"/>
      <c r="N75" s="43"/>
      <c r="O75" s="43"/>
      <c r="P75" s="43"/>
      <c r="Q75" s="43"/>
      <c r="R75" s="43"/>
      <c r="S75" s="43"/>
      <c r="T75" s="43"/>
      <c r="U75" s="43"/>
      <c r="V75" s="43"/>
      <c r="W75" s="43"/>
    </row>
    <row r="76" spans="1:23" s="30" customFormat="1" ht="12.75" customHeight="1" x14ac:dyDescent="0.2">
      <c r="A76" s="12"/>
      <c r="B76" s="418"/>
      <c r="C76" s="419"/>
      <c r="D76" s="419"/>
      <c r="E76" s="420"/>
      <c r="F76" s="161"/>
      <c r="G76" s="160">
        <v>0</v>
      </c>
      <c r="H76" s="11" t="str">
        <f>IF(G76&gt;0,"Voeg contract achtergestelde lening toe van " &amp;B76&amp;"","")</f>
        <v/>
      </c>
      <c r="I76" s="43"/>
      <c r="J76" s="43"/>
      <c r="K76" s="43"/>
      <c r="L76" s="43"/>
      <c r="M76" s="43"/>
      <c r="N76" s="43"/>
      <c r="O76" s="43"/>
      <c r="P76" s="43"/>
      <c r="Q76" s="43"/>
      <c r="R76" s="43"/>
      <c r="S76" s="43"/>
      <c r="T76" s="43"/>
      <c r="U76" s="43"/>
      <c r="V76" s="43"/>
      <c r="W76" s="43"/>
    </row>
    <row r="77" spans="1:23" s="30" customFormat="1" ht="12.75" customHeight="1" x14ac:dyDescent="0.2">
      <c r="A77" s="30" t="str">
        <f>IF(Hulpblad_overig!B8=1,"Totale inbreng van eigen vermogen (€)","Niet van toepassing")</f>
        <v>Totale inbreng van eigen vermogen (€)</v>
      </c>
      <c r="F77" s="161"/>
      <c r="G77" s="42">
        <f>SUM(G55:G76)</f>
        <v>0</v>
      </c>
      <c r="H77" s="11"/>
      <c r="I77" s="43"/>
      <c r="J77" s="43"/>
      <c r="K77" s="43"/>
      <c r="L77" s="43"/>
      <c r="M77" s="43"/>
      <c r="N77" s="43"/>
      <c r="O77" s="43"/>
      <c r="P77" s="43"/>
      <c r="Q77" s="43"/>
      <c r="R77" s="43"/>
      <c r="S77" s="43"/>
      <c r="T77" s="43"/>
      <c r="U77" s="43"/>
      <c r="V77" s="43"/>
      <c r="W77" s="43"/>
    </row>
    <row r="78" spans="1:23" s="30" customFormat="1" ht="12.75" customHeight="1" x14ac:dyDescent="0.2">
      <c r="A78" s="12" t="str">
        <f>IF(Hulpblad_overig!B8=1,"Eigen vermogen in te brengen in dit project of projecten (%)","Niet van toepassing")</f>
        <v>Eigen vermogen in te brengen in dit project of projecten (%)</v>
      </c>
      <c r="B78" s="161"/>
      <c r="C78" s="161"/>
      <c r="D78" s="161"/>
      <c r="G78" s="45" t="e">
        <f>IF(Hulpblad_overig!B8=2,0,G77/G40)</f>
        <v>#DIV/0!</v>
      </c>
      <c r="H78" s="11" t="e">
        <f>IF(AND(Hulpblad_overig!B8=1,$G$78&lt;20%),"U brengt minder dan 20% eigen vermogen in. Voeg intentieverklaringen toe van beoogde financiers voor het totaal benodigde vreemd vermogen","")</f>
        <v>#DIV/0!</v>
      </c>
      <c r="I78" s="43"/>
      <c r="J78" s="43"/>
      <c r="K78" s="43"/>
      <c r="L78" s="43"/>
      <c r="M78" s="43"/>
      <c r="N78" s="43"/>
      <c r="O78" s="43"/>
      <c r="P78" s="43"/>
      <c r="Q78" s="43"/>
      <c r="R78" s="43"/>
      <c r="S78" s="43"/>
      <c r="T78" s="43"/>
      <c r="U78" s="43"/>
      <c r="V78" s="43"/>
      <c r="W78" s="43"/>
    </row>
    <row r="79" spans="1:23" s="30" customFormat="1" ht="12.75" customHeight="1" x14ac:dyDescent="0.2">
      <c r="F79" s="161"/>
      <c r="G79" s="42"/>
      <c r="H79" s="11"/>
      <c r="I79" s="43"/>
      <c r="J79" s="43"/>
      <c r="K79" s="43"/>
      <c r="L79" s="43"/>
      <c r="M79" s="43"/>
      <c r="N79" s="43"/>
      <c r="O79" s="43"/>
      <c r="P79" s="43"/>
      <c r="Q79" s="43"/>
      <c r="R79" s="43"/>
      <c r="S79" s="43"/>
      <c r="T79" s="43"/>
      <c r="U79" s="43"/>
      <c r="V79" s="43"/>
      <c r="W79" s="43"/>
    </row>
    <row r="80" spans="1:23" s="30" customFormat="1" ht="12.75" customHeight="1" x14ac:dyDescent="0.2">
      <c r="G80" s="42"/>
      <c r="H80" s="43"/>
      <c r="I80" s="43"/>
      <c r="J80" s="43"/>
      <c r="K80" s="43"/>
      <c r="L80" s="43"/>
      <c r="M80" s="43"/>
      <c r="N80" s="43"/>
      <c r="O80" s="43"/>
      <c r="P80" s="43"/>
      <c r="Q80" s="43"/>
      <c r="R80" s="43"/>
      <c r="S80" s="43"/>
      <c r="T80" s="43"/>
      <c r="U80" s="43"/>
      <c r="V80" s="43"/>
      <c r="W80" s="43"/>
    </row>
    <row r="81" spans="1:23" s="30" customFormat="1" ht="12.75" customHeight="1" x14ac:dyDescent="0.2">
      <c r="A81" s="30" t="str">
        <f>IF(Hulpblad_overig!B8=1,"Vreemd vermogen of lease","Niet van toepassing")</f>
        <v>Vreemd vermogen of lease</v>
      </c>
      <c r="G81" s="42"/>
      <c r="H81" s="43"/>
      <c r="I81" s="43"/>
      <c r="J81" s="43"/>
      <c r="K81" s="43"/>
      <c r="L81" s="43"/>
      <c r="M81" s="43"/>
      <c r="N81" s="43"/>
      <c r="O81" s="43"/>
      <c r="P81" s="43"/>
      <c r="Q81" s="43"/>
      <c r="R81" s="43"/>
      <c r="S81" s="43"/>
      <c r="T81" s="43"/>
      <c r="U81" s="43"/>
      <c r="V81" s="43"/>
      <c r="W81" s="43"/>
    </row>
    <row r="82" spans="1:23" s="161" customFormat="1" ht="12.75" customHeight="1" x14ac:dyDescent="0.2"/>
    <row r="83" spans="1:23" s="30" customFormat="1" ht="12.75" customHeight="1" x14ac:dyDescent="0.2">
      <c r="A83" s="12" t="str">
        <f>IF(Hulpblad_overig!B8=1,"Namen beoogde financiers (eventueel leasemaatschappij) en hoogte lening (€) (indien van toepassing)","Niet van toepassing")</f>
        <v>Namen beoogde financiers (eventueel leasemaatschappij) en hoogte lening (€) (indien van toepassing)</v>
      </c>
      <c r="B83" s="161"/>
      <c r="C83" s="161"/>
      <c r="D83" s="161"/>
      <c r="E83" s="164"/>
      <c r="G83" s="42"/>
      <c r="H83" s="43"/>
      <c r="I83" s="43"/>
      <c r="J83" s="43"/>
      <c r="K83" s="43"/>
      <c r="L83" s="43"/>
      <c r="M83" s="43"/>
      <c r="N83" s="43"/>
      <c r="O83" s="43"/>
      <c r="P83" s="43"/>
      <c r="Q83" s="43"/>
      <c r="R83" s="43"/>
      <c r="S83" s="43"/>
      <c r="T83" s="43"/>
      <c r="U83" s="43"/>
      <c r="V83" s="43"/>
      <c r="W83" s="43"/>
    </row>
    <row r="84" spans="1:23" s="30" customFormat="1" ht="12.75" customHeight="1" x14ac:dyDescent="0.2">
      <c r="A84" s="12"/>
      <c r="B84" s="413"/>
      <c r="C84" s="414"/>
      <c r="D84" s="414"/>
      <c r="E84" s="415"/>
      <c r="G84" s="146">
        <v>0</v>
      </c>
      <c r="H84" s="11" t="e">
        <f t="shared" ref="H84:H93" si="2">IF(AND(G84&gt;0,$G$78&gt;20%),
"Voeg eventueel contract, offerte of intentieverklaring toe van "&amp;B84&amp;"",
IF(AND($G$78&lt;20%,G84&gt;0),"Voeg contract, offerte of intentieverklaring toe van "&amp;B84&amp;"",""))</f>
        <v>#DIV/0!</v>
      </c>
      <c r="I84" s="43"/>
      <c r="J84" s="43"/>
      <c r="K84" s="43"/>
      <c r="L84" s="43"/>
      <c r="M84" s="43"/>
      <c r="N84" s="43"/>
      <c r="O84" s="43"/>
      <c r="P84" s="43"/>
      <c r="Q84" s="43"/>
      <c r="R84" s="43"/>
      <c r="S84" s="43"/>
      <c r="T84" s="43"/>
      <c r="U84" s="43"/>
      <c r="V84" s="43"/>
      <c r="W84" s="43"/>
    </row>
    <row r="85" spans="1:23" s="30" customFormat="1" ht="12.75" customHeight="1" x14ac:dyDescent="0.2">
      <c r="A85" s="12"/>
      <c r="B85" s="397"/>
      <c r="C85" s="398"/>
      <c r="D85" s="398"/>
      <c r="E85" s="399"/>
      <c r="G85" s="10">
        <v>0</v>
      </c>
      <c r="H85" s="11" t="e">
        <f t="shared" si="2"/>
        <v>#DIV/0!</v>
      </c>
      <c r="I85" s="43"/>
      <c r="J85" s="43"/>
      <c r="K85" s="43"/>
      <c r="L85" s="43"/>
      <c r="M85" s="43"/>
      <c r="N85" s="43"/>
      <c r="O85" s="43"/>
      <c r="P85" s="43"/>
      <c r="Q85" s="43"/>
      <c r="R85" s="43"/>
      <c r="S85" s="43"/>
      <c r="T85" s="43"/>
      <c r="U85" s="43"/>
      <c r="V85" s="43"/>
      <c r="W85" s="43"/>
    </row>
    <row r="86" spans="1:23" s="30" customFormat="1" ht="12.75" customHeight="1" x14ac:dyDescent="0.2">
      <c r="A86" s="12"/>
      <c r="B86" s="397"/>
      <c r="C86" s="398"/>
      <c r="D86" s="398"/>
      <c r="E86" s="399"/>
      <c r="G86" s="10">
        <v>0</v>
      </c>
      <c r="H86" s="11" t="e">
        <f t="shared" si="2"/>
        <v>#DIV/0!</v>
      </c>
      <c r="I86" s="43"/>
      <c r="J86" s="43"/>
      <c r="K86" s="43"/>
      <c r="L86" s="43"/>
      <c r="M86" s="43"/>
      <c r="N86" s="43"/>
      <c r="O86" s="43"/>
      <c r="P86" s="43"/>
      <c r="Q86" s="43"/>
      <c r="R86" s="43"/>
      <c r="S86" s="43"/>
      <c r="T86" s="43"/>
      <c r="U86" s="43"/>
      <c r="V86" s="43"/>
      <c r="W86" s="43"/>
    </row>
    <row r="87" spans="1:23" s="30" customFormat="1" ht="12.75" customHeight="1" x14ac:dyDescent="0.2">
      <c r="A87" s="12"/>
      <c r="B87" s="397"/>
      <c r="C87" s="398"/>
      <c r="D87" s="398"/>
      <c r="E87" s="399"/>
      <c r="G87" s="10">
        <v>0</v>
      </c>
      <c r="H87" s="11" t="e">
        <f t="shared" si="2"/>
        <v>#DIV/0!</v>
      </c>
      <c r="I87" s="43"/>
      <c r="J87" s="43"/>
      <c r="K87" s="43"/>
      <c r="L87" s="43"/>
      <c r="M87" s="43"/>
      <c r="N87" s="43"/>
      <c r="O87" s="43"/>
      <c r="P87" s="43"/>
      <c r="Q87" s="43"/>
      <c r="R87" s="43"/>
      <c r="S87" s="43"/>
      <c r="T87" s="43"/>
      <c r="U87" s="43"/>
      <c r="V87" s="43"/>
      <c r="W87" s="43"/>
    </row>
    <row r="88" spans="1:23" s="30" customFormat="1" ht="12.75" customHeight="1" x14ac:dyDescent="0.2">
      <c r="A88" s="12"/>
      <c r="B88" s="397"/>
      <c r="C88" s="398"/>
      <c r="D88" s="398"/>
      <c r="E88" s="399"/>
      <c r="G88" s="10">
        <v>0</v>
      </c>
      <c r="H88" s="11" t="e">
        <f t="shared" si="2"/>
        <v>#DIV/0!</v>
      </c>
      <c r="I88" s="43"/>
      <c r="J88" s="43"/>
      <c r="K88" s="43"/>
      <c r="L88" s="43"/>
      <c r="M88" s="43"/>
      <c r="N88" s="43"/>
      <c r="O88" s="43"/>
      <c r="P88" s="43"/>
      <c r="Q88" s="43"/>
      <c r="R88" s="43"/>
      <c r="S88" s="43"/>
      <c r="T88" s="43"/>
      <c r="U88" s="43"/>
      <c r="V88" s="43"/>
      <c r="W88" s="43"/>
    </row>
    <row r="89" spans="1:23" s="30" customFormat="1" ht="12.75" customHeight="1" x14ac:dyDescent="0.2">
      <c r="A89" s="12"/>
      <c r="B89" s="397"/>
      <c r="C89" s="416"/>
      <c r="D89" s="416"/>
      <c r="E89" s="417"/>
      <c r="G89" s="147">
        <v>0</v>
      </c>
      <c r="H89" s="11" t="e">
        <f t="shared" si="2"/>
        <v>#DIV/0!</v>
      </c>
      <c r="I89" s="43"/>
      <c r="J89" s="43"/>
      <c r="K89" s="43"/>
      <c r="L89" s="43"/>
      <c r="M89" s="43"/>
      <c r="N89" s="43"/>
      <c r="O89" s="43"/>
      <c r="P89" s="43"/>
      <c r="Q89" s="43"/>
      <c r="R89" s="43"/>
      <c r="S89" s="43"/>
      <c r="T89" s="43"/>
      <c r="U89" s="43"/>
      <c r="V89" s="43"/>
      <c r="W89" s="43"/>
    </row>
    <row r="90" spans="1:23" s="30" customFormat="1" ht="12.75" customHeight="1" x14ac:dyDescent="0.2">
      <c r="A90" s="12"/>
      <c r="B90" s="397"/>
      <c r="C90" s="416"/>
      <c r="D90" s="416"/>
      <c r="E90" s="417"/>
      <c r="G90" s="147">
        <v>0</v>
      </c>
      <c r="H90" s="11" t="e">
        <f t="shared" si="2"/>
        <v>#DIV/0!</v>
      </c>
      <c r="I90" s="43"/>
      <c r="J90" s="43"/>
      <c r="K90" s="43"/>
      <c r="L90" s="43"/>
      <c r="M90" s="43"/>
      <c r="N90" s="43"/>
      <c r="O90" s="43"/>
      <c r="P90" s="43"/>
      <c r="Q90" s="43"/>
      <c r="R90" s="43"/>
      <c r="S90" s="43"/>
      <c r="T90" s="43"/>
      <c r="U90" s="43"/>
      <c r="V90" s="43"/>
      <c r="W90" s="43"/>
    </row>
    <row r="91" spans="1:23" s="30" customFormat="1" ht="12.75" customHeight="1" x14ac:dyDescent="0.2">
      <c r="A91" s="12"/>
      <c r="B91" s="397"/>
      <c r="C91" s="416"/>
      <c r="D91" s="416"/>
      <c r="E91" s="417"/>
      <c r="G91" s="147">
        <v>0</v>
      </c>
      <c r="H91" s="11" t="e">
        <f t="shared" si="2"/>
        <v>#DIV/0!</v>
      </c>
      <c r="I91" s="43"/>
      <c r="J91" s="43"/>
      <c r="K91" s="43"/>
      <c r="L91" s="43"/>
      <c r="M91" s="43"/>
      <c r="N91" s="43"/>
      <c r="O91" s="43"/>
      <c r="P91" s="43"/>
      <c r="Q91" s="43"/>
      <c r="R91" s="43"/>
      <c r="S91" s="43"/>
      <c r="T91" s="43"/>
      <c r="U91" s="43"/>
      <c r="V91" s="43"/>
      <c r="W91" s="43"/>
    </row>
    <row r="92" spans="1:23" s="30" customFormat="1" ht="12.75" customHeight="1" x14ac:dyDescent="0.2">
      <c r="A92" s="12"/>
      <c r="B92" s="397"/>
      <c r="C92" s="416"/>
      <c r="D92" s="416"/>
      <c r="E92" s="417"/>
      <c r="G92" s="147">
        <v>0</v>
      </c>
      <c r="H92" s="11" t="e">
        <f t="shared" si="2"/>
        <v>#DIV/0!</v>
      </c>
      <c r="I92" s="43"/>
      <c r="J92" s="43"/>
      <c r="K92" s="43"/>
      <c r="L92" s="43"/>
      <c r="M92" s="43"/>
      <c r="N92" s="43"/>
      <c r="O92" s="43"/>
      <c r="P92" s="43"/>
      <c r="Q92" s="43"/>
      <c r="R92" s="43"/>
      <c r="S92" s="43"/>
      <c r="T92" s="43"/>
      <c r="U92" s="43"/>
      <c r="V92" s="43"/>
      <c r="W92" s="43"/>
    </row>
    <row r="93" spans="1:23" s="161" customFormat="1" ht="12.75" customHeight="1" x14ac:dyDescent="0.2">
      <c r="B93" s="418"/>
      <c r="C93" s="419"/>
      <c r="D93" s="419"/>
      <c r="E93" s="420"/>
      <c r="G93" s="160">
        <v>0</v>
      </c>
      <c r="H93" s="11" t="e">
        <f t="shared" si="2"/>
        <v>#DIV/0!</v>
      </c>
      <c r="I93" s="165"/>
      <c r="J93" s="165"/>
      <c r="K93" s="165"/>
      <c r="L93" s="165"/>
      <c r="M93" s="165"/>
      <c r="N93" s="165"/>
      <c r="O93" s="165"/>
      <c r="P93" s="165"/>
      <c r="Q93" s="165"/>
      <c r="R93" s="165"/>
      <c r="S93" s="165"/>
      <c r="T93" s="165"/>
      <c r="U93" s="165"/>
      <c r="V93" s="165"/>
    </row>
    <row r="94" spans="1:23" s="161" customFormat="1" ht="12.75" customHeight="1" x14ac:dyDescent="0.2">
      <c r="A94" s="30" t="str">
        <f>IF(Hulpblad_overig!B8=1,"Totaal van het gespecificeerde vreemd vermogen","Niet van toepassing")</f>
        <v>Totaal van het gespecificeerde vreemd vermogen</v>
      </c>
      <c r="G94" s="42">
        <f>SUM(G84:G93)</f>
        <v>0</v>
      </c>
      <c r="H94" s="11"/>
    </row>
    <row r="95" spans="1:23" s="161" customFormat="1" ht="12.75" customHeight="1" x14ac:dyDescent="0.2">
      <c r="A95" s="30" t="str">
        <f>IF(Hulpblad_overig!B8=1,"Ongespecificeerde rest van het vreemd vermogen","Niet van toepassing")</f>
        <v>Ongespecificeerde rest van het vreemd vermogen</v>
      </c>
      <c r="G95" s="42">
        <f>IF(Hulpblad_overig!B8=1,G40-G77-G94,0)</f>
        <v>0</v>
      </c>
      <c r="H95" s="11" t="e">
        <f>IF(Hulpblad_overig!B8=1,IF($G$78&lt;20%,"U brengt minder dan 20% eigen vermogen in. Ongespecificeerde rest moet nul zijn",""),"")</f>
        <v>#DIV/0!</v>
      </c>
    </row>
    <row r="96" spans="1:23" s="161" customFormat="1" ht="12.75" customHeight="1" x14ac:dyDescent="0.2">
      <c r="G96" s="42"/>
      <c r="H96" s="11"/>
    </row>
    <row r="97" spans="1:23" s="30" customFormat="1" ht="12.75" customHeight="1" x14ac:dyDescent="0.2">
      <c r="A97" s="12" t="str">
        <f>IF(Hulpblad_overig!B8=1,"Vreemd vermogen (%)","Niet van toepassing")</f>
        <v>Vreemd vermogen (%)</v>
      </c>
      <c r="B97" s="161"/>
      <c r="C97" s="161"/>
      <c r="D97" s="161"/>
      <c r="G97" s="46" t="e">
        <f>(G94+G95)/G40</f>
        <v>#DIV/0!</v>
      </c>
      <c r="H97" s="43"/>
      <c r="I97" s="43"/>
      <c r="J97" s="43"/>
      <c r="K97" s="43"/>
      <c r="L97" s="43"/>
      <c r="M97" s="43"/>
      <c r="N97" s="43"/>
      <c r="O97" s="43"/>
      <c r="P97" s="43"/>
      <c r="Q97" s="43"/>
      <c r="R97" s="43"/>
      <c r="S97" s="43"/>
      <c r="T97" s="43"/>
      <c r="U97" s="43"/>
      <c r="V97" s="43"/>
      <c r="W97" s="43"/>
    </row>
    <row r="98" spans="1:23" s="30" customFormat="1" ht="12.75" customHeight="1" x14ac:dyDescent="0.2">
      <c r="A98" s="12" t="str">
        <f>IF(Hulpblad_overig!B8=1,"Totaal vreemd vermogen (€)","Niet van toepassing")</f>
        <v>Totaal vreemd vermogen (€)</v>
      </c>
      <c r="B98" s="161"/>
      <c r="C98" s="161"/>
      <c r="D98" s="161"/>
      <c r="G98" s="164" t="e">
        <f>G40*G97</f>
        <v>#DIV/0!</v>
      </c>
      <c r="H98" s="43"/>
      <c r="I98" s="43"/>
      <c r="J98" s="43"/>
      <c r="K98" s="43"/>
      <c r="L98" s="43"/>
      <c r="M98" s="43"/>
      <c r="N98" s="43"/>
      <c r="O98" s="43"/>
      <c r="P98" s="43"/>
      <c r="Q98" s="43"/>
      <c r="R98" s="43"/>
      <c r="S98" s="43"/>
      <c r="T98" s="43"/>
      <c r="U98" s="43"/>
      <c r="V98" s="43"/>
      <c r="W98" s="43"/>
    </row>
    <row r="99" spans="1:23" s="161" customFormat="1" ht="12.75" customHeight="1" x14ac:dyDescent="0.2">
      <c r="G99" s="42"/>
      <c r="H99" s="11"/>
    </row>
    <row r="100" spans="1:23" s="161" customFormat="1" ht="12.75" customHeight="1" x14ac:dyDescent="0.2">
      <c r="A100" s="30" t="s">
        <v>34</v>
      </c>
    </row>
    <row r="101" spans="1:23" ht="137.25" customHeight="1" x14ac:dyDescent="0.25">
      <c r="A101" s="423"/>
      <c r="B101" s="424"/>
      <c r="C101" s="424"/>
      <c r="D101" s="424"/>
      <c r="E101" s="424"/>
      <c r="F101" s="425"/>
      <c r="G101" s="426"/>
    </row>
  </sheetData>
  <sheetProtection algorithmName="SHA-512" hashValue="3vVzvcYFxcDoBmbf0fKnMSXwvkHpZlqWQHIIDho/9nSs/akrBSRuvLAcfgcbgCIdQ2l7wxKz/xu2bHCSoyjzQg==" saltValue="wZaj8aAaOGWwckp5punU/A==" spinCount="100000" sheet="1" objects="1" scenarios="1"/>
  <mergeCells count="44">
    <mergeCell ref="A101:G101"/>
    <mergeCell ref="B76:E76"/>
    <mergeCell ref="B84:E84"/>
    <mergeCell ref="B85:E85"/>
    <mergeCell ref="B86:E86"/>
    <mergeCell ref="B87:E87"/>
    <mergeCell ref="B88:E88"/>
    <mergeCell ref="B89:E89"/>
    <mergeCell ref="B90:E90"/>
    <mergeCell ref="B91:E91"/>
    <mergeCell ref="B92:E92"/>
    <mergeCell ref="B93:E93"/>
    <mergeCell ref="B75:E75"/>
    <mergeCell ref="B63:E63"/>
    <mergeCell ref="B64:E64"/>
    <mergeCell ref="B65:E65"/>
    <mergeCell ref="B66:E66"/>
    <mergeCell ref="B67:E67"/>
    <mergeCell ref="B68:E68"/>
    <mergeCell ref="B69:E69"/>
    <mergeCell ref="B70:E70"/>
    <mergeCell ref="B72:E72"/>
    <mergeCell ref="B73:E73"/>
    <mergeCell ref="B74:E74"/>
    <mergeCell ref="B62:E62"/>
    <mergeCell ref="B33:E33"/>
    <mergeCell ref="B34:E34"/>
    <mergeCell ref="B35:E35"/>
    <mergeCell ref="B36:E36"/>
    <mergeCell ref="B37:E37"/>
    <mergeCell ref="B38:E38"/>
    <mergeCell ref="B39:E39"/>
    <mergeCell ref="A47:E47"/>
    <mergeCell ref="B51:E51"/>
    <mergeCell ref="B56:E56"/>
    <mergeCell ref="B61:E61"/>
    <mergeCell ref="H15:H16"/>
    <mergeCell ref="H17:H18"/>
    <mergeCell ref="B32:E32"/>
    <mergeCell ref="B7:E7"/>
    <mergeCell ref="B22:G22"/>
    <mergeCell ref="B25:G25"/>
    <mergeCell ref="B30:E30"/>
    <mergeCell ref="B31:E31"/>
  </mergeCells>
  <conditionalFormatting sqref="B51:E51">
    <cfRule type="expression" dxfId="282" priority="61" stopIfTrue="1">
      <formula>A10="U maakt gebruik van balansfinanciering"</formula>
    </cfRule>
  </conditionalFormatting>
  <conditionalFormatting sqref="B61:E61">
    <cfRule type="expression" dxfId="281" priority="57" stopIfTrue="1">
      <formula>A10="U maakt gebruik van balansfinanciering"</formula>
    </cfRule>
  </conditionalFormatting>
  <conditionalFormatting sqref="B62:E62">
    <cfRule type="expression" dxfId="280" priority="54" stopIfTrue="1">
      <formula>A10="U maakt gebruik van balansfinanciering"</formula>
    </cfRule>
  </conditionalFormatting>
  <conditionalFormatting sqref="B63:E63">
    <cfRule type="expression" dxfId="279" priority="53" stopIfTrue="1">
      <formula>A10="U maakt gebruik van balansfinanciering"</formula>
    </cfRule>
  </conditionalFormatting>
  <conditionalFormatting sqref="B64:E64">
    <cfRule type="expression" dxfId="278" priority="52" stopIfTrue="1">
      <formula>A10="U maakt gebruik van balansfinanciering"</formula>
    </cfRule>
  </conditionalFormatting>
  <conditionalFormatting sqref="B65:E65">
    <cfRule type="expression" dxfId="277" priority="51" stopIfTrue="1">
      <formula>A10="U maakt gebruik van balansfinanciering"</formula>
    </cfRule>
  </conditionalFormatting>
  <conditionalFormatting sqref="B66:E66">
    <cfRule type="expression" dxfId="276" priority="50" stopIfTrue="1">
      <formula>A10="U maakt gebruik van balansfinanciering"</formula>
    </cfRule>
  </conditionalFormatting>
  <conditionalFormatting sqref="B67:E67">
    <cfRule type="expression" dxfId="275" priority="49" stopIfTrue="1">
      <formula>A10="U maakt gebruik van balansfinanciering"</formula>
    </cfRule>
  </conditionalFormatting>
  <conditionalFormatting sqref="B68:E68">
    <cfRule type="expression" dxfId="274" priority="48" stopIfTrue="1">
      <formula>A10="U maakt gebruik van balansfinanciering"</formula>
    </cfRule>
  </conditionalFormatting>
  <conditionalFormatting sqref="B69:E69">
    <cfRule type="expression" dxfId="273" priority="47" stopIfTrue="1">
      <formula>A10="U maakt gebruik van balansfinanciering"</formula>
    </cfRule>
  </conditionalFormatting>
  <conditionalFormatting sqref="B70:E70">
    <cfRule type="expression" dxfId="272" priority="46" stopIfTrue="1">
      <formula>A10="U maakt gebruik van balansfinanciering"</formula>
    </cfRule>
  </conditionalFormatting>
  <conditionalFormatting sqref="B72:E72">
    <cfRule type="expression" dxfId="271" priority="35" stopIfTrue="1">
      <formula>A10="U maakt gebruik van balansfinanciering"</formula>
    </cfRule>
  </conditionalFormatting>
  <conditionalFormatting sqref="B73:E73">
    <cfRule type="expression" dxfId="270" priority="34" stopIfTrue="1">
      <formula>A10="U maakt gebruik van balansfinanciering"</formula>
    </cfRule>
  </conditionalFormatting>
  <conditionalFormatting sqref="B74:E74">
    <cfRule type="expression" dxfId="269" priority="33" stopIfTrue="1">
      <formula>A10="U maakt gebruik van balansfinanciering"</formula>
    </cfRule>
  </conditionalFormatting>
  <conditionalFormatting sqref="B75:E75">
    <cfRule type="expression" dxfId="268" priority="32" stopIfTrue="1">
      <formula>A10="U maakt gebruik van balansfinanciering"</formula>
    </cfRule>
  </conditionalFormatting>
  <conditionalFormatting sqref="B76:E76">
    <cfRule type="expression" dxfId="267" priority="31" stopIfTrue="1">
      <formula>A10="U maakt gebruik van balansfinanciering"</formula>
    </cfRule>
  </conditionalFormatting>
  <conditionalFormatting sqref="B84:E84">
    <cfRule type="expression" dxfId="266" priority="24" stopIfTrue="1">
      <formula>A10="U maakt gebruik van balansfinanciering"</formula>
    </cfRule>
  </conditionalFormatting>
  <conditionalFormatting sqref="B85:E85">
    <cfRule type="expression" dxfId="265" priority="23" stopIfTrue="1">
      <formula>A10="U maakt gebruik van balansfinanciering"</formula>
    </cfRule>
  </conditionalFormatting>
  <conditionalFormatting sqref="B86:E86">
    <cfRule type="expression" dxfId="264" priority="22" stopIfTrue="1">
      <formula>A10="U maakt gebruik van balansfinanciering"</formula>
    </cfRule>
  </conditionalFormatting>
  <conditionalFormatting sqref="B87:E87">
    <cfRule type="expression" dxfId="263" priority="21" stopIfTrue="1">
      <formula>A10="U maakt gebruik van balansfinanciering"</formula>
    </cfRule>
  </conditionalFormatting>
  <conditionalFormatting sqref="B88:E88">
    <cfRule type="expression" dxfId="262" priority="20" stopIfTrue="1">
      <formula>A10="U maakt gebruik van balansfinanciering"</formula>
    </cfRule>
  </conditionalFormatting>
  <conditionalFormatting sqref="B89:E89">
    <cfRule type="expression" dxfId="261" priority="19" stopIfTrue="1">
      <formula>A10="U maakt gebruik van balansfinanciering"</formula>
    </cfRule>
  </conditionalFormatting>
  <conditionalFormatting sqref="B90:E90">
    <cfRule type="expression" dxfId="260" priority="18" stopIfTrue="1">
      <formula>A10="U maakt gebruik van balansfinanciering"</formula>
    </cfRule>
  </conditionalFormatting>
  <conditionalFormatting sqref="B91:E91">
    <cfRule type="expression" dxfId="259" priority="17" stopIfTrue="1">
      <formula>A10="U maakt gebruik van balansfinanciering"</formula>
    </cfRule>
  </conditionalFormatting>
  <conditionalFormatting sqref="B92:E92">
    <cfRule type="expression" priority="16" stopIfTrue="1">
      <formula>A10="U maakt gebruik van balansfinanciering"</formula>
    </cfRule>
    <cfRule type="expression" dxfId="258" priority="15" stopIfTrue="1">
      <formula>A10="U maakt gebruik van balansfinanciering"</formula>
    </cfRule>
  </conditionalFormatting>
  <conditionalFormatting sqref="B93:E93">
    <cfRule type="expression" dxfId="257" priority="14" stopIfTrue="1">
      <formula>A10="U maakt gebruik van balansfinanciering"</formula>
    </cfRule>
  </conditionalFormatting>
  <conditionalFormatting sqref="E11">
    <cfRule type="expression" dxfId="256" priority="56" stopIfTrue="1">
      <formula>A10="U maakt gebruik van projectfinanciering, u kunt regel 11 t/m 13 overslaan"</formula>
    </cfRule>
  </conditionalFormatting>
  <conditionalFormatting sqref="E11:E12">
    <cfRule type="expression" dxfId="255" priority="1">
      <formula>A11="Niet van toepassing"</formula>
    </cfRule>
  </conditionalFormatting>
  <conditionalFormatting sqref="E12">
    <cfRule type="expression" dxfId="254" priority="55" stopIfTrue="1">
      <formula>A10="U maakt gebruik van projectfinanciering, u kunt regel 11 t/m 13 overslaan"</formula>
    </cfRule>
  </conditionalFormatting>
  <conditionalFormatting sqref="G51">
    <cfRule type="expression" dxfId="253" priority="60" stopIfTrue="1">
      <formula>A10="U maakt gebruik van balansfinanciering"</formula>
    </cfRule>
  </conditionalFormatting>
  <conditionalFormatting sqref="G55">
    <cfRule type="expression" dxfId="252" priority="59" stopIfTrue="1">
      <formula>A10="U maakt gebruik van balansfinanciering"</formula>
    </cfRule>
  </conditionalFormatting>
  <conditionalFormatting sqref="G58">
    <cfRule type="expression" dxfId="251" priority="58" stopIfTrue="1">
      <formula>A10="U maakt gebruik van balansfinanciering"</formula>
    </cfRule>
  </conditionalFormatting>
  <conditionalFormatting sqref="G61">
    <cfRule type="expression" dxfId="250" priority="45" stopIfTrue="1">
      <formula>A10="U maakt gebruik van balansfinanciering"</formula>
    </cfRule>
  </conditionalFormatting>
  <conditionalFormatting sqref="G62">
    <cfRule type="expression" dxfId="249" priority="44" stopIfTrue="1">
      <formula>A10="U maakt gebruik van balansfinanciering"</formula>
    </cfRule>
  </conditionalFormatting>
  <conditionalFormatting sqref="G63">
    <cfRule type="expression" dxfId="248" priority="43" stopIfTrue="1">
      <formula>A10="U maakt gebruik van balansfinanciering"</formula>
    </cfRule>
  </conditionalFormatting>
  <conditionalFormatting sqref="G64">
    <cfRule type="expression" dxfId="247" priority="42" stopIfTrue="1">
      <formula>A10="U maakt gebruik van balansfinanciering"</formula>
    </cfRule>
  </conditionalFormatting>
  <conditionalFormatting sqref="G65">
    <cfRule type="expression" dxfId="246" priority="41" stopIfTrue="1">
      <formula>A10="U maakt gebruik van balansfinanciering"</formula>
    </cfRule>
  </conditionalFormatting>
  <conditionalFormatting sqref="G66">
    <cfRule type="expression" dxfId="245" priority="40" stopIfTrue="1">
      <formula>A10="U maakt gebruik van balansfinanciering"</formula>
    </cfRule>
  </conditionalFormatting>
  <conditionalFormatting sqref="G67">
    <cfRule type="expression" dxfId="244" priority="39" stopIfTrue="1">
      <formula>A10="U maakt gebruik van balansfinanciering"</formula>
    </cfRule>
  </conditionalFormatting>
  <conditionalFormatting sqref="G68">
    <cfRule type="expression" dxfId="243" priority="38" stopIfTrue="1">
      <formula>A10="U maakt gebruik van balansfinanciering"</formula>
    </cfRule>
  </conditionalFormatting>
  <conditionalFormatting sqref="G69">
    <cfRule type="expression" dxfId="242" priority="37" stopIfTrue="1">
      <formula>A10="U maakt gebruik van balansfinanciering"</formula>
    </cfRule>
  </conditionalFormatting>
  <conditionalFormatting sqref="G70">
    <cfRule type="expression" dxfId="241" priority="36" stopIfTrue="1">
      <formula>A10="U maakt gebruik van balansfinanciering"</formula>
    </cfRule>
  </conditionalFormatting>
  <conditionalFormatting sqref="G72">
    <cfRule type="expression" dxfId="240" priority="30" stopIfTrue="1">
      <formula>A10="U maakt gebruik van balansfinanciering"</formula>
    </cfRule>
  </conditionalFormatting>
  <conditionalFormatting sqref="G73">
    <cfRule type="expression" priority="29" stopIfTrue="1">
      <formula>A10="U maakt gebruik van balansfinanciering"</formula>
    </cfRule>
    <cfRule type="expression" dxfId="239" priority="28" stopIfTrue="1">
      <formula>A10="U maakt gebruik van balansfinanciering"</formula>
    </cfRule>
  </conditionalFormatting>
  <conditionalFormatting sqref="G74">
    <cfRule type="expression" dxfId="238" priority="27" stopIfTrue="1">
      <formula>A10="U maakt gebruik van balansfinanciering"</formula>
    </cfRule>
  </conditionalFormatting>
  <conditionalFormatting sqref="G75">
    <cfRule type="expression" dxfId="237" priority="26" stopIfTrue="1">
      <formula>A10="U maakt gebruik van balansfinanciering"</formula>
    </cfRule>
  </conditionalFormatting>
  <conditionalFormatting sqref="G76">
    <cfRule type="expression" dxfId="236" priority="25" stopIfTrue="1">
      <formula>A10="U maakt gebruik van balansfinanciering"</formula>
    </cfRule>
  </conditionalFormatting>
  <conditionalFormatting sqref="G84">
    <cfRule type="expression" dxfId="235" priority="13" stopIfTrue="1">
      <formula>A10="U maakt gebruik van balansfinanciering"</formula>
    </cfRule>
  </conditionalFormatting>
  <conditionalFormatting sqref="G85">
    <cfRule type="expression" dxfId="234" priority="12" stopIfTrue="1">
      <formula>A10="U maakt gebruik van balansfinanciering"</formula>
    </cfRule>
  </conditionalFormatting>
  <conditionalFormatting sqref="G86">
    <cfRule type="expression" dxfId="233" priority="11" stopIfTrue="1">
      <formula>A10="U maakt gebruik van balansfinanciering"</formula>
    </cfRule>
  </conditionalFormatting>
  <conditionalFormatting sqref="G87">
    <cfRule type="expression" dxfId="232" priority="10" stopIfTrue="1">
      <formula>A10="U maakt gebruik van balansfinanciering"</formula>
    </cfRule>
  </conditionalFormatting>
  <conditionalFormatting sqref="G88">
    <cfRule type="expression" dxfId="231" priority="9" stopIfTrue="1">
      <formula>A10="U maakt gebruik van balansfinanciering"</formula>
    </cfRule>
  </conditionalFormatting>
  <conditionalFormatting sqref="G89">
    <cfRule type="expression" dxfId="230" priority="8" stopIfTrue="1">
      <formula>A10="U maakt gebruik van balansfinanciering"</formula>
    </cfRule>
  </conditionalFormatting>
  <conditionalFormatting sqref="G90">
    <cfRule type="expression" dxfId="229" priority="7" stopIfTrue="1">
      <formula>A10="U maakt gebruik van balansfinanciering"</formula>
    </cfRule>
  </conditionalFormatting>
  <conditionalFormatting sqref="G91">
    <cfRule type="expression" dxfId="228" priority="6" stopIfTrue="1">
      <formula>A10="U maakt gebruik van balansfinanciering"</formula>
    </cfRule>
  </conditionalFormatting>
  <conditionalFormatting sqref="G92">
    <cfRule type="expression" dxfId="227" priority="5" stopIfTrue="1">
      <formula>A10="U maakt gebruik van balansfinanciering"</formula>
    </cfRule>
  </conditionalFormatting>
  <conditionalFormatting sqref="G93">
    <cfRule type="expression" dxfId="226" priority="3" stopIfTrue="1">
      <formula>A10="U maakt gebruik van balansfinanciering"</formula>
    </cfRule>
    <cfRule type="expression" priority="4" stopIfTrue="1">
      <formula>A10="U maakt gebruik van balansfinanciering"</formula>
    </cfRule>
  </conditionalFormatting>
  <pageMargins left="0.7" right="0.7" top="0.75" bottom="0.75" header="0.3" footer="0.3"/>
  <pageSetup paperSize="9" orientation="portrait" r:id="rId1"/>
  <ignoredErrors>
    <ignoredError sqref="H84:H93 G97:G98 H13 E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List Box 1">
              <controlPr defaultSize="0" autoLine="0" autoPict="0">
                <anchor moveWithCells="1" sizeWithCells="1">
                  <from>
                    <xdr:col>4</xdr:col>
                    <xdr:colOff>0</xdr:colOff>
                    <xdr:row>14</xdr:row>
                    <xdr:rowOff>28575</xdr:rowOff>
                  </from>
                  <to>
                    <xdr:col>5</xdr:col>
                    <xdr:colOff>19050</xdr:colOff>
                    <xdr:row>16</xdr:row>
                    <xdr:rowOff>142875</xdr:rowOff>
                  </to>
                </anchor>
              </controlPr>
            </control>
          </mc:Choice>
        </mc:AlternateContent>
        <mc:AlternateContent xmlns:mc="http://schemas.openxmlformats.org/markup-compatibility/2006">
          <mc:Choice Requires="x14">
            <control shapeId="2050" r:id="rId5" name="List Box 2">
              <controlPr defaultSize="0" autoLine="0" autoPict="0">
                <anchor moveWithCells="1" sizeWithCells="1">
                  <from>
                    <xdr:col>5</xdr:col>
                    <xdr:colOff>695325</xdr:colOff>
                    <xdr:row>51</xdr:row>
                    <xdr:rowOff>47625</xdr:rowOff>
                  </from>
                  <to>
                    <xdr:col>7</xdr:col>
                    <xdr:colOff>19050</xdr:colOff>
                    <xdr:row>53</xdr:row>
                    <xdr:rowOff>28575</xdr:rowOff>
                  </to>
                </anchor>
              </controlPr>
            </control>
          </mc:Choice>
        </mc:AlternateContent>
        <mc:AlternateContent xmlns:mc="http://schemas.openxmlformats.org/markup-compatibility/2006">
          <mc:Choice Requires="x14">
            <control shapeId="2051" r:id="rId6" name="List Box 3">
              <controlPr defaultSize="0" autoLine="0" autoPict="0">
                <anchor moveWithCells="1" sizeWithCells="1">
                  <from>
                    <xdr:col>4</xdr:col>
                    <xdr:colOff>1362075</xdr:colOff>
                    <xdr:row>7</xdr:row>
                    <xdr:rowOff>28575</xdr:rowOff>
                  </from>
                  <to>
                    <xdr:col>5</xdr:col>
                    <xdr:colOff>0</xdr:colOff>
                    <xdr:row>7</xdr:row>
                    <xdr:rowOff>323850</xdr:rowOff>
                  </to>
                </anchor>
              </controlPr>
            </control>
          </mc:Choice>
        </mc:AlternateContent>
        <mc:AlternateContent xmlns:mc="http://schemas.openxmlformats.org/markup-compatibility/2006">
          <mc:Choice Requires="x14">
            <control shapeId="2052" r:id="rId7" name="List Box 4">
              <controlPr defaultSize="0" autoLine="0" autoPict="0">
                <anchor moveWithCells="1" sizeWithCells="1">
                  <from>
                    <xdr:col>4</xdr:col>
                    <xdr:colOff>1352550</xdr:colOff>
                    <xdr:row>8</xdr:row>
                    <xdr:rowOff>28575</xdr:rowOff>
                  </from>
                  <to>
                    <xdr:col>5</xdr:col>
                    <xdr:colOff>0</xdr:colOff>
                    <xdr:row>8</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2FF5-AF27-41AE-9954-F12D4355F81A}">
  <dimension ref="A1:S158"/>
  <sheetViews>
    <sheetView zoomScaleNormal="100" workbookViewId="0">
      <selection activeCell="F8" sqref="F8"/>
    </sheetView>
  </sheetViews>
  <sheetFormatPr defaultColWidth="8.7109375" defaultRowHeight="15" x14ac:dyDescent="0.25"/>
  <cols>
    <col min="1" max="1" width="55.7109375" style="4" customWidth="1"/>
    <col min="2" max="3" width="8.7109375" style="30"/>
    <col min="4" max="4" width="10.7109375" style="4" customWidth="1"/>
    <col min="5" max="5" width="116.140625" style="4" customWidth="1"/>
    <col min="6" max="6" width="76.5703125" style="4" customWidth="1"/>
    <col min="7" max="7" width="14" style="4" bestFit="1" customWidth="1"/>
    <col min="8" max="14" width="12.7109375" style="4" customWidth="1"/>
    <col min="15" max="15" width="13.7109375" style="4" customWidth="1"/>
    <col min="16" max="16" width="12.42578125" style="4" customWidth="1"/>
    <col min="17" max="256" width="8.7109375" style="4"/>
    <col min="257" max="257" width="55.7109375" style="4" customWidth="1"/>
    <col min="258" max="259" width="8.7109375" style="4"/>
    <col min="260" max="260" width="10.7109375" style="4" customWidth="1"/>
    <col min="261" max="261" width="110.28515625" style="4" customWidth="1"/>
    <col min="262" max="262" width="76.5703125" style="4" customWidth="1"/>
    <col min="263" max="263" width="14" style="4" bestFit="1" customWidth="1"/>
    <col min="264" max="270" width="12.7109375" style="4" customWidth="1"/>
    <col min="271" max="271" width="13.7109375" style="4" customWidth="1"/>
    <col min="272" max="272" width="12.42578125" style="4" customWidth="1"/>
    <col min="273" max="512" width="8.7109375" style="4"/>
    <col min="513" max="513" width="55.7109375" style="4" customWidth="1"/>
    <col min="514" max="515" width="8.7109375" style="4"/>
    <col min="516" max="516" width="10.7109375" style="4" customWidth="1"/>
    <col min="517" max="517" width="110.28515625" style="4" customWidth="1"/>
    <col min="518" max="518" width="76.5703125" style="4" customWidth="1"/>
    <col min="519" max="519" width="14" style="4" bestFit="1" customWidth="1"/>
    <col min="520" max="526" width="12.7109375" style="4" customWidth="1"/>
    <col min="527" max="527" width="13.7109375" style="4" customWidth="1"/>
    <col min="528" max="528" width="12.42578125" style="4" customWidth="1"/>
    <col min="529" max="768" width="8.7109375" style="4"/>
    <col min="769" max="769" width="55.7109375" style="4" customWidth="1"/>
    <col min="770" max="771" width="8.7109375" style="4"/>
    <col min="772" max="772" width="10.7109375" style="4" customWidth="1"/>
    <col min="773" max="773" width="110.28515625" style="4" customWidth="1"/>
    <col min="774" max="774" width="76.5703125" style="4" customWidth="1"/>
    <col min="775" max="775" width="14" style="4" bestFit="1" customWidth="1"/>
    <col min="776" max="782" width="12.7109375" style="4" customWidth="1"/>
    <col min="783" max="783" width="13.7109375" style="4" customWidth="1"/>
    <col min="784" max="784" width="12.42578125" style="4" customWidth="1"/>
    <col min="785" max="1024" width="8.7109375" style="4"/>
    <col min="1025" max="1025" width="55.7109375" style="4" customWidth="1"/>
    <col min="1026" max="1027" width="8.7109375" style="4"/>
    <col min="1028" max="1028" width="10.7109375" style="4" customWidth="1"/>
    <col min="1029" max="1029" width="110.28515625" style="4" customWidth="1"/>
    <col min="1030" max="1030" width="76.5703125" style="4" customWidth="1"/>
    <col min="1031" max="1031" width="14" style="4" bestFit="1" customWidth="1"/>
    <col min="1032" max="1038" width="12.7109375" style="4" customWidth="1"/>
    <col min="1039" max="1039" width="13.7109375" style="4" customWidth="1"/>
    <col min="1040" max="1040" width="12.42578125" style="4" customWidth="1"/>
    <col min="1041" max="1280" width="8.7109375" style="4"/>
    <col min="1281" max="1281" width="55.7109375" style="4" customWidth="1"/>
    <col min="1282" max="1283" width="8.7109375" style="4"/>
    <col min="1284" max="1284" width="10.7109375" style="4" customWidth="1"/>
    <col min="1285" max="1285" width="110.28515625" style="4" customWidth="1"/>
    <col min="1286" max="1286" width="76.5703125" style="4" customWidth="1"/>
    <col min="1287" max="1287" width="14" style="4" bestFit="1" customWidth="1"/>
    <col min="1288" max="1294" width="12.7109375" style="4" customWidth="1"/>
    <col min="1295" max="1295" width="13.7109375" style="4" customWidth="1"/>
    <col min="1296" max="1296" width="12.42578125" style="4" customWidth="1"/>
    <col min="1297" max="1536" width="8.7109375" style="4"/>
    <col min="1537" max="1537" width="55.7109375" style="4" customWidth="1"/>
    <col min="1538" max="1539" width="8.7109375" style="4"/>
    <col min="1540" max="1540" width="10.7109375" style="4" customWidth="1"/>
    <col min="1541" max="1541" width="110.28515625" style="4" customWidth="1"/>
    <col min="1542" max="1542" width="76.5703125" style="4" customWidth="1"/>
    <col min="1543" max="1543" width="14" style="4" bestFit="1" customWidth="1"/>
    <col min="1544" max="1550" width="12.7109375" style="4" customWidth="1"/>
    <col min="1551" max="1551" width="13.7109375" style="4" customWidth="1"/>
    <col min="1552" max="1552" width="12.42578125" style="4" customWidth="1"/>
    <col min="1553" max="1792" width="8.7109375" style="4"/>
    <col min="1793" max="1793" width="55.7109375" style="4" customWidth="1"/>
    <col min="1794" max="1795" width="8.7109375" style="4"/>
    <col min="1796" max="1796" width="10.7109375" style="4" customWidth="1"/>
    <col min="1797" max="1797" width="110.28515625" style="4" customWidth="1"/>
    <col min="1798" max="1798" width="76.5703125" style="4" customWidth="1"/>
    <col min="1799" max="1799" width="14" style="4" bestFit="1" customWidth="1"/>
    <col min="1800" max="1806" width="12.7109375" style="4" customWidth="1"/>
    <col min="1807" max="1807" width="13.7109375" style="4" customWidth="1"/>
    <col min="1808" max="1808" width="12.42578125" style="4" customWidth="1"/>
    <col min="1809" max="2048" width="8.7109375" style="4"/>
    <col min="2049" max="2049" width="55.7109375" style="4" customWidth="1"/>
    <col min="2050" max="2051" width="8.7109375" style="4"/>
    <col min="2052" max="2052" width="10.7109375" style="4" customWidth="1"/>
    <col min="2053" max="2053" width="110.28515625" style="4" customWidth="1"/>
    <col min="2054" max="2054" width="76.5703125" style="4" customWidth="1"/>
    <col min="2055" max="2055" width="14" style="4" bestFit="1" customWidth="1"/>
    <col min="2056" max="2062" width="12.7109375" style="4" customWidth="1"/>
    <col min="2063" max="2063" width="13.7109375" style="4" customWidth="1"/>
    <col min="2064" max="2064" width="12.42578125" style="4" customWidth="1"/>
    <col min="2065" max="2304" width="8.7109375" style="4"/>
    <col min="2305" max="2305" width="55.7109375" style="4" customWidth="1"/>
    <col min="2306" max="2307" width="8.7109375" style="4"/>
    <col min="2308" max="2308" width="10.7109375" style="4" customWidth="1"/>
    <col min="2309" max="2309" width="110.28515625" style="4" customWidth="1"/>
    <col min="2310" max="2310" width="76.5703125" style="4" customWidth="1"/>
    <col min="2311" max="2311" width="14" style="4" bestFit="1" customWidth="1"/>
    <col min="2312" max="2318" width="12.7109375" style="4" customWidth="1"/>
    <col min="2319" max="2319" width="13.7109375" style="4" customWidth="1"/>
    <col min="2320" max="2320" width="12.42578125" style="4" customWidth="1"/>
    <col min="2321" max="2560" width="8.7109375" style="4"/>
    <col min="2561" max="2561" width="55.7109375" style="4" customWidth="1"/>
    <col min="2562" max="2563" width="8.7109375" style="4"/>
    <col min="2564" max="2564" width="10.7109375" style="4" customWidth="1"/>
    <col min="2565" max="2565" width="110.28515625" style="4" customWidth="1"/>
    <col min="2566" max="2566" width="76.5703125" style="4" customWidth="1"/>
    <col min="2567" max="2567" width="14" style="4" bestFit="1" customWidth="1"/>
    <col min="2568" max="2574" width="12.7109375" style="4" customWidth="1"/>
    <col min="2575" max="2575" width="13.7109375" style="4" customWidth="1"/>
    <col min="2576" max="2576" width="12.42578125" style="4" customWidth="1"/>
    <col min="2577" max="2816" width="8.7109375" style="4"/>
    <col min="2817" max="2817" width="55.7109375" style="4" customWidth="1"/>
    <col min="2818" max="2819" width="8.7109375" style="4"/>
    <col min="2820" max="2820" width="10.7109375" style="4" customWidth="1"/>
    <col min="2821" max="2821" width="110.28515625" style="4" customWidth="1"/>
    <col min="2822" max="2822" width="76.5703125" style="4" customWidth="1"/>
    <col min="2823" max="2823" width="14" style="4" bestFit="1" customWidth="1"/>
    <col min="2824" max="2830" width="12.7109375" style="4" customWidth="1"/>
    <col min="2831" max="2831" width="13.7109375" style="4" customWidth="1"/>
    <col min="2832" max="2832" width="12.42578125" style="4" customWidth="1"/>
    <col min="2833" max="3072" width="8.7109375" style="4"/>
    <col min="3073" max="3073" width="55.7109375" style="4" customWidth="1"/>
    <col min="3074" max="3075" width="8.7109375" style="4"/>
    <col min="3076" max="3076" width="10.7109375" style="4" customWidth="1"/>
    <col min="3077" max="3077" width="110.28515625" style="4" customWidth="1"/>
    <col min="3078" max="3078" width="76.5703125" style="4" customWidth="1"/>
    <col min="3079" max="3079" width="14" style="4" bestFit="1" customWidth="1"/>
    <col min="3080" max="3086" width="12.7109375" style="4" customWidth="1"/>
    <col min="3087" max="3087" width="13.7109375" style="4" customWidth="1"/>
    <col min="3088" max="3088" width="12.42578125" style="4" customWidth="1"/>
    <col min="3089" max="3328" width="8.7109375" style="4"/>
    <col min="3329" max="3329" width="55.7109375" style="4" customWidth="1"/>
    <col min="3330" max="3331" width="8.7109375" style="4"/>
    <col min="3332" max="3332" width="10.7109375" style="4" customWidth="1"/>
    <col min="3333" max="3333" width="110.28515625" style="4" customWidth="1"/>
    <col min="3334" max="3334" width="76.5703125" style="4" customWidth="1"/>
    <col min="3335" max="3335" width="14" style="4" bestFit="1" customWidth="1"/>
    <col min="3336" max="3342" width="12.7109375" style="4" customWidth="1"/>
    <col min="3343" max="3343" width="13.7109375" style="4" customWidth="1"/>
    <col min="3344" max="3344" width="12.42578125" style="4" customWidth="1"/>
    <col min="3345" max="3584" width="8.7109375" style="4"/>
    <col min="3585" max="3585" width="55.7109375" style="4" customWidth="1"/>
    <col min="3586" max="3587" width="8.7109375" style="4"/>
    <col min="3588" max="3588" width="10.7109375" style="4" customWidth="1"/>
    <col min="3589" max="3589" width="110.28515625" style="4" customWidth="1"/>
    <col min="3590" max="3590" width="76.5703125" style="4" customWidth="1"/>
    <col min="3591" max="3591" width="14" style="4" bestFit="1" customWidth="1"/>
    <col min="3592" max="3598" width="12.7109375" style="4" customWidth="1"/>
    <col min="3599" max="3599" width="13.7109375" style="4" customWidth="1"/>
    <col min="3600" max="3600" width="12.42578125" style="4" customWidth="1"/>
    <col min="3601" max="3840" width="8.7109375" style="4"/>
    <col min="3841" max="3841" width="55.7109375" style="4" customWidth="1"/>
    <col min="3842" max="3843" width="8.7109375" style="4"/>
    <col min="3844" max="3844" width="10.7109375" style="4" customWidth="1"/>
    <col min="3845" max="3845" width="110.28515625" style="4" customWidth="1"/>
    <col min="3846" max="3846" width="76.5703125" style="4" customWidth="1"/>
    <col min="3847" max="3847" width="14" style="4" bestFit="1" customWidth="1"/>
    <col min="3848" max="3854" width="12.7109375" style="4" customWidth="1"/>
    <col min="3855" max="3855" width="13.7109375" style="4" customWidth="1"/>
    <col min="3856" max="3856" width="12.42578125" style="4" customWidth="1"/>
    <col min="3857" max="4096" width="8.7109375" style="4"/>
    <col min="4097" max="4097" width="55.7109375" style="4" customWidth="1"/>
    <col min="4098" max="4099" width="8.7109375" style="4"/>
    <col min="4100" max="4100" width="10.7109375" style="4" customWidth="1"/>
    <col min="4101" max="4101" width="110.28515625" style="4" customWidth="1"/>
    <col min="4102" max="4102" width="76.5703125" style="4" customWidth="1"/>
    <col min="4103" max="4103" width="14" style="4" bestFit="1" customWidth="1"/>
    <col min="4104" max="4110" width="12.7109375" style="4" customWidth="1"/>
    <col min="4111" max="4111" width="13.7109375" style="4" customWidth="1"/>
    <col min="4112" max="4112" width="12.42578125" style="4" customWidth="1"/>
    <col min="4113" max="4352" width="8.7109375" style="4"/>
    <col min="4353" max="4353" width="55.7109375" style="4" customWidth="1"/>
    <col min="4354" max="4355" width="8.7109375" style="4"/>
    <col min="4356" max="4356" width="10.7109375" style="4" customWidth="1"/>
    <col min="4357" max="4357" width="110.28515625" style="4" customWidth="1"/>
    <col min="4358" max="4358" width="76.5703125" style="4" customWidth="1"/>
    <col min="4359" max="4359" width="14" style="4" bestFit="1" customWidth="1"/>
    <col min="4360" max="4366" width="12.7109375" style="4" customWidth="1"/>
    <col min="4367" max="4367" width="13.7109375" style="4" customWidth="1"/>
    <col min="4368" max="4368" width="12.42578125" style="4" customWidth="1"/>
    <col min="4369" max="4608" width="8.7109375" style="4"/>
    <col min="4609" max="4609" width="55.7109375" style="4" customWidth="1"/>
    <col min="4610" max="4611" width="8.7109375" style="4"/>
    <col min="4612" max="4612" width="10.7109375" style="4" customWidth="1"/>
    <col min="4613" max="4613" width="110.28515625" style="4" customWidth="1"/>
    <col min="4614" max="4614" width="76.5703125" style="4" customWidth="1"/>
    <col min="4615" max="4615" width="14" style="4" bestFit="1" customWidth="1"/>
    <col min="4616" max="4622" width="12.7109375" style="4" customWidth="1"/>
    <col min="4623" max="4623" width="13.7109375" style="4" customWidth="1"/>
    <col min="4624" max="4624" width="12.42578125" style="4" customWidth="1"/>
    <col min="4625" max="4864" width="8.7109375" style="4"/>
    <col min="4865" max="4865" width="55.7109375" style="4" customWidth="1"/>
    <col min="4866" max="4867" width="8.7109375" style="4"/>
    <col min="4868" max="4868" width="10.7109375" style="4" customWidth="1"/>
    <col min="4869" max="4869" width="110.28515625" style="4" customWidth="1"/>
    <col min="4870" max="4870" width="76.5703125" style="4" customWidth="1"/>
    <col min="4871" max="4871" width="14" style="4" bestFit="1" customWidth="1"/>
    <col min="4872" max="4878" width="12.7109375" style="4" customWidth="1"/>
    <col min="4879" max="4879" width="13.7109375" style="4" customWidth="1"/>
    <col min="4880" max="4880" width="12.42578125" style="4" customWidth="1"/>
    <col min="4881" max="5120" width="8.7109375" style="4"/>
    <col min="5121" max="5121" width="55.7109375" style="4" customWidth="1"/>
    <col min="5122" max="5123" width="8.7109375" style="4"/>
    <col min="5124" max="5124" width="10.7109375" style="4" customWidth="1"/>
    <col min="5125" max="5125" width="110.28515625" style="4" customWidth="1"/>
    <col min="5126" max="5126" width="76.5703125" style="4" customWidth="1"/>
    <col min="5127" max="5127" width="14" style="4" bestFit="1" customWidth="1"/>
    <col min="5128" max="5134" width="12.7109375" style="4" customWidth="1"/>
    <col min="5135" max="5135" width="13.7109375" style="4" customWidth="1"/>
    <col min="5136" max="5136" width="12.42578125" style="4" customWidth="1"/>
    <col min="5137" max="5376" width="8.7109375" style="4"/>
    <col min="5377" max="5377" width="55.7109375" style="4" customWidth="1"/>
    <col min="5378" max="5379" width="8.7109375" style="4"/>
    <col min="5380" max="5380" width="10.7109375" style="4" customWidth="1"/>
    <col min="5381" max="5381" width="110.28515625" style="4" customWidth="1"/>
    <col min="5382" max="5382" width="76.5703125" style="4" customWidth="1"/>
    <col min="5383" max="5383" width="14" style="4" bestFit="1" customWidth="1"/>
    <col min="5384" max="5390" width="12.7109375" style="4" customWidth="1"/>
    <col min="5391" max="5391" width="13.7109375" style="4" customWidth="1"/>
    <col min="5392" max="5392" width="12.42578125" style="4" customWidth="1"/>
    <col min="5393" max="5632" width="8.7109375" style="4"/>
    <col min="5633" max="5633" width="55.7109375" style="4" customWidth="1"/>
    <col min="5634" max="5635" width="8.7109375" style="4"/>
    <col min="5636" max="5636" width="10.7109375" style="4" customWidth="1"/>
    <col min="5637" max="5637" width="110.28515625" style="4" customWidth="1"/>
    <col min="5638" max="5638" width="76.5703125" style="4" customWidth="1"/>
    <col min="5639" max="5639" width="14" style="4" bestFit="1" customWidth="1"/>
    <col min="5640" max="5646" width="12.7109375" style="4" customWidth="1"/>
    <col min="5647" max="5647" width="13.7109375" style="4" customWidth="1"/>
    <col min="5648" max="5648" width="12.42578125" style="4" customWidth="1"/>
    <col min="5649" max="5888" width="8.7109375" style="4"/>
    <col min="5889" max="5889" width="55.7109375" style="4" customWidth="1"/>
    <col min="5890" max="5891" width="8.7109375" style="4"/>
    <col min="5892" max="5892" width="10.7109375" style="4" customWidth="1"/>
    <col min="5893" max="5893" width="110.28515625" style="4" customWidth="1"/>
    <col min="5894" max="5894" width="76.5703125" style="4" customWidth="1"/>
    <col min="5895" max="5895" width="14" style="4" bestFit="1" customWidth="1"/>
    <col min="5896" max="5902" width="12.7109375" style="4" customWidth="1"/>
    <col min="5903" max="5903" width="13.7109375" style="4" customWidth="1"/>
    <col min="5904" max="5904" width="12.42578125" style="4" customWidth="1"/>
    <col min="5905" max="6144" width="8.7109375" style="4"/>
    <col min="6145" max="6145" width="55.7109375" style="4" customWidth="1"/>
    <col min="6146" max="6147" width="8.7109375" style="4"/>
    <col min="6148" max="6148" width="10.7109375" style="4" customWidth="1"/>
    <col min="6149" max="6149" width="110.28515625" style="4" customWidth="1"/>
    <col min="6150" max="6150" width="76.5703125" style="4" customWidth="1"/>
    <col min="6151" max="6151" width="14" style="4" bestFit="1" customWidth="1"/>
    <col min="6152" max="6158" width="12.7109375" style="4" customWidth="1"/>
    <col min="6159" max="6159" width="13.7109375" style="4" customWidth="1"/>
    <col min="6160" max="6160" width="12.42578125" style="4" customWidth="1"/>
    <col min="6161" max="6400" width="8.7109375" style="4"/>
    <col min="6401" max="6401" width="55.7109375" style="4" customWidth="1"/>
    <col min="6402" max="6403" width="8.7109375" style="4"/>
    <col min="6404" max="6404" width="10.7109375" style="4" customWidth="1"/>
    <col min="6405" max="6405" width="110.28515625" style="4" customWidth="1"/>
    <col min="6406" max="6406" width="76.5703125" style="4" customWidth="1"/>
    <col min="6407" max="6407" width="14" style="4" bestFit="1" customWidth="1"/>
    <col min="6408" max="6414" width="12.7109375" style="4" customWidth="1"/>
    <col min="6415" max="6415" width="13.7109375" style="4" customWidth="1"/>
    <col min="6416" max="6416" width="12.42578125" style="4" customWidth="1"/>
    <col min="6417" max="6656" width="8.7109375" style="4"/>
    <col min="6657" max="6657" width="55.7109375" style="4" customWidth="1"/>
    <col min="6658" max="6659" width="8.7109375" style="4"/>
    <col min="6660" max="6660" width="10.7109375" style="4" customWidth="1"/>
    <col min="6661" max="6661" width="110.28515625" style="4" customWidth="1"/>
    <col min="6662" max="6662" width="76.5703125" style="4" customWidth="1"/>
    <col min="6663" max="6663" width="14" style="4" bestFit="1" customWidth="1"/>
    <col min="6664" max="6670" width="12.7109375" style="4" customWidth="1"/>
    <col min="6671" max="6671" width="13.7109375" style="4" customWidth="1"/>
    <col min="6672" max="6672" width="12.42578125" style="4" customWidth="1"/>
    <col min="6673" max="6912" width="8.7109375" style="4"/>
    <col min="6913" max="6913" width="55.7109375" style="4" customWidth="1"/>
    <col min="6914" max="6915" width="8.7109375" style="4"/>
    <col min="6916" max="6916" width="10.7109375" style="4" customWidth="1"/>
    <col min="6917" max="6917" width="110.28515625" style="4" customWidth="1"/>
    <col min="6918" max="6918" width="76.5703125" style="4" customWidth="1"/>
    <col min="6919" max="6919" width="14" style="4" bestFit="1" customWidth="1"/>
    <col min="6920" max="6926" width="12.7109375" style="4" customWidth="1"/>
    <col min="6927" max="6927" width="13.7109375" style="4" customWidth="1"/>
    <col min="6928" max="6928" width="12.42578125" style="4" customWidth="1"/>
    <col min="6929" max="7168" width="8.7109375" style="4"/>
    <col min="7169" max="7169" width="55.7109375" style="4" customWidth="1"/>
    <col min="7170" max="7171" width="8.7109375" style="4"/>
    <col min="7172" max="7172" width="10.7109375" style="4" customWidth="1"/>
    <col min="7173" max="7173" width="110.28515625" style="4" customWidth="1"/>
    <col min="7174" max="7174" width="76.5703125" style="4" customWidth="1"/>
    <col min="7175" max="7175" width="14" style="4" bestFit="1" customWidth="1"/>
    <col min="7176" max="7182" width="12.7109375" style="4" customWidth="1"/>
    <col min="7183" max="7183" width="13.7109375" style="4" customWidth="1"/>
    <col min="7184" max="7184" width="12.42578125" style="4" customWidth="1"/>
    <col min="7185" max="7424" width="8.7109375" style="4"/>
    <col min="7425" max="7425" width="55.7109375" style="4" customWidth="1"/>
    <col min="7426" max="7427" width="8.7109375" style="4"/>
    <col min="7428" max="7428" width="10.7109375" style="4" customWidth="1"/>
    <col min="7429" max="7429" width="110.28515625" style="4" customWidth="1"/>
    <col min="7430" max="7430" width="76.5703125" style="4" customWidth="1"/>
    <col min="7431" max="7431" width="14" style="4" bestFit="1" customWidth="1"/>
    <col min="7432" max="7438" width="12.7109375" style="4" customWidth="1"/>
    <col min="7439" max="7439" width="13.7109375" style="4" customWidth="1"/>
    <col min="7440" max="7440" width="12.42578125" style="4" customWidth="1"/>
    <col min="7441" max="7680" width="8.7109375" style="4"/>
    <col min="7681" max="7681" width="55.7109375" style="4" customWidth="1"/>
    <col min="7682" max="7683" width="8.7109375" style="4"/>
    <col min="7684" max="7684" width="10.7109375" style="4" customWidth="1"/>
    <col min="7685" max="7685" width="110.28515625" style="4" customWidth="1"/>
    <col min="7686" max="7686" width="76.5703125" style="4" customWidth="1"/>
    <col min="7687" max="7687" width="14" style="4" bestFit="1" customWidth="1"/>
    <col min="7688" max="7694" width="12.7109375" style="4" customWidth="1"/>
    <col min="7695" max="7695" width="13.7109375" style="4" customWidth="1"/>
    <col min="7696" max="7696" width="12.42578125" style="4" customWidth="1"/>
    <col min="7697" max="7936" width="8.7109375" style="4"/>
    <col min="7937" max="7937" width="55.7109375" style="4" customWidth="1"/>
    <col min="7938" max="7939" width="8.7109375" style="4"/>
    <col min="7940" max="7940" width="10.7109375" style="4" customWidth="1"/>
    <col min="7941" max="7941" width="110.28515625" style="4" customWidth="1"/>
    <col min="7942" max="7942" width="76.5703125" style="4" customWidth="1"/>
    <col min="7943" max="7943" width="14" style="4" bestFit="1" customWidth="1"/>
    <col min="7944" max="7950" width="12.7109375" style="4" customWidth="1"/>
    <col min="7951" max="7951" width="13.7109375" style="4" customWidth="1"/>
    <col min="7952" max="7952" width="12.42578125" style="4" customWidth="1"/>
    <col min="7953" max="8192" width="8.7109375" style="4"/>
    <col min="8193" max="8193" width="55.7109375" style="4" customWidth="1"/>
    <col min="8194" max="8195" width="8.7109375" style="4"/>
    <col min="8196" max="8196" width="10.7109375" style="4" customWidth="1"/>
    <col min="8197" max="8197" width="110.28515625" style="4" customWidth="1"/>
    <col min="8198" max="8198" width="76.5703125" style="4" customWidth="1"/>
    <col min="8199" max="8199" width="14" style="4" bestFit="1" customWidth="1"/>
    <col min="8200" max="8206" width="12.7109375" style="4" customWidth="1"/>
    <col min="8207" max="8207" width="13.7109375" style="4" customWidth="1"/>
    <col min="8208" max="8208" width="12.42578125" style="4" customWidth="1"/>
    <col min="8209" max="8448" width="8.7109375" style="4"/>
    <col min="8449" max="8449" width="55.7109375" style="4" customWidth="1"/>
    <col min="8450" max="8451" width="8.7109375" style="4"/>
    <col min="8452" max="8452" width="10.7109375" style="4" customWidth="1"/>
    <col min="8453" max="8453" width="110.28515625" style="4" customWidth="1"/>
    <col min="8454" max="8454" width="76.5703125" style="4" customWidth="1"/>
    <col min="8455" max="8455" width="14" style="4" bestFit="1" customWidth="1"/>
    <col min="8456" max="8462" width="12.7109375" style="4" customWidth="1"/>
    <col min="8463" max="8463" width="13.7109375" style="4" customWidth="1"/>
    <col min="8464" max="8464" width="12.42578125" style="4" customWidth="1"/>
    <col min="8465" max="8704" width="8.7109375" style="4"/>
    <col min="8705" max="8705" width="55.7109375" style="4" customWidth="1"/>
    <col min="8706" max="8707" width="8.7109375" style="4"/>
    <col min="8708" max="8708" width="10.7109375" style="4" customWidth="1"/>
    <col min="8709" max="8709" width="110.28515625" style="4" customWidth="1"/>
    <col min="8710" max="8710" width="76.5703125" style="4" customWidth="1"/>
    <col min="8711" max="8711" width="14" style="4" bestFit="1" customWidth="1"/>
    <col min="8712" max="8718" width="12.7109375" style="4" customWidth="1"/>
    <col min="8719" max="8719" width="13.7109375" style="4" customWidth="1"/>
    <col min="8720" max="8720" width="12.42578125" style="4" customWidth="1"/>
    <col min="8721" max="8960" width="8.7109375" style="4"/>
    <col min="8961" max="8961" width="55.7109375" style="4" customWidth="1"/>
    <col min="8962" max="8963" width="8.7109375" style="4"/>
    <col min="8964" max="8964" width="10.7109375" style="4" customWidth="1"/>
    <col min="8965" max="8965" width="110.28515625" style="4" customWidth="1"/>
    <col min="8966" max="8966" width="76.5703125" style="4" customWidth="1"/>
    <col min="8967" max="8967" width="14" style="4" bestFit="1" customWidth="1"/>
    <col min="8968" max="8974" width="12.7109375" style="4" customWidth="1"/>
    <col min="8975" max="8975" width="13.7109375" style="4" customWidth="1"/>
    <col min="8976" max="8976" width="12.42578125" style="4" customWidth="1"/>
    <col min="8977" max="9216" width="8.7109375" style="4"/>
    <col min="9217" max="9217" width="55.7109375" style="4" customWidth="1"/>
    <col min="9218" max="9219" width="8.7109375" style="4"/>
    <col min="9220" max="9220" width="10.7109375" style="4" customWidth="1"/>
    <col min="9221" max="9221" width="110.28515625" style="4" customWidth="1"/>
    <col min="9222" max="9222" width="76.5703125" style="4" customWidth="1"/>
    <col min="9223" max="9223" width="14" style="4" bestFit="1" customWidth="1"/>
    <col min="9224" max="9230" width="12.7109375" style="4" customWidth="1"/>
    <col min="9231" max="9231" width="13.7109375" style="4" customWidth="1"/>
    <col min="9232" max="9232" width="12.42578125" style="4" customWidth="1"/>
    <col min="9233" max="9472" width="8.7109375" style="4"/>
    <col min="9473" max="9473" width="55.7109375" style="4" customWidth="1"/>
    <col min="9474" max="9475" width="8.7109375" style="4"/>
    <col min="9476" max="9476" width="10.7109375" style="4" customWidth="1"/>
    <col min="9477" max="9477" width="110.28515625" style="4" customWidth="1"/>
    <col min="9478" max="9478" width="76.5703125" style="4" customWidth="1"/>
    <col min="9479" max="9479" width="14" style="4" bestFit="1" customWidth="1"/>
    <col min="9480" max="9486" width="12.7109375" style="4" customWidth="1"/>
    <col min="9487" max="9487" width="13.7109375" style="4" customWidth="1"/>
    <col min="9488" max="9488" width="12.42578125" style="4" customWidth="1"/>
    <col min="9489" max="9728" width="8.7109375" style="4"/>
    <col min="9729" max="9729" width="55.7109375" style="4" customWidth="1"/>
    <col min="9730" max="9731" width="8.7109375" style="4"/>
    <col min="9732" max="9732" width="10.7109375" style="4" customWidth="1"/>
    <col min="9733" max="9733" width="110.28515625" style="4" customWidth="1"/>
    <col min="9734" max="9734" width="76.5703125" style="4" customWidth="1"/>
    <col min="9735" max="9735" width="14" style="4" bestFit="1" customWidth="1"/>
    <col min="9736" max="9742" width="12.7109375" style="4" customWidth="1"/>
    <col min="9743" max="9743" width="13.7109375" style="4" customWidth="1"/>
    <col min="9744" max="9744" width="12.42578125" style="4" customWidth="1"/>
    <col min="9745" max="9984" width="8.7109375" style="4"/>
    <col min="9985" max="9985" width="55.7109375" style="4" customWidth="1"/>
    <col min="9986" max="9987" width="8.7109375" style="4"/>
    <col min="9988" max="9988" width="10.7109375" style="4" customWidth="1"/>
    <col min="9989" max="9989" width="110.28515625" style="4" customWidth="1"/>
    <col min="9990" max="9990" width="76.5703125" style="4" customWidth="1"/>
    <col min="9991" max="9991" width="14" style="4" bestFit="1" customWidth="1"/>
    <col min="9992" max="9998" width="12.7109375" style="4" customWidth="1"/>
    <col min="9999" max="9999" width="13.7109375" style="4" customWidth="1"/>
    <col min="10000" max="10000" width="12.42578125" style="4" customWidth="1"/>
    <col min="10001" max="10240" width="8.7109375" style="4"/>
    <col min="10241" max="10241" width="55.7109375" style="4" customWidth="1"/>
    <col min="10242" max="10243" width="8.7109375" style="4"/>
    <col min="10244" max="10244" width="10.7109375" style="4" customWidth="1"/>
    <col min="10245" max="10245" width="110.28515625" style="4" customWidth="1"/>
    <col min="10246" max="10246" width="76.5703125" style="4" customWidth="1"/>
    <col min="10247" max="10247" width="14" style="4" bestFit="1" customWidth="1"/>
    <col min="10248" max="10254" width="12.7109375" style="4" customWidth="1"/>
    <col min="10255" max="10255" width="13.7109375" style="4" customWidth="1"/>
    <col min="10256" max="10256" width="12.42578125" style="4" customWidth="1"/>
    <col min="10257" max="10496" width="8.7109375" style="4"/>
    <col min="10497" max="10497" width="55.7109375" style="4" customWidth="1"/>
    <col min="10498" max="10499" width="8.7109375" style="4"/>
    <col min="10500" max="10500" width="10.7109375" style="4" customWidth="1"/>
    <col min="10501" max="10501" width="110.28515625" style="4" customWidth="1"/>
    <col min="10502" max="10502" width="76.5703125" style="4" customWidth="1"/>
    <col min="10503" max="10503" width="14" style="4" bestFit="1" customWidth="1"/>
    <col min="10504" max="10510" width="12.7109375" style="4" customWidth="1"/>
    <col min="10511" max="10511" width="13.7109375" style="4" customWidth="1"/>
    <col min="10512" max="10512" width="12.42578125" style="4" customWidth="1"/>
    <col min="10513" max="10752" width="8.7109375" style="4"/>
    <col min="10753" max="10753" width="55.7109375" style="4" customWidth="1"/>
    <col min="10754" max="10755" width="8.7109375" style="4"/>
    <col min="10756" max="10756" width="10.7109375" style="4" customWidth="1"/>
    <col min="10757" max="10757" width="110.28515625" style="4" customWidth="1"/>
    <col min="10758" max="10758" width="76.5703125" style="4" customWidth="1"/>
    <col min="10759" max="10759" width="14" style="4" bestFit="1" customWidth="1"/>
    <col min="10760" max="10766" width="12.7109375" style="4" customWidth="1"/>
    <col min="10767" max="10767" width="13.7109375" style="4" customWidth="1"/>
    <col min="10768" max="10768" width="12.42578125" style="4" customWidth="1"/>
    <col min="10769" max="11008" width="8.7109375" style="4"/>
    <col min="11009" max="11009" width="55.7109375" style="4" customWidth="1"/>
    <col min="11010" max="11011" width="8.7109375" style="4"/>
    <col min="11012" max="11012" width="10.7109375" style="4" customWidth="1"/>
    <col min="11013" max="11013" width="110.28515625" style="4" customWidth="1"/>
    <col min="11014" max="11014" width="76.5703125" style="4" customWidth="1"/>
    <col min="11015" max="11015" width="14" style="4" bestFit="1" customWidth="1"/>
    <col min="11016" max="11022" width="12.7109375" style="4" customWidth="1"/>
    <col min="11023" max="11023" width="13.7109375" style="4" customWidth="1"/>
    <col min="11024" max="11024" width="12.42578125" style="4" customWidth="1"/>
    <col min="11025" max="11264" width="8.7109375" style="4"/>
    <col min="11265" max="11265" width="55.7109375" style="4" customWidth="1"/>
    <col min="11266" max="11267" width="8.7109375" style="4"/>
    <col min="11268" max="11268" width="10.7109375" style="4" customWidth="1"/>
    <col min="11269" max="11269" width="110.28515625" style="4" customWidth="1"/>
    <col min="11270" max="11270" width="76.5703125" style="4" customWidth="1"/>
    <col min="11271" max="11271" width="14" style="4" bestFit="1" customWidth="1"/>
    <col min="11272" max="11278" width="12.7109375" style="4" customWidth="1"/>
    <col min="11279" max="11279" width="13.7109375" style="4" customWidth="1"/>
    <col min="11280" max="11280" width="12.42578125" style="4" customWidth="1"/>
    <col min="11281" max="11520" width="8.7109375" style="4"/>
    <col min="11521" max="11521" width="55.7109375" style="4" customWidth="1"/>
    <col min="11522" max="11523" width="8.7109375" style="4"/>
    <col min="11524" max="11524" width="10.7109375" style="4" customWidth="1"/>
    <col min="11525" max="11525" width="110.28515625" style="4" customWidth="1"/>
    <col min="11526" max="11526" width="76.5703125" style="4" customWidth="1"/>
    <col min="11527" max="11527" width="14" style="4" bestFit="1" customWidth="1"/>
    <col min="11528" max="11534" width="12.7109375" style="4" customWidth="1"/>
    <col min="11535" max="11535" width="13.7109375" style="4" customWidth="1"/>
    <col min="11536" max="11536" width="12.42578125" style="4" customWidth="1"/>
    <col min="11537" max="11776" width="8.7109375" style="4"/>
    <col min="11777" max="11777" width="55.7109375" style="4" customWidth="1"/>
    <col min="11778" max="11779" width="8.7109375" style="4"/>
    <col min="11780" max="11780" width="10.7109375" style="4" customWidth="1"/>
    <col min="11781" max="11781" width="110.28515625" style="4" customWidth="1"/>
    <col min="11782" max="11782" width="76.5703125" style="4" customWidth="1"/>
    <col min="11783" max="11783" width="14" style="4" bestFit="1" customWidth="1"/>
    <col min="11784" max="11790" width="12.7109375" style="4" customWidth="1"/>
    <col min="11791" max="11791" width="13.7109375" style="4" customWidth="1"/>
    <col min="11792" max="11792" width="12.42578125" style="4" customWidth="1"/>
    <col min="11793" max="12032" width="8.7109375" style="4"/>
    <col min="12033" max="12033" width="55.7109375" style="4" customWidth="1"/>
    <col min="12034" max="12035" width="8.7109375" style="4"/>
    <col min="12036" max="12036" width="10.7109375" style="4" customWidth="1"/>
    <col min="12037" max="12037" width="110.28515625" style="4" customWidth="1"/>
    <col min="12038" max="12038" width="76.5703125" style="4" customWidth="1"/>
    <col min="12039" max="12039" width="14" style="4" bestFit="1" customWidth="1"/>
    <col min="12040" max="12046" width="12.7109375" style="4" customWidth="1"/>
    <col min="12047" max="12047" width="13.7109375" style="4" customWidth="1"/>
    <col min="12048" max="12048" width="12.42578125" style="4" customWidth="1"/>
    <col min="12049" max="12288" width="8.7109375" style="4"/>
    <col min="12289" max="12289" width="55.7109375" style="4" customWidth="1"/>
    <col min="12290" max="12291" width="8.7109375" style="4"/>
    <col min="12292" max="12292" width="10.7109375" style="4" customWidth="1"/>
    <col min="12293" max="12293" width="110.28515625" style="4" customWidth="1"/>
    <col min="12294" max="12294" width="76.5703125" style="4" customWidth="1"/>
    <col min="12295" max="12295" width="14" style="4" bestFit="1" customWidth="1"/>
    <col min="12296" max="12302" width="12.7109375" style="4" customWidth="1"/>
    <col min="12303" max="12303" width="13.7109375" style="4" customWidth="1"/>
    <col min="12304" max="12304" width="12.42578125" style="4" customWidth="1"/>
    <col min="12305" max="12544" width="8.7109375" style="4"/>
    <col min="12545" max="12545" width="55.7109375" style="4" customWidth="1"/>
    <col min="12546" max="12547" width="8.7109375" style="4"/>
    <col min="12548" max="12548" width="10.7109375" style="4" customWidth="1"/>
    <col min="12549" max="12549" width="110.28515625" style="4" customWidth="1"/>
    <col min="12550" max="12550" width="76.5703125" style="4" customWidth="1"/>
    <col min="12551" max="12551" width="14" style="4" bestFit="1" customWidth="1"/>
    <col min="12552" max="12558" width="12.7109375" style="4" customWidth="1"/>
    <col min="12559" max="12559" width="13.7109375" style="4" customWidth="1"/>
    <col min="12560" max="12560" width="12.42578125" style="4" customWidth="1"/>
    <col min="12561" max="12800" width="8.7109375" style="4"/>
    <col min="12801" max="12801" width="55.7109375" style="4" customWidth="1"/>
    <col min="12802" max="12803" width="8.7109375" style="4"/>
    <col min="12804" max="12804" width="10.7109375" style="4" customWidth="1"/>
    <col min="12805" max="12805" width="110.28515625" style="4" customWidth="1"/>
    <col min="12806" max="12806" width="76.5703125" style="4" customWidth="1"/>
    <col min="12807" max="12807" width="14" style="4" bestFit="1" customWidth="1"/>
    <col min="12808" max="12814" width="12.7109375" style="4" customWidth="1"/>
    <col min="12815" max="12815" width="13.7109375" style="4" customWidth="1"/>
    <col min="12816" max="12816" width="12.42578125" style="4" customWidth="1"/>
    <col min="12817" max="13056" width="8.7109375" style="4"/>
    <col min="13057" max="13057" width="55.7109375" style="4" customWidth="1"/>
    <col min="13058" max="13059" width="8.7109375" style="4"/>
    <col min="13060" max="13060" width="10.7109375" style="4" customWidth="1"/>
    <col min="13061" max="13061" width="110.28515625" style="4" customWidth="1"/>
    <col min="13062" max="13062" width="76.5703125" style="4" customWidth="1"/>
    <col min="13063" max="13063" width="14" style="4" bestFit="1" customWidth="1"/>
    <col min="13064" max="13070" width="12.7109375" style="4" customWidth="1"/>
    <col min="13071" max="13071" width="13.7109375" style="4" customWidth="1"/>
    <col min="13072" max="13072" width="12.42578125" style="4" customWidth="1"/>
    <col min="13073" max="13312" width="8.7109375" style="4"/>
    <col min="13313" max="13313" width="55.7109375" style="4" customWidth="1"/>
    <col min="13314" max="13315" width="8.7109375" style="4"/>
    <col min="13316" max="13316" width="10.7109375" style="4" customWidth="1"/>
    <col min="13317" max="13317" width="110.28515625" style="4" customWidth="1"/>
    <col min="13318" max="13318" width="76.5703125" style="4" customWidth="1"/>
    <col min="13319" max="13319" width="14" style="4" bestFit="1" customWidth="1"/>
    <col min="13320" max="13326" width="12.7109375" style="4" customWidth="1"/>
    <col min="13327" max="13327" width="13.7109375" style="4" customWidth="1"/>
    <col min="13328" max="13328" width="12.42578125" style="4" customWidth="1"/>
    <col min="13329" max="13568" width="8.7109375" style="4"/>
    <col min="13569" max="13569" width="55.7109375" style="4" customWidth="1"/>
    <col min="13570" max="13571" width="8.7109375" style="4"/>
    <col min="13572" max="13572" width="10.7109375" style="4" customWidth="1"/>
    <col min="13573" max="13573" width="110.28515625" style="4" customWidth="1"/>
    <col min="13574" max="13574" width="76.5703125" style="4" customWidth="1"/>
    <col min="13575" max="13575" width="14" style="4" bestFit="1" customWidth="1"/>
    <col min="13576" max="13582" width="12.7109375" style="4" customWidth="1"/>
    <col min="13583" max="13583" width="13.7109375" style="4" customWidth="1"/>
    <col min="13584" max="13584" width="12.42578125" style="4" customWidth="1"/>
    <col min="13585" max="13824" width="8.7109375" style="4"/>
    <col min="13825" max="13825" width="55.7109375" style="4" customWidth="1"/>
    <col min="13826" max="13827" width="8.7109375" style="4"/>
    <col min="13828" max="13828" width="10.7109375" style="4" customWidth="1"/>
    <col min="13829" max="13829" width="110.28515625" style="4" customWidth="1"/>
    <col min="13830" max="13830" width="76.5703125" style="4" customWidth="1"/>
    <col min="13831" max="13831" width="14" style="4" bestFit="1" customWidth="1"/>
    <col min="13832" max="13838" width="12.7109375" style="4" customWidth="1"/>
    <col min="13839" max="13839" width="13.7109375" style="4" customWidth="1"/>
    <col min="13840" max="13840" width="12.42578125" style="4" customWidth="1"/>
    <col min="13841" max="14080" width="8.7109375" style="4"/>
    <col min="14081" max="14081" width="55.7109375" style="4" customWidth="1"/>
    <col min="14082" max="14083" width="8.7109375" style="4"/>
    <col min="14084" max="14084" width="10.7109375" style="4" customWidth="1"/>
    <col min="14085" max="14085" width="110.28515625" style="4" customWidth="1"/>
    <col min="14086" max="14086" width="76.5703125" style="4" customWidth="1"/>
    <col min="14087" max="14087" width="14" style="4" bestFit="1" customWidth="1"/>
    <col min="14088" max="14094" width="12.7109375" style="4" customWidth="1"/>
    <col min="14095" max="14095" width="13.7109375" style="4" customWidth="1"/>
    <col min="14096" max="14096" width="12.42578125" style="4" customWidth="1"/>
    <col min="14097" max="14336" width="8.7109375" style="4"/>
    <col min="14337" max="14337" width="55.7109375" style="4" customWidth="1"/>
    <col min="14338" max="14339" width="8.7109375" style="4"/>
    <col min="14340" max="14340" width="10.7109375" style="4" customWidth="1"/>
    <col min="14341" max="14341" width="110.28515625" style="4" customWidth="1"/>
    <col min="14342" max="14342" width="76.5703125" style="4" customWidth="1"/>
    <col min="14343" max="14343" width="14" style="4" bestFit="1" customWidth="1"/>
    <col min="14344" max="14350" width="12.7109375" style="4" customWidth="1"/>
    <col min="14351" max="14351" width="13.7109375" style="4" customWidth="1"/>
    <col min="14352" max="14352" width="12.42578125" style="4" customWidth="1"/>
    <col min="14353" max="14592" width="8.7109375" style="4"/>
    <col min="14593" max="14593" width="55.7109375" style="4" customWidth="1"/>
    <col min="14594" max="14595" width="8.7109375" style="4"/>
    <col min="14596" max="14596" width="10.7109375" style="4" customWidth="1"/>
    <col min="14597" max="14597" width="110.28515625" style="4" customWidth="1"/>
    <col min="14598" max="14598" width="76.5703125" style="4" customWidth="1"/>
    <col min="14599" max="14599" width="14" style="4" bestFit="1" customWidth="1"/>
    <col min="14600" max="14606" width="12.7109375" style="4" customWidth="1"/>
    <col min="14607" max="14607" width="13.7109375" style="4" customWidth="1"/>
    <col min="14608" max="14608" width="12.42578125" style="4" customWidth="1"/>
    <col min="14609" max="14848" width="8.7109375" style="4"/>
    <col min="14849" max="14849" width="55.7109375" style="4" customWidth="1"/>
    <col min="14850" max="14851" width="8.7109375" style="4"/>
    <col min="14852" max="14852" width="10.7109375" style="4" customWidth="1"/>
    <col min="14853" max="14853" width="110.28515625" style="4" customWidth="1"/>
    <col min="14854" max="14854" width="76.5703125" style="4" customWidth="1"/>
    <col min="14855" max="14855" width="14" style="4" bestFit="1" customWidth="1"/>
    <col min="14856" max="14862" width="12.7109375" style="4" customWidth="1"/>
    <col min="14863" max="14863" width="13.7109375" style="4" customWidth="1"/>
    <col min="14864" max="14864" width="12.42578125" style="4" customWidth="1"/>
    <col min="14865" max="15104" width="8.7109375" style="4"/>
    <col min="15105" max="15105" width="55.7109375" style="4" customWidth="1"/>
    <col min="15106" max="15107" width="8.7109375" style="4"/>
    <col min="15108" max="15108" width="10.7109375" style="4" customWidth="1"/>
    <col min="15109" max="15109" width="110.28515625" style="4" customWidth="1"/>
    <col min="15110" max="15110" width="76.5703125" style="4" customWidth="1"/>
    <col min="15111" max="15111" width="14" style="4" bestFit="1" customWidth="1"/>
    <col min="15112" max="15118" width="12.7109375" style="4" customWidth="1"/>
    <col min="15119" max="15119" width="13.7109375" style="4" customWidth="1"/>
    <col min="15120" max="15120" width="12.42578125" style="4" customWidth="1"/>
    <col min="15121" max="15360" width="8.7109375" style="4"/>
    <col min="15361" max="15361" width="55.7109375" style="4" customWidth="1"/>
    <col min="15362" max="15363" width="8.7109375" style="4"/>
    <col min="15364" max="15364" width="10.7109375" style="4" customWidth="1"/>
    <col min="15365" max="15365" width="110.28515625" style="4" customWidth="1"/>
    <col min="15366" max="15366" width="76.5703125" style="4" customWidth="1"/>
    <col min="15367" max="15367" width="14" style="4" bestFit="1" customWidth="1"/>
    <col min="15368" max="15374" width="12.7109375" style="4" customWidth="1"/>
    <col min="15375" max="15375" width="13.7109375" style="4" customWidth="1"/>
    <col min="15376" max="15376" width="12.42578125" style="4" customWidth="1"/>
    <col min="15377" max="15616" width="8.7109375" style="4"/>
    <col min="15617" max="15617" width="55.7109375" style="4" customWidth="1"/>
    <col min="15618" max="15619" width="8.7109375" style="4"/>
    <col min="15620" max="15620" width="10.7109375" style="4" customWidth="1"/>
    <col min="15621" max="15621" width="110.28515625" style="4" customWidth="1"/>
    <col min="15622" max="15622" width="76.5703125" style="4" customWidth="1"/>
    <col min="15623" max="15623" width="14" style="4" bestFit="1" customWidth="1"/>
    <col min="15624" max="15630" width="12.7109375" style="4" customWidth="1"/>
    <col min="15631" max="15631" width="13.7109375" style="4" customWidth="1"/>
    <col min="15632" max="15632" width="12.42578125" style="4" customWidth="1"/>
    <col min="15633" max="15872" width="8.7109375" style="4"/>
    <col min="15873" max="15873" width="55.7109375" style="4" customWidth="1"/>
    <col min="15874" max="15875" width="8.7109375" style="4"/>
    <col min="15876" max="15876" width="10.7109375" style="4" customWidth="1"/>
    <col min="15877" max="15877" width="110.28515625" style="4" customWidth="1"/>
    <col min="15878" max="15878" width="76.5703125" style="4" customWidth="1"/>
    <col min="15879" max="15879" width="14" style="4" bestFit="1" customWidth="1"/>
    <col min="15880" max="15886" width="12.7109375" style="4" customWidth="1"/>
    <col min="15887" max="15887" width="13.7109375" style="4" customWidth="1"/>
    <col min="15888" max="15888" width="12.42578125" style="4" customWidth="1"/>
    <col min="15889" max="16128" width="8.7109375" style="4"/>
    <col min="16129" max="16129" width="55.7109375" style="4" customWidth="1"/>
    <col min="16130" max="16131" width="8.7109375" style="4"/>
    <col min="16132" max="16132" width="10.7109375" style="4" customWidth="1"/>
    <col min="16133" max="16133" width="110.28515625" style="4" customWidth="1"/>
    <col min="16134" max="16134" width="76.5703125" style="4" customWidth="1"/>
    <col min="16135" max="16135" width="14" style="4" bestFit="1" customWidth="1"/>
    <col min="16136" max="16142" width="12.7109375" style="4" customWidth="1"/>
    <col min="16143" max="16143" width="13.7109375" style="4" customWidth="1"/>
    <col min="16144" max="16144" width="12.42578125" style="4" customWidth="1"/>
    <col min="16145" max="16384" width="8.7109375" style="4"/>
  </cols>
  <sheetData>
    <row r="1" spans="1:14" ht="45" x14ac:dyDescent="0.6">
      <c r="A1" s="26" t="str">
        <f>Invulinstructie_disclaimer!A2</f>
        <v>Model haalbaarheidsstudie SDE++ 2025</v>
      </c>
      <c r="I1" s="27"/>
    </row>
    <row r="2" spans="1:14" ht="33" customHeight="1" x14ac:dyDescent="0.3">
      <c r="A2" s="28" t="s">
        <v>35</v>
      </c>
      <c r="G2" s="28"/>
      <c r="I2" s="29"/>
    </row>
    <row r="3" spans="1:14" ht="43.5" customHeight="1" x14ac:dyDescent="0.25">
      <c r="A3" s="149" t="s">
        <v>22</v>
      </c>
      <c r="F3" s="150"/>
    </row>
    <row r="4" spans="1:14" x14ac:dyDescent="0.25">
      <c r="A4" s="30" t="s">
        <v>36</v>
      </c>
      <c r="B4" s="410" t="str">
        <f>IF(Financiering_en_projectplan!B7="","",Financiering_en_projectplan!B7)</f>
        <v/>
      </c>
      <c r="C4" s="430"/>
      <c r="D4" s="430"/>
      <c r="E4" s="431"/>
    </row>
    <row r="5" spans="1:14" x14ac:dyDescent="0.25">
      <c r="A5" s="12"/>
      <c r="B5" s="12"/>
      <c r="C5" s="12"/>
      <c r="D5" s="12"/>
      <c r="E5" s="12"/>
    </row>
    <row r="6" spans="1:14" x14ac:dyDescent="0.25">
      <c r="A6" s="30" t="s">
        <v>37</v>
      </c>
      <c r="B6" s="386"/>
      <c r="C6" s="432"/>
      <c r="D6" s="432"/>
      <c r="E6" s="433"/>
    </row>
    <row r="7" spans="1:14" x14ac:dyDescent="0.25">
      <c r="A7" s="12"/>
      <c r="B7" s="12"/>
      <c r="C7" s="12"/>
      <c r="D7" s="12"/>
      <c r="E7" s="12"/>
    </row>
    <row r="8" spans="1:14" ht="76.5" customHeight="1" x14ac:dyDescent="0.25">
      <c r="A8" s="34" t="s">
        <v>38</v>
      </c>
      <c r="B8" s="434"/>
      <c r="C8" s="406"/>
      <c r="D8" s="406"/>
      <c r="E8" s="406"/>
    </row>
    <row r="9" spans="1:14" ht="155.25" customHeight="1" x14ac:dyDescent="0.25">
      <c r="A9" s="34" t="s">
        <v>39</v>
      </c>
      <c r="B9" s="434"/>
      <c r="C9" s="406"/>
      <c r="D9" s="406"/>
      <c r="E9" s="406"/>
      <c r="F9" s="31" t="str">
        <f>IF(Hulpblad_categorieën_parameters!D29="","U moet nog een subthema productie-installaties kiezen!","")</f>
        <v/>
      </c>
    </row>
    <row r="10" spans="1:14" ht="185.25" customHeight="1" x14ac:dyDescent="0.25">
      <c r="A10" s="34" t="s">
        <v>40</v>
      </c>
      <c r="B10" s="434"/>
      <c r="C10" s="434"/>
      <c r="D10" s="434"/>
      <c r="E10" s="434"/>
      <c r="F10" s="31" t="str">
        <f>IF(Hulpblad_categorieën_parameters!D81="","U moet nog een categorie kiezen!","")</f>
        <v/>
      </c>
    </row>
    <row r="11" spans="1:14" s="30" customFormat="1" x14ac:dyDescent="0.25">
      <c r="A11" s="44" t="s">
        <v>41</v>
      </c>
      <c r="B11" s="427" t="str">
        <f>Hulpblad_categorieën_parameters!D81</f>
        <v>Zon-PV ≥ 15 kWp en &lt; 1 MWp aansluiting &gt; 3*80 A, gebouwgebonden (net = 50%)</v>
      </c>
      <c r="C11" s="428"/>
      <c r="D11" s="428"/>
      <c r="E11" s="429"/>
      <c r="F11" s="43"/>
      <c r="G11" s="43"/>
      <c r="H11" s="43"/>
      <c r="I11" s="43"/>
      <c r="J11" s="43"/>
      <c r="K11" s="43"/>
      <c r="L11" s="43"/>
      <c r="M11" s="43"/>
      <c r="N11" s="43"/>
    </row>
    <row r="12" spans="1:14" s="30" customFormat="1" x14ac:dyDescent="0.25">
      <c r="A12" s="44"/>
      <c r="C12" s="4"/>
      <c r="D12" s="4"/>
      <c r="E12" s="4"/>
      <c r="F12" s="43"/>
      <c r="G12" s="43"/>
      <c r="H12" s="43"/>
      <c r="I12" s="43"/>
      <c r="J12" s="43"/>
      <c r="K12" s="43"/>
      <c r="L12" s="43"/>
      <c r="M12" s="43"/>
      <c r="N12" s="43"/>
    </row>
    <row r="13" spans="1:14" s="30" customFormat="1" ht="31.5" customHeight="1" x14ac:dyDescent="0.25">
      <c r="A13" s="459" t="str">
        <f>IF(OR(
Hulpblad_categorieën_parameters!D29="CO2-afvang en opslag (CCS) 4.000 uur bij (industriële) ETS-installaties (combinatie met 4.000 uur CCU mogelijk)",
Hulpblad_categorieën_parameters!D29="CO2-afvang en opslag (CCS) 8.000 uur bij (industriële) ETS-installaties",
Hulpblad_categorieën_parameters!D29="CO2-afvang en opslag (CCS) 4.000 uur bij afvalverbrandingsinstallaties (AVI's) (combinatie met 4.000 uur CCU mogelijk)",
Hulpblad_categorieën_parameters!D29="CO2-afvang en opslag (CCS) 8.000 uur bij afvalverbrandingsinstallaties (AVI's)"),
"De SDE++-installatie gaat deel uit maken van een ETS-1 installatie",
IF(Hulpblad_categorieën_parameters!D29="Restwarmtebenutting","Gaat de SDE++-productie-installatie deel uitmaken van een ETS-1 installatie, of wordt de warmte geleverd aan een ETS-1 installatie?",
IF(OR(Hulpblad_categorieën_parameters!C7="Hernieuwbare warmte (en gecombineerde opwekking)",Hulpblad_categorieën_parameters!C7="CO₂-arme warmte",Hulpblad_categorieën_parameters!D29="Waterstofproductie"),"Gaat de SDE++-productie-installatie deel uitmaken van een ETS-1 installatie?","ETS-1 correctie")))</f>
        <v>ETS-1 correctie</v>
      </c>
      <c r="B13" s="460"/>
      <c r="C13" s="460"/>
      <c r="D13" s="460"/>
      <c r="E13" s="438" t="str">
        <f>IF(OR(
Hulpblad_categorieën_parameters!D29="CO2-afvang en opslag (CCS) 4.000 uur bij (industriële) ETS-installaties (combinatie met 4.000 uur CCU mogelijk)",
Hulpblad_categorieën_parameters!D29="CO2-afvang en opslag (CCS) 8.000 uur bij (industriële) ETS-installaties",
Hulpblad_categorieën_parameters!D29="CO2-afvang en opslag (CCS) 4.000 uur bij afvalverbrandingsinstallaties (AVI's) (combinatie met 4.000 uur CCU mogelijk)",
Hulpblad_categorieën_parameters!D29="CO2-afvang en opslag (CCS) 8.000 uur bij afvalverbrandingsinstallaties (AVI's)"),
"De SDE++-installatie maakt deel uit van een ETS-1-installatie. De SDE-subsidie wordt gecorrigeerd voor voordelen en vermeden kosten die voortvloeien uit het ETS-1 systeem.",
IF(AND(Hulpblad_categorieën_parameters!D29="Restwarmtebenutting",Hulpblad_overig!B11=1),"Als de installatie voor restwarmtebenutting deel uitmaakt van een ETS-1 installatie, of er wordt warmte geleverd aan een ETS1-installatie, dan zijn er voordelen die voortvloeien uit het ETS-1 systeem en wordt de SDE++ subsidie hiervoor gecorrigeerd.",
IF(AND(Hulpblad_categorieën_parameters!D29="Restwarmtebenutting",Hulpblad_overig!B11=2),"Als de installatie voor restwarmtebenutting geen deel uitmaakt van een ETS-1 installatie én er wordt geen warmte geleverd aan een ETS-1 installatie, dan zijn er geen voordelen die voortvloeien uit het ETS-1-steem en vindt er geen ETS-1 correctie plaats.",
IF(A14="Niet van toepassing","",IF(Hulpblad_overig!B11=2,"Als de productie-installatie geen deel uitmaakt van een ETS-1 installatie zijn er geen voordelen die voortvloeien uit het ETS-1 systeem en hoeft de SDE++-subsidie hiervoor niet te worden gecorrigeerd.",IF(OR(Hulpblad_categorieën_parameters!C7="Hernieuwbare warmte (en gecombineerde opwekking)",Hulpblad_categorieën_parameters!C7="CO₂-arme warmte",Hulpblad_categorieën_parameters!D29="Waterstofproductie"),Hulpblad_overig!A75,""))))))</f>
        <v/>
      </c>
      <c r="F13" s="43"/>
      <c r="G13" s="43"/>
      <c r="H13" s="43"/>
      <c r="I13" s="43"/>
      <c r="J13" s="43"/>
      <c r="K13" s="43"/>
      <c r="L13" s="43"/>
      <c r="M13" s="43"/>
      <c r="N13" s="43"/>
    </row>
    <row r="14" spans="1:14" s="30" customFormat="1" ht="12.75" customHeight="1" x14ac:dyDescent="0.25">
      <c r="A14" s="12" t="str">
        <f>IF(OR(Hulpblad_categorieën_parameters!C7="Hernieuwbare warmte (en gecombineerde opwekking)",
Hulpblad_categorieën_parameters!C7="CO₂-arme warmte",
Hulpblad_categorieën_parameters!D29="Waterstofproductie",
Hulpblad_categorieën_parameters!D29="CO2-afvang en opslag (CCS) 4.000 uur bij (industriële) ETS-installaties (combinatie met 4.000 uur CCU mogelijk)",
Hulpblad_categorieën_parameters!D29="CO2-afvang en opslag (CCS) 8.000 uur bij (industriële) ETS-installaties",
Hulpblad_categorieën_parameters!D29="CO2-afvang en opslag (CCS) 4.000 uur bij afvalverbrandingsinstallaties (AVI's) (combinatie met 4.000 uur CCU mogelijk)",
Hulpblad_categorieën_parameters!D29="CO2-afvang en opslag (CCS) 8.000 uur bij afvalverbrandingsinstallaties (AVI's)"),
"","Niet van toepassing")</f>
        <v>Niet van toepassing</v>
      </c>
      <c r="C14" s="4"/>
      <c r="D14" s="4"/>
      <c r="E14" s="439"/>
      <c r="F14" s="43"/>
      <c r="G14" s="43"/>
      <c r="H14" s="43"/>
      <c r="I14" s="43"/>
      <c r="J14" s="43"/>
      <c r="K14" s="43"/>
      <c r="L14" s="43"/>
      <c r="M14" s="43"/>
      <c r="N14" s="43"/>
    </row>
    <row r="15" spans="1:14" s="30" customFormat="1" ht="12.75" customHeight="1" x14ac:dyDescent="0.25">
      <c r="A15" s="151"/>
      <c r="C15" s="4"/>
      <c r="D15" s="4"/>
      <c r="E15" s="440"/>
      <c r="F15" s="43"/>
      <c r="G15" s="43"/>
      <c r="H15" s="43"/>
      <c r="I15" s="43"/>
      <c r="J15" s="43"/>
      <c r="K15" s="43"/>
      <c r="L15" s="43"/>
      <c r="M15" s="43"/>
      <c r="N15" s="43"/>
    </row>
    <row r="16" spans="1:14" ht="32.25" customHeight="1" x14ac:dyDescent="0.25">
      <c r="A16" s="149" t="s">
        <v>42</v>
      </c>
      <c r="B16" s="12"/>
      <c r="C16" s="12"/>
      <c r="D16" s="12"/>
      <c r="E16" s="12"/>
      <c r="F16" s="31"/>
    </row>
    <row r="17" spans="1:15" ht="12.75" customHeight="1" x14ac:dyDescent="0.25">
      <c r="A17" s="12" t="str">
        <f>VLOOKUP(B11,Hulpblad_categorieën_parameters!A87:AH332,20,FALSE)</f>
        <v>Vermogen productie-installatie (kW)</v>
      </c>
      <c r="B17" s="441">
        <v>0</v>
      </c>
      <c r="C17" s="442"/>
      <c r="D17" s="48">
        <f>IF(A17="Capaciteit afvanginstallatie CO₂ (ton/uur)","",B17/1000)</f>
        <v>0</v>
      </c>
      <c r="E17" s="12" t="str">
        <f>IF(A17="Capaciteit afvanginstallatie CO₂ (ton/uur)","","MW")</f>
        <v>MW</v>
      </c>
    </row>
    <row r="18" spans="1:15" ht="12.75" customHeight="1" x14ac:dyDescent="0.25">
      <c r="A18" s="12" t="str">
        <f>VLOOKUP(B11,Hulpblad_categorieën_parameters!A87:AH332,18,FALSE)</f>
        <v>Productie elektriciteit (kWh/jaar)</v>
      </c>
      <c r="B18" s="443">
        <v>0</v>
      </c>
      <c r="C18" s="444"/>
      <c r="E18" s="49" t="str">
        <f>IF(A18="Productie warmte (kWh/jaar)","Het betreft hier de nuttige aanwending van geproduceerde warmte.","")</f>
        <v/>
      </c>
      <c r="F18" s="30"/>
    </row>
    <row r="19" spans="1:15" ht="12.75" customHeight="1" x14ac:dyDescent="0.25">
      <c r="A19" s="12" t="str">
        <f>IF(VLOOKUP(B11,Hulpblad_categorieën_parameters!A87:AH332,19,FALSE)="Productie warmte (kWh/jaar)","Productie warmte (kWh/jaar)","Niet van toepassing")</f>
        <v>Niet van toepassing</v>
      </c>
      <c r="B19" s="443"/>
      <c r="C19" s="444"/>
      <c r="D19" s="50"/>
      <c r="E19" s="51" t="str">
        <f>IF(A19="Productie warmte (kWh/jaar)","Het betreft hier de nuttige aanwending van geproduceerde warmte.","")</f>
        <v/>
      </c>
      <c r="F19" s="152"/>
    </row>
    <row r="20" spans="1:15" ht="12.75" customHeight="1" x14ac:dyDescent="0.25">
      <c r="A20" s="30" t="str">
        <f>VLOOKUP(B11,Hulpblad_categorieën_parameters!A87:AH332,21,FALSE)</f>
        <v>Totale productie (kWh/jaar)</v>
      </c>
      <c r="B20" s="445">
        <f>IF(A19="",B18,B18+B19)</f>
        <v>0</v>
      </c>
      <c r="C20" s="446"/>
      <c r="D20" s="50"/>
      <c r="E20" s="52"/>
      <c r="F20" s="30"/>
    </row>
    <row r="21" spans="1:15" ht="12.75" customHeight="1" x14ac:dyDescent="0.25">
      <c r="A21" s="12" t="s">
        <v>43</v>
      </c>
      <c r="B21" s="447" t="e">
        <f>B20/B17</f>
        <v>#DIV/0!</v>
      </c>
      <c r="C21" s="448"/>
      <c r="D21" s="50"/>
      <c r="E21" s="6" t="e">
        <f>(IF(B21&gt;8766,"Aantal vollasturen kan niet hoger zijn dan het aantal uren per jaar!",IF(Hulpblad_categorieën_parameters!D29="Wind","Is dit de P50-waarde vollasturen?",IF(B21&gt;VLOOKUP(B11,Hulpblad_categorieën_parameters!A87:AH332,12,FALSE),"Let op: U gaat meer produceren dan de "&amp;VLOOKUP(B11,Hulpblad_categorieën_parameters!A87:AH332,12,FALSE)&amp;" subsidiabele vollasturen!",""))))</f>
        <v>#DIV/0!</v>
      </c>
    </row>
    <row r="22" spans="1:15" ht="12.75" customHeight="1" x14ac:dyDescent="0.25">
      <c r="A22" s="12"/>
      <c r="B22" s="53"/>
      <c r="C22" s="54"/>
      <c r="D22" s="50"/>
      <c r="E22" s="6"/>
    </row>
    <row r="23" spans="1:15" ht="12.75" customHeight="1" x14ac:dyDescent="0.25">
      <c r="A23" s="30" t="str">
        <f>VLOOKUP(B11,Hulpblad_categorieën_parameters!A87:AH332,22,FALSE)</f>
        <v>Subsidiabele productie (kWh/jaar)</v>
      </c>
      <c r="B23" s="449">
        <f>MIN(B20,B17*VLOOKUP(B11,Hulpblad_categorieën_parameters!A87:AH332,12,FALSE))</f>
        <v>0</v>
      </c>
      <c r="C23" s="449"/>
      <c r="D23" s="50"/>
      <c r="E23" s="6"/>
    </row>
    <row r="24" spans="1:15" ht="12.75" customHeight="1" x14ac:dyDescent="0.25">
      <c r="C24" s="41"/>
      <c r="D24" s="13"/>
      <c r="E24" s="38"/>
    </row>
    <row r="25" spans="1:15" ht="24" customHeight="1" x14ac:dyDescent="0.4">
      <c r="A25" s="149" t="s">
        <v>44</v>
      </c>
      <c r="D25" s="58"/>
      <c r="E25" s="30"/>
      <c r="F25" s="30"/>
      <c r="G25" s="30"/>
      <c r="H25" s="30"/>
      <c r="I25" s="30"/>
      <c r="J25" s="30"/>
      <c r="K25" s="30"/>
      <c r="L25" s="30"/>
      <c r="M25" s="30"/>
      <c r="N25" s="30"/>
      <c r="O25" s="30"/>
    </row>
    <row r="26" spans="1:15" ht="194.25" customHeight="1" x14ac:dyDescent="0.25">
      <c r="A26" s="450" t="str">
        <f>VLOOKUP(Hulpblad_overig!A209,Hulpblad_overig!A167:B206,2,FALSE)</f>
        <v xml:space="preserve">U vraagt subsidie aan voor een gebouwgebonden zon-PV-installatie. U hoeft geen energie-opbrengstberekening toe te voegen. Bij een gebouwgebonden zon-PV-installatie wordt de energieopbrengst (kWh/jaar) berekend door het piekvermogen van de installatie (in kWp) te vermenigvuldigen met 840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Ten slotte bent u verplicht om het ‘Verklaring van een constructeur’ bij uw aanvraag te voegen (het model vindt u op de website van RVO). Hierin moet een constructeur een verklaring geven over de belastbaarheid van het dak of de gevel volgens het Besluit bouwwerken leefomgeving. Het onderzoek laat u uitvoeren en ondertekenen door een constructeur.  Reden voor het invoeren van deze eis is dat de realisatie van gebouw gebonden projecten achterblijft op de verwachting. Eén van de meest aangegeven redenen hiervoor is dat na het ontvangen van een beschikking het dak alsnog niet geschikt blijkt en de kosten om het dak geschikt te maken te hoog zijn. </v>
      </c>
      <c r="B26" s="451"/>
      <c r="C26" s="451"/>
      <c r="D26" s="451"/>
      <c r="E26" s="452"/>
      <c r="F26" s="55" t="str">
        <f>VLOOKUP(Hulpblad_categorieën_parameters!D81,Hulpblad_categorieën_parameters!A87:AA332,27,FALSE)</f>
        <v xml:space="preserve">Voor deze categorie geldt dat een project een gecontracteerd terugleververmogen van de netaansluiting voor de productie-installatie van maximaal 50% van het piekvermogen van de zonnepanelen mag hebben. </v>
      </c>
    </row>
    <row r="27" spans="1:15" ht="18.75" customHeight="1" x14ac:dyDescent="0.25">
      <c r="A27" s="3"/>
      <c r="B27" s="2"/>
      <c r="C27" s="2"/>
      <c r="D27" s="2"/>
      <c r="E27" s="2"/>
    </row>
    <row r="28" spans="1:15" ht="24" customHeight="1" x14ac:dyDescent="0.25">
      <c r="A28" s="149" t="s">
        <v>45</v>
      </c>
      <c r="B28" s="2"/>
      <c r="C28" s="2"/>
      <c r="D28" s="2"/>
      <c r="E28" s="2"/>
    </row>
    <row r="29" spans="1:15" ht="12.75" customHeight="1" x14ac:dyDescent="0.25">
      <c r="A29" s="12" t="str">
        <f>VLOOKUP(Hulpblad_overig!A225,Hulpblad_overig!A213:B222,2,FALSE)</f>
        <v>Niet van toepassing</v>
      </c>
      <c r="B29" s="2"/>
      <c r="C29" s="2"/>
      <c r="D29" s="2"/>
      <c r="E29" s="2"/>
      <c r="F29" s="6"/>
    </row>
    <row r="30" spans="1:15" ht="41.25" customHeight="1" x14ac:dyDescent="0.25">
      <c r="A30" s="12"/>
      <c r="B30" s="2"/>
      <c r="C30" s="2"/>
      <c r="D30" s="2"/>
      <c r="E30" s="2"/>
      <c r="F30" s="56" t="str">
        <f>IF(Hulpblad_overig!C231="","U moet nog een keuze maken hoe de warmte wordt aangewend!","")</f>
        <v/>
      </c>
    </row>
    <row r="31" spans="1:15" ht="24" customHeight="1" x14ac:dyDescent="0.25">
      <c r="A31" s="161" t="str">
        <f>VLOOKUP(Hulpblad_overig!C231,Hulpblad_overig!A234:B238,2,FALSE)</f>
        <v>Niet van toepassing</v>
      </c>
      <c r="B31" s="2"/>
      <c r="C31" s="2"/>
      <c r="D31" s="2"/>
      <c r="E31" s="2"/>
    </row>
    <row r="32" spans="1:15" ht="81" customHeight="1" x14ac:dyDescent="0.25">
      <c r="A32" s="453"/>
      <c r="B32" s="454"/>
      <c r="C32" s="454"/>
      <c r="D32" s="454"/>
      <c r="E32" s="455"/>
      <c r="F32" s="31" t="str">
        <f>IF(AND(A32="",A29="Hoe gaat u de warmte aanwenden?"),"U heeft nog niet vermeld waar de warmte voor wordt aangewend!","")</f>
        <v/>
      </c>
    </row>
    <row r="33" spans="1:16" ht="18.75" customHeight="1" x14ac:dyDescent="0.25">
      <c r="A33" s="3"/>
      <c r="B33" s="2"/>
      <c r="C33" s="2"/>
      <c r="D33" s="2"/>
      <c r="E33" s="2"/>
    </row>
    <row r="34" spans="1:16" ht="24" customHeight="1" x14ac:dyDescent="0.25">
      <c r="A34" s="149" t="s">
        <v>46</v>
      </c>
      <c r="B34" s="12"/>
      <c r="C34" s="12"/>
      <c r="D34" s="12"/>
      <c r="E34" s="12"/>
      <c r="G34" s="14"/>
      <c r="H34" s="38"/>
      <c r="I34" s="38"/>
      <c r="J34" s="38"/>
      <c r="K34" s="38"/>
      <c r="L34" s="38"/>
      <c r="M34" s="38"/>
      <c r="N34" s="38"/>
      <c r="O34" s="38"/>
    </row>
    <row r="35" spans="1:16" x14ac:dyDescent="0.25">
      <c r="A35" s="161" t="str">
        <f>IF(Hulpblad_overig!B228="Niet van toepassing","Niet van toepassing",IF(Hulpblad_overig!B231=2,"U gaat warmte leveren aan derden",IF(Hulpblad_overig!B231=3,"U gaat warmte leveren aan derden","Niet van toepassing")))</f>
        <v>Niet van toepassing</v>
      </c>
      <c r="B35" s="12"/>
      <c r="C35" s="12"/>
      <c r="D35" s="12"/>
      <c r="E35" s="12"/>
      <c r="G35" s="14"/>
      <c r="H35" s="38"/>
      <c r="I35" s="38"/>
      <c r="J35" s="38"/>
      <c r="K35" s="38"/>
      <c r="L35" s="38"/>
      <c r="M35" s="38"/>
      <c r="N35" s="38"/>
      <c r="O35" s="38"/>
    </row>
    <row r="36" spans="1:16" x14ac:dyDescent="0.25">
      <c r="B36" s="12"/>
      <c r="C36" s="12"/>
      <c r="D36" s="12"/>
      <c r="E36" s="12"/>
      <c r="G36" s="57"/>
      <c r="H36" s="38"/>
      <c r="I36" s="38"/>
      <c r="J36" s="38"/>
      <c r="K36" s="38"/>
      <c r="L36" s="38"/>
      <c r="M36" s="38"/>
      <c r="N36" s="38"/>
      <c r="O36" s="38"/>
    </row>
    <row r="37" spans="1:16" ht="76.5" customHeight="1" x14ac:dyDescent="0.25">
      <c r="A37" s="456" t="str">
        <f>IF(Hulpblad_overig!B228="Niet van toepassing","Niet van toepassing",IF(Hulpblad_overig!B231=2,Hulpblad_overig!A158,IF(Hulpblad_overig!B231=3,Hulpblad_overig!A158,"Niet van toepassing")))</f>
        <v>Niet van toepassing</v>
      </c>
      <c r="B37" s="457"/>
      <c r="C37" s="457"/>
      <c r="D37" s="457"/>
      <c r="E37" s="458"/>
      <c r="F37" s="12"/>
      <c r="G37" s="57"/>
      <c r="H37" s="38"/>
      <c r="I37" s="38"/>
      <c r="J37" s="38"/>
      <c r="K37" s="38"/>
      <c r="L37" s="38"/>
      <c r="M37" s="38"/>
      <c r="N37" s="38"/>
      <c r="O37" s="38"/>
    </row>
    <row r="38" spans="1:16" ht="18.75" customHeight="1" x14ac:dyDescent="0.25">
      <c r="B38" s="4"/>
      <c r="C38" s="12"/>
      <c r="D38" s="12"/>
      <c r="E38" s="12"/>
      <c r="G38" s="57"/>
      <c r="H38" s="11"/>
      <c r="I38" s="38"/>
      <c r="J38" s="38"/>
      <c r="K38" s="38"/>
      <c r="L38" s="38"/>
      <c r="M38" s="38"/>
      <c r="N38" s="38"/>
      <c r="O38" s="38"/>
    </row>
    <row r="39" spans="1:16" ht="24" customHeight="1" x14ac:dyDescent="0.4">
      <c r="A39" s="149" t="s">
        <v>47</v>
      </c>
      <c r="B39" s="4"/>
      <c r="C39" s="12"/>
      <c r="D39" s="12"/>
      <c r="E39" s="12"/>
      <c r="F39" s="58"/>
      <c r="G39" s="57"/>
      <c r="H39" s="11"/>
      <c r="I39" s="38"/>
      <c r="J39" s="38"/>
      <c r="K39" s="38"/>
      <c r="L39" s="38"/>
      <c r="M39" s="38"/>
      <c r="N39" s="38"/>
      <c r="O39" s="38"/>
    </row>
    <row r="40" spans="1:16" ht="21.75" customHeight="1" x14ac:dyDescent="0.25">
      <c r="A40" s="32" t="str">
        <f>IF(AND(Hulpblad_overig!A225="Hernieuwbaar gas",B17&lt;390),"Is voor de productie-installatie een aansluiting met een doorlaatwaarde groter dan 40 Nm3 per uur nodig?",IF(AND(Hulpblad_overig!A225="Hernieuwbaar gas",B17&gt;=390),"","Niet van toepassing"))</f>
        <v>Niet van toepassing</v>
      </c>
      <c r="B40" s="4"/>
      <c r="C40" s="12"/>
      <c r="D40" s="12"/>
      <c r="E40" s="12"/>
      <c r="G40" s="57"/>
      <c r="H40" s="11"/>
      <c r="I40" s="38"/>
      <c r="J40" s="38"/>
      <c r="K40" s="38"/>
      <c r="L40" s="38"/>
      <c r="M40" s="38"/>
      <c r="N40" s="38"/>
      <c r="O40" s="38"/>
    </row>
    <row r="41" spans="1:16" ht="50.25" customHeight="1" x14ac:dyDescent="0.25">
      <c r="A41" s="32"/>
      <c r="B41" s="4"/>
      <c r="C41" s="12"/>
      <c r="D41" s="12"/>
      <c r="E41" s="12"/>
      <c r="F41" s="31"/>
      <c r="G41" s="57"/>
      <c r="H41" s="11"/>
      <c r="I41" s="38"/>
      <c r="J41" s="38"/>
      <c r="K41" s="38"/>
      <c r="L41" s="38"/>
      <c r="M41" s="38"/>
      <c r="N41" s="38"/>
      <c r="O41" s="38"/>
    </row>
    <row r="42" spans="1:16" ht="75" customHeight="1" x14ac:dyDescent="0.25">
      <c r="A42" s="456" t="str">
        <f>IF(AND(Hulpblad_overig!A225="Hernieuwbaar gas",B17&gt;=390),Hulpblad_overig!A160,IF(AND(Hulpblad_overig!A225="Hernieuwbaar gas",B17&lt;390,Hulpblad_overig!B39=1),Hulpblad_overig!A160,"Niet van toepassing"))</f>
        <v>Niet van toepassing</v>
      </c>
      <c r="B42" s="457"/>
      <c r="C42" s="457"/>
      <c r="D42" s="457"/>
      <c r="E42" s="458"/>
      <c r="F42" s="55"/>
      <c r="G42" s="14"/>
      <c r="H42" s="38"/>
      <c r="I42" s="38"/>
      <c r="J42" s="38"/>
      <c r="K42" s="38"/>
      <c r="L42" s="38"/>
      <c r="M42" s="38"/>
      <c r="N42" s="38"/>
      <c r="O42" s="38"/>
    </row>
    <row r="43" spans="1:16" ht="19.5" customHeight="1" x14ac:dyDescent="0.25">
      <c r="A43" s="12"/>
      <c r="B43" s="4"/>
      <c r="C43" s="4"/>
      <c r="G43" s="14"/>
      <c r="H43" s="38"/>
      <c r="I43" s="38"/>
      <c r="J43" s="38"/>
      <c r="K43" s="38"/>
      <c r="L43" s="38"/>
      <c r="M43" s="38"/>
      <c r="N43" s="38"/>
      <c r="O43" s="38"/>
    </row>
    <row r="44" spans="1:16" ht="21" customHeight="1" x14ac:dyDescent="0.3">
      <c r="A44" s="149" t="s">
        <v>48</v>
      </c>
      <c r="C44" s="4"/>
      <c r="F44" s="59"/>
      <c r="G44" s="14"/>
      <c r="H44" s="38"/>
      <c r="I44" s="38"/>
      <c r="J44" s="38"/>
      <c r="K44" s="38"/>
      <c r="L44" s="38"/>
      <c r="M44" s="38"/>
      <c r="N44" s="38"/>
      <c r="O44" s="38"/>
    </row>
    <row r="45" spans="1:16" ht="18" customHeight="1" x14ac:dyDescent="0.25">
      <c r="A45" s="161" t="str">
        <f>IF(Hulpblad_overig!A225="CO₂-opslag","Gaat u zelf CO₂ transporteren én opslaan?","Niet van toepassing")</f>
        <v>Niet van toepassing</v>
      </c>
      <c r="B45" s="4"/>
      <c r="D45" s="30"/>
      <c r="E45" s="30"/>
      <c r="G45" s="42"/>
      <c r="H45" s="43"/>
      <c r="I45" s="43"/>
      <c r="J45" s="43"/>
      <c r="K45" s="43"/>
      <c r="L45" s="43"/>
      <c r="M45" s="43"/>
      <c r="N45" s="43"/>
      <c r="O45" s="43"/>
    </row>
    <row r="46" spans="1:16" ht="62.25" customHeight="1" x14ac:dyDescent="0.25">
      <c r="A46" s="66"/>
      <c r="C46" s="4"/>
      <c r="G46" s="14"/>
      <c r="H46" s="38"/>
      <c r="I46" s="38"/>
      <c r="J46" s="38"/>
      <c r="K46" s="38"/>
      <c r="L46" s="38"/>
      <c r="M46" s="38"/>
      <c r="N46" s="38"/>
      <c r="O46" s="38"/>
    </row>
    <row r="47" spans="1:16" s="30" customFormat="1" ht="63.75" customHeight="1" x14ac:dyDescent="0.2">
      <c r="A47" s="435" t="str">
        <f>IF(AND(Hulpblad_overig!A225="CO₂-opslag",Hulpblad_overig!C39=2),Hulpblad_overig!A162,IF(AND(A45="Gaat u zelf CO₂ transporteren én opslaan?",Hulpblad_overig!C39=1),Hulpblad_overig!A164,"Niet van toepassing"))</f>
        <v>Niet van toepassing</v>
      </c>
      <c r="B47" s="436"/>
      <c r="C47" s="436"/>
      <c r="D47" s="436"/>
      <c r="E47" s="437"/>
      <c r="G47" s="42"/>
      <c r="H47" s="43"/>
      <c r="I47" s="43"/>
      <c r="J47" s="43"/>
      <c r="K47" s="43"/>
      <c r="L47" s="43"/>
      <c r="M47" s="43"/>
      <c r="N47" s="43"/>
      <c r="O47" s="43"/>
      <c r="P47" s="43"/>
    </row>
    <row r="48" spans="1:16" s="30" customFormat="1" ht="18" x14ac:dyDescent="0.25">
      <c r="A48" s="28"/>
      <c r="G48" s="42"/>
      <c r="H48" s="43"/>
      <c r="I48" s="43"/>
      <c r="J48" s="43"/>
      <c r="K48" s="43"/>
      <c r="L48" s="43"/>
      <c r="M48" s="43"/>
      <c r="N48" s="43"/>
      <c r="O48" s="43"/>
      <c r="P48" s="43"/>
    </row>
    <row r="49" spans="1:16" s="30" customFormat="1" x14ac:dyDescent="0.25">
      <c r="D49" s="4"/>
      <c r="E49" s="4"/>
      <c r="G49" s="42"/>
      <c r="H49" s="43"/>
      <c r="I49" s="43"/>
      <c r="J49" s="43"/>
      <c r="K49" s="43"/>
      <c r="L49" s="43"/>
      <c r="M49" s="43"/>
      <c r="N49" s="43"/>
      <c r="O49" s="43"/>
      <c r="P49" s="43"/>
    </row>
    <row r="50" spans="1:16" s="30" customFormat="1" x14ac:dyDescent="0.25">
      <c r="A50" s="12"/>
      <c r="D50" s="4"/>
      <c r="E50" s="4"/>
      <c r="G50" s="42"/>
      <c r="H50" s="43"/>
      <c r="I50" s="43"/>
      <c r="J50" s="43"/>
      <c r="K50" s="43"/>
      <c r="L50" s="43"/>
      <c r="M50" s="43"/>
      <c r="N50" s="43"/>
      <c r="O50" s="43"/>
      <c r="P50" s="43"/>
    </row>
    <row r="51" spans="1:16" s="30" customFormat="1" x14ac:dyDescent="0.25">
      <c r="A51" s="12"/>
      <c r="D51" s="4"/>
      <c r="E51" s="45"/>
      <c r="G51" s="42"/>
      <c r="H51" s="43"/>
      <c r="I51" s="43"/>
      <c r="J51" s="43"/>
      <c r="K51" s="43"/>
      <c r="L51" s="43"/>
      <c r="M51" s="43"/>
      <c r="N51" s="43"/>
      <c r="O51" s="43"/>
      <c r="P51" s="43"/>
    </row>
    <row r="52" spans="1:16" s="30" customFormat="1" x14ac:dyDescent="0.25">
      <c r="A52" s="12"/>
      <c r="D52" s="4"/>
      <c r="E52" s="14"/>
      <c r="G52" s="42"/>
      <c r="H52" s="43"/>
      <c r="I52" s="43"/>
      <c r="J52" s="43"/>
      <c r="K52" s="43"/>
      <c r="L52" s="43"/>
      <c r="M52" s="43"/>
      <c r="N52" s="43"/>
      <c r="O52" s="43"/>
      <c r="P52" s="43"/>
    </row>
    <row r="53" spans="1:16" s="30" customFormat="1" x14ac:dyDescent="0.25">
      <c r="D53" s="4"/>
      <c r="E53" s="14"/>
      <c r="G53" s="42"/>
      <c r="H53" s="43"/>
      <c r="I53" s="43"/>
      <c r="J53" s="43"/>
      <c r="K53" s="43"/>
      <c r="L53" s="43"/>
      <c r="M53" s="43"/>
      <c r="N53" s="43"/>
      <c r="O53" s="43"/>
      <c r="P53" s="43"/>
    </row>
    <row r="54" spans="1:16" s="30" customFormat="1" x14ac:dyDescent="0.25">
      <c r="A54" s="12"/>
      <c r="D54" s="4"/>
      <c r="E54" s="14"/>
      <c r="G54" s="42"/>
      <c r="H54" s="43"/>
      <c r="I54" s="43"/>
      <c r="J54" s="43"/>
      <c r="K54" s="43"/>
      <c r="L54" s="43"/>
      <c r="M54" s="43"/>
      <c r="N54" s="43"/>
      <c r="O54" s="43"/>
      <c r="P54" s="43"/>
    </row>
    <row r="55" spans="1:16" s="30" customFormat="1" x14ac:dyDescent="0.25">
      <c r="A55" s="12"/>
      <c r="D55" s="4"/>
      <c r="E55" s="45"/>
      <c r="G55" s="42"/>
      <c r="H55" s="43"/>
      <c r="I55" s="43"/>
      <c r="J55" s="43"/>
      <c r="K55" s="43"/>
      <c r="L55" s="43"/>
      <c r="M55" s="43"/>
      <c r="N55" s="43"/>
      <c r="O55" s="43"/>
      <c r="P55" s="43"/>
    </row>
    <row r="56" spans="1:16" s="30" customFormat="1" x14ac:dyDescent="0.25">
      <c r="A56" s="12"/>
      <c r="D56" s="4"/>
      <c r="E56" s="14"/>
      <c r="G56" s="42"/>
      <c r="H56" s="43"/>
      <c r="I56" s="43"/>
      <c r="J56" s="43"/>
      <c r="K56" s="43"/>
      <c r="L56" s="43"/>
      <c r="M56" s="43"/>
      <c r="N56" s="43"/>
      <c r="O56" s="43"/>
      <c r="P56" s="43"/>
    </row>
    <row r="57" spans="1:16" s="30" customFormat="1" x14ac:dyDescent="0.25">
      <c r="A57" s="12"/>
      <c r="D57" s="4"/>
      <c r="E57" s="60"/>
      <c r="G57" s="42"/>
      <c r="H57" s="43"/>
      <c r="I57" s="43"/>
      <c r="J57" s="43"/>
      <c r="K57" s="43"/>
      <c r="L57" s="43"/>
      <c r="M57" s="43"/>
      <c r="N57" s="43"/>
      <c r="O57" s="43"/>
      <c r="P57" s="43"/>
    </row>
    <row r="58" spans="1:16" s="30" customFormat="1" x14ac:dyDescent="0.25">
      <c r="A58" s="12"/>
      <c r="D58" s="4"/>
      <c r="E58" s="61"/>
      <c r="G58" s="42"/>
      <c r="H58" s="43"/>
      <c r="I58" s="43"/>
      <c r="J58" s="43"/>
      <c r="K58" s="43"/>
      <c r="L58" s="43"/>
      <c r="M58" s="43"/>
      <c r="N58" s="43"/>
      <c r="O58" s="43"/>
      <c r="P58" s="43"/>
    </row>
    <row r="59" spans="1:16" s="30" customFormat="1" x14ac:dyDescent="0.25">
      <c r="A59" s="4"/>
      <c r="D59" s="4"/>
      <c r="E59" s="62"/>
      <c r="G59" s="42"/>
      <c r="H59" s="43"/>
      <c r="I59" s="43"/>
      <c r="J59" s="43"/>
      <c r="K59" s="43"/>
      <c r="L59" s="43"/>
      <c r="M59" s="43"/>
      <c r="N59" s="43"/>
      <c r="O59" s="43"/>
      <c r="P59" s="43"/>
    </row>
    <row r="60" spans="1:16" ht="18" x14ac:dyDescent="0.25">
      <c r="A60" s="28"/>
      <c r="G60" s="14"/>
      <c r="H60" s="38"/>
      <c r="I60" s="38"/>
      <c r="J60" s="38"/>
      <c r="K60" s="38"/>
      <c r="L60" s="38"/>
      <c r="M60" s="38"/>
      <c r="N60" s="38"/>
      <c r="O60" s="38"/>
    </row>
    <row r="61" spans="1:16" x14ac:dyDescent="0.25">
      <c r="A61" s="30"/>
      <c r="H61" s="38"/>
      <c r="I61" s="38"/>
      <c r="J61" s="38"/>
      <c r="K61" s="38"/>
      <c r="L61" s="38"/>
      <c r="M61" s="38"/>
      <c r="N61" s="38"/>
      <c r="O61" s="38"/>
    </row>
    <row r="62" spans="1:16" ht="12.75" customHeight="1" x14ac:dyDescent="0.25">
      <c r="A62" s="12"/>
      <c r="H62" s="38"/>
      <c r="I62" s="38"/>
      <c r="J62" s="38"/>
      <c r="K62" s="38"/>
      <c r="L62" s="38"/>
      <c r="M62" s="38"/>
      <c r="N62" s="38"/>
      <c r="O62" s="38"/>
    </row>
    <row r="63" spans="1:16" ht="12.75" customHeight="1" x14ac:dyDescent="0.25">
      <c r="A63" s="12"/>
      <c r="E63" s="57"/>
      <c r="H63" s="38"/>
      <c r="I63" s="38"/>
      <c r="J63" s="38"/>
      <c r="K63" s="38"/>
      <c r="L63" s="38"/>
      <c r="M63" s="38"/>
      <c r="N63" s="38"/>
      <c r="O63" s="38"/>
    </row>
    <row r="64" spans="1:16" ht="12.75" customHeight="1" x14ac:dyDescent="0.25">
      <c r="A64" s="12"/>
      <c r="E64" s="63"/>
      <c r="F64" s="12"/>
      <c r="H64" s="38"/>
      <c r="I64" s="38"/>
      <c r="J64" s="38"/>
      <c r="K64" s="38"/>
      <c r="L64" s="38"/>
      <c r="M64" s="38"/>
      <c r="N64" s="38"/>
      <c r="O64" s="38"/>
    </row>
    <row r="65" spans="1:15" ht="12.75" customHeight="1" x14ac:dyDescent="0.25">
      <c r="A65" s="30"/>
      <c r="E65" s="64"/>
      <c r="H65" s="38"/>
      <c r="I65" s="38"/>
      <c r="J65" s="38"/>
      <c r="K65" s="38"/>
      <c r="L65" s="38"/>
      <c r="M65" s="38"/>
      <c r="N65" s="38"/>
      <c r="O65" s="38"/>
    </row>
    <row r="66" spans="1:15" ht="12.75" customHeight="1" x14ac:dyDescent="0.25">
      <c r="A66" s="28"/>
      <c r="E66" s="64"/>
      <c r="H66" s="42"/>
      <c r="I66" s="42"/>
      <c r="J66" s="42"/>
      <c r="K66" s="42"/>
      <c r="L66" s="42"/>
      <c r="M66" s="42"/>
      <c r="N66" s="42"/>
      <c r="O66" s="42"/>
    </row>
    <row r="67" spans="1:15" ht="12.75" customHeight="1" x14ac:dyDescent="0.25">
      <c r="A67" s="30"/>
      <c r="H67" s="38"/>
      <c r="I67" s="38"/>
      <c r="J67" s="38"/>
      <c r="K67" s="38"/>
      <c r="L67" s="38"/>
      <c r="M67" s="38"/>
      <c r="N67" s="38"/>
      <c r="O67" s="38"/>
    </row>
    <row r="68" spans="1:15" x14ac:dyDescent="0.25">
      <c r="A68" s="12"/>
      <c r="H68" s="38"/>
      <c r="I68" s="38"/>
      <c r="J68" s="38"/>
      <c r="K68" s="38"/>
      <c r="L68" s="38"/>
      <c r="M68" s="38"/>
      <c r="N68" s="38"/>
      <c r="O68" s="38"/>
    </row>
    <row r="69" spans="1:15" ht="12.75" customHeight="1" x14ac:dyDescent="0.25">
      <c r="A69" s="12"/>
      <c r="E69" s="14"/>
      <c r="H69" s="38"/>
      <c r="I69" s="38"/>
      <c r="J69" s="38"/>
      <c r="K69" s="38"/>
      <c r="L69" s="38"/>
      <c r="M69" s="38"/>
      <c r="N69" s="38"/>
      <c r="O69" s="38"/>
    </row>
    <row r="70" spans="1:15" ht="12.75" customHeight="1" x14ac:dyDescent="0.25">
      <c r="A70" s="12"/>
      <c r="E70" s="63"/>
      <c r="H70" s="38"/>
      <c r="I70" s="38"/>
      <c r="J70" s="38"/>
      <c r="K70" s="38"/>
      <c r="L70" s="38"/>
      <c r="M70" s="38"/>
      <c r="N70" s="38"/>
      <c r="O70" s="38"/>
    </row>
    <row r="71" spans="1:15" ht="12.75" customHeight="1" x14ac:dyDescent="0.25">
      <c r="A71" s="12"/>
      <c r="E71" s="65"/>
      <c r="H71" s="38"/>
      <c r="I71" s="38"/>
      <c r="J71" s="38"/>
      <c r="K71" s="38"/>
      <c r="L71" s="38"/>
      <c r="M71" s="38"/>
      <c r="N71" s="38"/>
      <c r="O71" s="38"/>
    </row>
    <row r="72" spans="1:15" ht="12.75" customHeight="1" x14ac:dyDescent="0.25">
      <c r="A72" s="12"/>
      <c r="E72" s="64"/>
      <c r="H72" s="38"/>
      <c r="I72" s="38"/>
      <c r="J72" s="38"/>
      <c r="K72" s="38"/>
      <c r="L72" s="38"/>
      <c r="M72" s="38"/>
      <c r="N72" s="38"/>
      <c r="O72" s="38"/>
    </row>
    <row r="73" spans="1:15" ht="12.75" customHeight="1" x14ac:dyDescent="0.25">
      <c r="A73" s="30"/>
      <c r="E73" s="64"/>
      <c r="H73" s="65"/>
      <c r="I73" s="65"/>
      <c r="J73" s="65"/>
      <c r="K73" s="65"/>
      <c r="L73" s="65"/>
      <c r="M73" s="65"/>
      <c r="N73" s="65"/>
      <c r="O73" s="65"/>
    </row>
    <row r="74" spans="1:15" ht="12.75" customHeight="1" x14ac:dyDescent="0.25">
      <c r="A74" s="30"/>
      <c r="E74" s="64"/>
      <c r="H74" s="42"/>
      <c r="I74" s="42"/>
      <c r="J74" s="42"/>
      <c r="K74" s="42"/>
      <c r="L74" s="42"/>
      <c r="M74" s="42"/>
      <c r="N74" s="42"/>
      <c r="O74" s="42"/>
    </row>
    <row r="75" spans="1:15" ht="12.75" customHeight="1" x14ac:dyDescent="0.25">
      <c r="A75" s="30"/>
      <c r="E75" s="64"/>
      <c r="H75" s="42"/>
      <c r="J75" s="42"/>
      <c r="K75" s="42"/>
      <c r="L75" s="42"/>
      <c r="M75" s="42"/>
      <c r="N75" s="42"/>
      <c r="O75" s="42"/>
    </row>
    <row r="76" spans="1:15" x14ac:dyDescent="0.25">
      <c r="B76" s="16"/>
      <c r="H76" s="38"/>
      <c r="I76" s="38"/>
      <c r="J76" s="38"/>
      <c r="K76" s="38"/>
      <c r="L76" s="38"/>
      <c r="M76" s="38"/>
      <c r="N76" s="38"/>
      <c r="O76" s="38"/>
    </row>
    <row r="77" spans="1:15" x14ac:dyDescent="0.25">
      <c r="B77" s="12"/>
      <c r="C77" s="16"/>
      <c r="D77" s="16"/>
      <c r="E77" s="16"/>
      <c r="G77" s="38"/>
      <c r="H77" s="14"/>
      <c r="I77" s="14"/>
      <c r="J77" s="14"/>
      <c r="K77" s="14"/>
      <c r="L77" s="14"/>
      <c r="M77" s="14"/>
      <c r="N77" s="14"/>
      <c r="O77" s="14"/>
    </row>
    <row r="78" spans="1:15" x14ac:dyDescent="0.25">
      <c r="A78" s="30"/>
      <c r="C78" s="12"/>
      <c r="D78" s="12"/>
      <c r="E78" s="12"/>
      <c r="G78" s="38"/>
      <c r="H78" s="14"/>
      <c r="I78" s="14"/>
      <c r="J78" s="14"/>
      <c r="K78" s="14"/>
      <c r="L78" s="14"/>
      <c r="M78" s="14"/>
      <c r="N78" s="14"/>
      <c r="O78" s="14"/>
    </row>
    <row r="79" spans="1:15" x14ac:dyDescent="0.25">
      <c r="G79" s="38"/>
      <c r="H79" s="42"/>
      <c r="I79" s="42"/>
      <c r="J79" s="42"/>
      <c r="K79" s="42"/>
      <c r="L79" s="42"/>
      <c r="M79" s="42"/>
      <c r="N79" s="42"/>
      <c r="O79" s="42"/>
    </row>
    <row r="80" spans="1:15" x14ac:dyDescent="0.25">
      <c r="A80" s="66"/>
      <c r="G80" s="38"/>
      <c r="H80" s="14"/>
      <c r="I80" s="14"/>
      <c r="J80" s="14"/>
      <c r="K80" s="14"/>
      <c r="L80" s="14"/>
      <c r="M80" s="14"/>
      <c r="N80" s="14"/>
      <c r="O80" s="14"/>
    </row>
    <row r="81" spans="1:15" s="30" customFormat="1" x14ac:dyDescent="0.25">
      <c r="A81" s="4"/>
      <c r="G81" s="43"/>
      <c r="H81" s="42"/>
      <c r="I81" s="42"/>
      <c r="J81" s="42"/>
      <c r="K81" s="42"/>
      <c r="L81" s="42"/>
      <c r="M81" s="42"/>
      <c r="N81" s="42"/>
      <c r="O81" s="42"/>
    </row>
    <row r="82" spans="1:15" ht="18" x14ac:dyDescent="0.25">
      <c r="A82" s="28"/>
      <c r="H82" s="14"/>
      <c r="I82" s="14"/>
      <c r="J82" s="14"/>
      <c r="K82" s="14"/>
      <c r="L82" s="14"/>
      <c r="M82" s="14"/>
      <c r="N82" s="14"/>
      <c r="O82" s="14"/>
    </row>
    <row r="83" spans="1:15" x14ac:dyDescent="0.25">
      <c r="A83" s="12"/>
      <c r="H83" s="38"/>
      <c r="I83" s="38"/>
      <c r="J83" s="38"/>
      <c r="K83" s="38"/>
      <c r="L83" s="38"/>
      <c r="M83" s="38"/>
      <c r="N83" s="38"/>
      <c r="O83" s="38"/>
    </row>
    <row r="84" spans="1:15" x14ac:dyDescent="0.25">
      <c r="B84" s="16"/>
      <c r="H84" s="38"/>
      <c r="I84" s="38"/>
      <c r="J84" s="38"/>
      <c r="K84" s="38"/>
      <c r="L84" s="38"/>
      <c r="M84" s="38"/>
      <c r="N84" s="38"/>
      <c r="O84" s="42"/>
    </row>
    <row r="85" spans="1:15" x14ac:dyDescent="0.25">
      <c r="B85" s="38"/>
      <c r="C85" s="16"/>
      <c r="D85" s="16"/>
      <c r="E85" s="16"/>
      <c r="G85" s="14"/>
      <c r="H85" s="14"/>
      <c r="I85" s="14"/>
      <c r="J85" s="14"/>
      <c r="K85" s="14"/>
      <c r="L85" s="14"/>
      <c r="M85" s="14"/>
      <c r="N85" s="14"/>
      <c r="O85" s="14"/>
    </row>
    <row r="86" spans="1:15" x14ac:dyDescent="0.25">
      <c r="B86" s="38"/>
      <c r="C86" s="38"/>
      <c r="D86" s="38"/>
      <c r="E86" s="38"/>
      <c r="G86" s="14"/>
      <c r="H86" s="14"/>
      <c r="I86" s="14"/>
      <c r="J86" s="14"/>
      <c r="K86" s="14"/>
      <c r="L86" s="14"/>
      <c r="M86" s="14"/>
      <c r="N86" s="14"/>
      <c r="O86" s="14"/>
    </row>
    <row r="87" spans="1:15" x14ac:dyDescent="0.25">
      <c r="B87" s="38"/>
      <c r="C87" s="38"/>
      <c r="D87" s="38"/>
      <c r="E87" s="38"/>
      <c r="G87" s="14"/>
      <c r="H87" s="14"/>
      <c r="I87" s="14"/>
      <c r="J87" s="14"/>
      <c r="K87" s="14"/>
      <c r="L87" s="14"/>
      <c r="M87" s="14"/>
      <c r="N87" s="14"/>
      <c r="O87" s="14"/>
    </row>
    <row r="88" spans="1:15" x14ac:dyDescent="0.25">
      <c r="B88" s="16"/>
      <c r="C88" s="38"/>
      <c r="D88" s="38"/>
      <c r="E88" s="38"/>
      <c r="G88" s="14"/>
      <c r="H88" s="14"/>
      <c r="I88" s="14"/>
      <c r="J88" s="14"/>
      <c r="K88" s="14"/>
      <c r="L88" s="14"/>
      <c r="M88" s="14"/>
      <c r="N88" s="14"/>
      <c r="O88" s="14"/>
    </row>
    <row r="89" spans="1:15" x14ac:dyDescent="0.25">
      <c r="B89" s="38"/>
      <c r="C89" s="16"/>
      <c r="D89" s="16"/>
      <c r="E89" s="16"/>
      <c r="G89" s="14"/>
      <c r="H89" s="14"/>
      <c r="I89" s="14"/>
      <c r="J89" s="14"/>
      <c r="K89" s="14"/>
      <c r="L89" s="14"/>
      <c r="M89" s="14"/>
      <c r="N89" s="14"/>
      <c r="O89" s="14"/>
    </row>
    <row r="90" spans="1:15" x14ac:dyDescent="0.25">
      <c r="B90" s="38"/>
      <c r="C90" s="38"/>
      <c r="D90" s="38"/>
      <c r="E90" s="38"/>
      <c r="G90" s="14"/>
      <c r="H90" s="14"/>
      <c r="I90" s="14"/>
      <c r="J90" s="14"/>
      <c r="K90" s="14"/>
      <c r="L90" s="14"/>
      <c r="M90" s="14"/>
      <c r="N90" s="14"/>
      <c r="O90" s="14"/>
    </row>
    <row r="91" spans="1:15" x14ac:dyDescent="0.25">
      <c r="B91" s="38"/>
      <c r="C91" s="38"/>
      <c r="D91" s="38"/>
      <c r="E91" s="38"/>
      <c r="G91" s="14"/>
      <c r="H91" s="14"/>
      <c r="I91" s="14"/>
      <c r="J91" s="14"/>
      <c r="K91" s="14"/>
      <c r="L91" s="14"/>
      <c r="M91" s="14"/>
      <c r="N91" s="14"/>
      <c r="O91" s="14"/>
    </row>
    <row r="92" spans="1:15" x14ac:dyDescent="0.25">
      <c r="B92" s="38"/>
      <c r="C92" s="38"/>
      <c r="D92" s="38"/>
      <c r="E92" s="38"/>
      <c r="G92" s="14"/>
      <c r="H92" s="14"/>
      <c r="I92" s="14"/>
      <c r="J92" s="14"/>
      <c r="K92" s="14"/>
      <c r="L92" s="14"/>
      <c r="M92" s="14"/>
      <c r="N92" s="14"/>
      <c r="O92" s="14"/>
    </row>
    <row r="93" spans="1:15" x14ac:dyDescent="0.25">
      <c r="B93" s="16"/>
      <c r="C93" s="38"/>
      <c r="D93" s="38"/>
      <c r="E93" s="38"/>
      <c r="G93" s="14"/>
      <c r="H93" s="14"/>
      <c r="I93" s="14"/>
      <c r="J93" s="14"/>
      <c r="K93" s="14"/>
      <c r="L93" s="14"/>
      <c r="M93" s="14"/>
      <c r="N93" s="14"/>
      <c r="O93" s="14"/>
    </row>
    <row r="94" spans="1:15" x14ac:dyDescent="0.25">
      <c r="B94" s="38"/>
      <c r="C94" s="16"/>
      <c r="D94" s="16"/>
      <c r="E94" s="16"/>
      <c r="G94" s="14"/>
      <c r="H94" s="14"/>
      <c r="I94" s="14"/>
      <c r="J94" s="14"/>
      <c r="K94" s="14"/>
      <c r="L94" s="14"/>
      <c r="M94" s="14"/>
      <c r="N94" s="14"/>
      <c r="O94" s="14"/>
    </row>
    <row r="95" spans="1:15" x14ac:dyDescent="0.25">
      <c r="B95" s="38"/>
      <c r="C95" s="38"/>
      <c r="D95" s="38"/>
      <c r="E95" s="38"/>
      <c r="G95" s="14"/>
      <c r="H95" s="14"/>
      <c r="I95" s="14"/>
      <c r="J95" s="14"/>
      <c r="K95" s="14"/>
      <c r="L95" s="14"/>
      <c r="M95" s="14"/>
      <c r="N95" s="14"/>
      <c r="O95" s="14"/>
    </row>
    <row r="96" spans="1:15" x14ac:dyDescent="0.25">
      <c r="A96" s="30"/>
      <c r="B96" s="43"/>
      <c r="C96" s="38"/>
      <c r="D96" s="38"/>
      <c r="E96" s="38"/>
      <c r="F96" s="6"/>
      <c r="G96" s="57"/>
      <c r="H96" s="57"/>
      <c r="I96" s="57"/>
      <c r="J96" s="57"/>
      <c r="K96" s="57"/>
      <c r="L96" s="57"/>
      <c r="M96" s="57"/>
      <c r="N96" s="57"/>
      <c r="O96" s="57"/>
    </row>
    <row r="97" spans="1:15" s="30" customFormat="1" ht="12.75" x14ac:dyDescent="0.2">
      <c r="B97" s="43"/>
      <c r="C97" s="43"/>
      <c r="D97" s="43"/>
      <c r="E97" s="43"/>
      <c r="G97" s="42"/>
      <c r="H97" s="42"/>
      <c r="I97" s="42"/>
      <c r="J97" s="42"/>
      <c r="K97" s="42"/>
      <c r="L97" s="42"/>
      <c r="M97" s="42"/>
      <c r="N97" s="42"/>
      <c r="O97" s="42"/>
    </row>
    <row r="98" spans="1:15" s="30" customFormat="1" ht="12.75" x14ac:dyDescent="0.2">
      <c r="B98" s="43"/>
      <c r="C98" s="43"/>
      <c r="D98" s="43"/>
      <c r="E98" s="43"/>
      <c r="G98" s="42"/>
      <c r="H98" s="42"/>
      <c r="I98" s="42"/>
      <c r="J98" s="42"/>
      <c r="K98" s="42"/>
      <c r="L98" s="42"/>
      <c r="M98" s="42"/>
      <c r="N98" s="42"/>
      <c r="O98" s="42"/>
    </row>
    <row r="99" spans="1:15" s="30" customFormat="1" ht="12.75" x14ac:dyDescent="0.2">
      <c r="A99" s="12"/>
      <c r="B99" s="16"/>
      <c r="C99" s="43"/>
      <c r="D99" s="43"/>
      <c r="E99" s="43"/>
      <c r="G99" s="43"/>
      <c r="H99" s="43"/>
      <c r="I99" s="43"/>
      <c r="J99" s="43"/>
      <c r="K99" s="43"/>
      <c r="L99" s="43"/>
      <c r="M99" s="43"/>
      <c r="N99" s="43"/>
      <c r="O99" s="43"/>
    </row>
    <row r="100" spans="1:15" s="30" customFormat="1" ht="12.75" x14ac:dyDescent="0.2">
      <c r="B100" s="15"/>
      <c r="C100" s="43"/>
      <c r="D100" s="12"/>
      <c r="E100" s="12"/>
    </row>
    <row r="101" spans="1:15" s="30" customFormat="1" ht="12.75" x14ac:dyDescent="0.2">
      <c r="B101" s="15"/>
      <c r="C101" s="15"/>
      <c r="D101" s="57"/>
      <c r="E101" s="67"/>
      <c r="F101" s="68"/>
      <c r="G101" s="42"/>
      <c r="H101" s="57"/>
      <c r="I101" s="57"/>
      <c r="J101" s="57"/>
      <c r="K101" s="57"/>
      <c r="L101" s="57"/>
      <c r="M101" s="57"/>
      <c r="N101" s="57"/>
      <c r="O101" s="57"/>
    </row>
    <row r="102" spans="1:15" s="30" customFormat="1" x14ac:dyDescent="0.25">
      <c r="B102" s="15"/>
      <c r="C102" s="15"/>
      <c r="D102" s="57"/>
      <c r="E102" s="67"/>
      <c r="F102" s="68"/>
      <c r="G102" s="42"/>
      <c r="H102" s="14"/>
      <c r="I102" s="57"/>
      <c r="J102" s="57"/>
      <c r="K102" s="57"/>
      <c r="L102" s="57"/>
      <c r="M102" s="57"/>
      <c r="N102" s="57"/>
      <c r="O102" s="57"/>
    </row>
    <row r="103" spans="1:15" s="30" customFormat="1" x14ac:dyDescent="0.25">
      <c r="B103" s="15"/>
      <c r="C103" s="15"/>
      <c r="D103" s="57"/>
      <c r="E103" s="67"/>
      <c r="F103" s="68"/>
      <c r="G103" s="42"/>
      <c r="H103" s="14"/>
      <c r="I103" s="57"/>
      <c r="J103" s="57"/>
      <c r="K103" s="57"/>
      <c r="L103" s="57"/>
      <c r="M103" s="57"/>
      <c r="N103" s="57"/>
      <c r="O103" s="57"/>
    </row>
    <row r="104" spans="1:15" s="30" customFormat="1" x14ac:dyDescent="0.25">
      <c r="B104" s="15"/>
      <c r="C104" s="15"/>
      <c r="D104" s="57"/>
      <c r="E104" s="67"/>
      <c r="F104" s="68"/>
      <c r="G104" s="42"/>
      <c r="H104" s="14"/>
      <c r="I104" s="57"/>
      <c r="J104" s="57"/>
      <c r="K104" s="57"/>
      <c r="L104" s="57"/>
      <c r="M104" s="57"/>
      <c r="N104" s="57"/>
      <c r="O104" s="57"/>
    </row>
    <row r="105" spans="1:15" s="30" customFormat="1" x14ac:dyDescent="0.25">
      <c r="B105" s="15"/>
      <c r="C105" s="15"/>
      <c r="D105" s="57"/>
      <c r="E105" s="67"/>
      <c r="F105" s="68"/>
      <c r="G105" s="42"/>
      <c r="H105" s="14"/>
      <c r="I105" s="57"/>
      <c r="J105" s="57"/>
      <c r="K105" s="57"/>
      <c r="L105" s="57"/>
      <c r="M105" s="57"/>
      <c r="N105" s="57"/>
      <c r="O105" s="57"/>
    </row>
    <row r="106" spans="1:15" s="30" customFormat="1" x14ac:dyDescent="0.25">
      <c r="B106" s="15"/>
      <c r="C106" s="15"/>
      <c r="D106" s="57"/>
      <c r="E106" s="67"/>
      <c r="G106" s="42"/>
      <c r="H106" s="14"/>
      <c r="I106" s="57"/>
      <c r="J106" s="57"/>
      <c r="K106" s="57"/>
      <c r="L106" s="57"/>
      <c r="M106" s="57"/>
      <c r="N106" s="57"/>
      <c r="O106" s="57"/>
    </row>
    <row r="107" spans="1:15" s="30" customFormat="1" x14ac:dyDescent="0.25">
      <c r="B107" s="15"/>
      <c r="C107" s="15"/>
      <c r="D107" s="57"/>
      <c r="E107" s="67"/>
      <c r="G107" s="42"/>
      <c r="H107" s="14"/>
      <c r="I107" s="57"/>
      <c r="J107" s="57"/>
      <c r="K107" s="57"/>
      <c r="L107" s="57"/>
      <c r="M107" s="57"/>
      <c r="N107" s="57"/>
      <c r="O107" s="57"/>
    </row>
    <row r="108" spans="1:15" s="30" customFormat="1" x14ac:dyDescent="0.25">
      <c r="B108" s="43"/>
      <c r="C108" s="15"/>
      <c r="D108" s="57"/>
      <c r="E108" s="67"/>
      <c r="G108" s="42"/>
      <c r="H108" s="14"/>
      <c r="I108" s="57"/>
      <c r="J108" s="57"/>
      <c r="K108" s="57"/>
      <c r="L108" s="57"/>
      <c r="M108" s="57"/>
      <c r="N108" s="57"/>
      <c r="O108" s="57"/>
    </row>
    <row r="109" spans="1:15" s="30" customFormat="1" ht="12.75" x14ac:dyDescent="0.2">
      <c r="A109" s="12"/>
      <c r="B109" s="43"/>
      <c r="C109" s="43"/>
      <c r="E109" s="43"/>
      <c r="G109" s="42"/>
      <c r="H109" s="9"/>
      <c r="I109" s="42"/>
      <c r="J109" s="42"/>
      <c r="K109" s="42"/>
      <c r="L109" s="42"/>
      <c r="M109" s="42"/>
      <c r="N109" s="42"/>
      <c r="O109" s="42"/>
    </row>
    <row r="110" spans="1:15" s="30" customFormat="1" ht="12.75" x14ac:dyDescent="0.2">
      <c r="B110" s="43"/>
      <c r="C110" s="43"/>
      <c r="D110" s="43"/>
      <c r="E110" s="43"/>
      <c r="G110" s="42"/>
      <c r="H110" s="42"/>
      <c r="I110" s="42"/>
      <c r="J110" s="42"/>
      <c r="K110" s="42"/>
      <c r="L110" s="42"/>
      <c r="M110" s="42"/>
      <c r="N110" s="42"/>
      <c r="O110" s="42"/>
    </row>
    <row r="111" spans="1:15" s="30" customFormat="1" ht="12.75" x14ac:dyDescent="0.2">
      <c r="B111" s="43"/>
      <c r="C111" s="43"/>
      <c r="D111" s="43"/>
      <c r="E111" s="43"/>
      <c r="G111" s="42"/>
      <c r="H111" s="42"/>
      <c r="I111" s="42"/>
      <c r="J111" s="42"/>
      <c r="K111" s="42"/>
      <c r="L111" s="42"/>
      <c r="M111" s="42"/>
      <c r="N111" s="42"/>
      <c r="O111" s="42"/>
    </row>
    <row r="112" spans="1:15" s="30" customFormat="1" ht="12.75" x14ac:dyDescent="0.2">
      <c r="A112" s="12"/>
      <c r="C112" s="43"/>
      <c r="D112" s="43"/>
      <c r="E112" s="43"/>
      <c r="G112" s="43"/>
      <c r="H112" s="43"/>
      <c r="I112" s="43"/>
      <c r="J112" s="43"/>
      <c r="K112" s="43"/>
      <c r="L112" s="43"/>
      <c r="M112" s="43"/>
      <c r="N112" s="43"/>
      <c r="O112" s="43"/>
    </row>
    <row r="113" spans="1:16" x14ac:dyDescent="0.25">
      <c r="A113" s="12"/>
      <c r="F113" s="38"/>
      <c r="G113" s="14"/>
      <c r="H113" s="14"/>
      <c r="I113" s="14"/>
      <c r="J113" s="14"/>
      <c r="K113" s="14"/>
      <c r="L113" s="14"/>
      <c r="M113" s="14"/>
      <c r="N113" s="14"/>
      <c r="O113" s="14"/>
      <c r="P113" s="38"/>
    </row>
    <row r="114" spans="1:16" hidden="1" x14ac:dyDescent="0.25">
      <c r="A114" s="12"/>
      <c r="E114" s="12"/>
      <c r="G114" s="14"/>
      <c r="H114" s="14"/>
      <c r="I114" s="14"/>
      <c r="J114" s="14"/>
      <c r="K114" s="14"/>
      <c r="L114" s="14"/>
      <c r="M114" s="14"/>
      <c r="N114" s="14"/>
      <c r="O114" s="14"/>
    </row>
    <row r="115" spans="1:16" hidden="1" x14ac:dyDescent="0.25">
      <c r="A115" s="12"/>
      <c r="G115" s="14"/>
      <c r="H115" s="14"/>
      <c r="I115" s="14"/>
      <c r="J115" s="14"/>
      <c r="K115" s="14"/>
      <c r="L115" s="14"/>
      <c r="M115" s="14"/>
      <c r="N115" s="14"/>
      <c r="O115" s="14"/>
      <c r="P115" s="14"/>
    </row>
    <row r="116" spans="1:16" hidden="1" x14ac:dyDescent="0.25">
      <c r="A116" s="12"/>
      <c r="G116" s="14"/>
      <c r="H116" s="14"/>
      <c r="I116" s="14"/>
      <c r="J116" s="14"/>
      <c r="K116" s="14"/>
      <c r="L116" s="14"/>
      <c r="M116" s="14"/>
      <c r="N116" s="14"/>
      <c r="O116" s="14"/>
      <c r="P116" s="14"/>
    </row>
    <row r="117" spans="1:16" hidden="1" x14ac:dyDescent="0.25">
      <c r="A117" s="12"/>
      <c r="G117" s="14"/>
      <c r="H117" s="14"/>
      <c r="I117" s="14"/>
      <c r="J117" s="14"/>
      <c r="K117" s="14"/>
      <c r="L117" s="14"/>
      <c r="M117" s="14"/>
      <c r="N117" s="14"/>
      <c r="O117" s="14"/>
      <c r="P117" s="14"/>
    </row>
    <row r="118" spans="1:16" hidden="1" x14ac:dyDescent="0.25">
      <c r="A118" s="12"/>
      <c r="B118" s="62"/>
      <c r="G118" s="14"/>
      <c r="H118" s="14"/>
      <c r="I118" s="14"/>
      <c r="J118" s="14"/>
      <c r="K118" s="14"/>
      <c r="L118" s="14"/>
      <c r="M118" s="14"/>
      <c r="N118" s="14"/>
      <c r="O118" s="14"/>
      <c r="P118" s="14"/>
    </row>
    <row r="119" spans="1:16" x14ac:dyDescent="0.25">
      <c r="A119" s="12"/>
      <c r="B119" s="69"/>
      <c r="C119" s="70"/>
      <c r="D119" s="71"/>
      <c r="G119" s="14"/>
      <c r="H119" s="14"/>
      <c r="I119" s="14"/>
      <c r="J119" s="14"/>
      <c r="K119" s="14"/>
      <c r="L119" s="14"/>
      <c r="M119" s="14"/>
      <c r="N119" s="14"/>
      <c r="O119" s="14"/>
      <c r="P119" s="14"/>
    </row>
    <row r="120" spans="1:16" x14ac:dyDescent="0.25">
      <c r="A120" s="12"/>
      <c r="C120" s="70"/>
      <c r="D120" s="71"/>
      <c r="G120" s="14"/>
      <c r="H120" s="14"/>
      <c r="I120" s="14"/>
      <c r="J120" s="14"/>
      <c r="K120" s="14"/>
      <c r="L120" s="14"/>
      <c r="M120" s="14"/>
      <c r="N120" s="14"/>
      <c r="O120" s="14"/>
      <c r="P120" s="14"/>
    </row>
    <row r="121" spans="1:16" x14ac:dyDescent="0.25">
      <c r="A121" s="66"/>
      <c r="G121" s="14"/>
      <c r="H121" s="14"/>
      <c r="I121" s="14"/>
      <c r="J121" s="14"/>
      <c r="K121" s="14"/>
      <c r="L121" s="14"/>
      <c r="M121" s="14"/>
      <c r="N121" s="14"/>
      <c r="O121" s="14"/>
      <c r="P121" s="14"/>
    </row>
    <row r="122" spans="1:16" s="30" customFormat="1" ht="12.75" x14ac:dyDescent="0.2">
      <c r="G122" s="42"/>
      <c r="H122" s="42"/>
      <c r="I122" s="42"/>
      <c r="J122" s="42"/>
      <c r="K122" s="42"/>
      <c r="L122" s="42"/>
      <c r="M122" s="42"/>
      <c r="N122" s="42"/>
      <c r="O122" s="42"/>
    </row>
    <row r="123" spans="1:16" s="30" customFormat="1" ht="12.75" x14ac:dyDescent="0.2">
      <c r="G123" s="42"/>
      <c r="H123" s="42"/>
      <c r="I123" s="42"/>
      <c r="J123" s="42"/>
      <c r="K123" s="42"/>
      <c r="L123" s="42"/>
      <c r="M123" s="42"/>
      <c r="N123" s="42"/>
      <c r="O123" s="42"/>
    </row>
    <row r="124" spans="1:16" s="30" customFormat="1" ht="12.75" x14ac:dyDescent="0.2">
      <c r="G124" s="42"/>
      <c r="H124" s="42"/>
      <c r="I124" s="42"/>
      <c r="J124" s="42"/>
      <c r="K124" s="42"/>
      <c r="L124" s="42"/>
      <c r="M124" s="42"/>
      <c r="N124" s="42"/>
      <c r="O124" s="42"/>
    </row>
    <row r="125" spans="1:16" s="30" customFormat="1" ht="12.75" x14ac:dyDescent="0.2">
      <c r="A125" s="12"/>
      <c r="G125" s="42"/>
      <c r="H125" s="42"/>
      <c r="I125" s="42"/>
      <c r="J125" s="42"/>
      <c r="K125" s="42"/>
      <c r="L125" s="42"/>
      <c r="M125" s="42"/>
      <c r="N125" s="42"/>
      <c r="O125" s="42"/>
    </row>
    <row r="126" spans="1:16" x14ac:dyDescent="0.25">
      <c r="A126" s="12"/>
      <c r="E126" s="14"/>
      <c r="F126" s="38"/>
      <c r="G126" s="14"/>
      <c r="H126" s="14"/>
      <c r="I126" s="14"/>
      <c r="J126" s="14"/>
      <c r="K126" s="14"/>
      <c r="L126" s="14"/>
      <c r="M126" s="14"/>
      <c r="N126" s="14"/>
      <c r="O126" s="14"/>
    </row>
    <row r="127" spans="1:16" x14ac:dyDescent="0.25">
      <c r="A127" s="12"/>
      <c r="F127" s="38"/>
      <c r="G127" s="14"/>
      <c r="H127" s="14"/>
      <c r="I127" s="14"/>
      <c r="J127" s="14"/>
      <c r="K127" s="14"/>
      <c r="L127" s="14"/>
      <c r="M127" s="14"/>
      <c r="N127" s="14"/>
      <c r="O127" s="14"/>
    </row>
    <row r="128" spans="1:16" x14ac:dyDescent="0.25">
      <c r="A128" s="30"/>
      <c r="F128" s="14"/>
      <c r="G128" s="14"/>
      <c r="H128" s="14"/>
      <c r="I128" s="14"/>
      <c r="J128" s="14"/>
      <c r="K128" s="14"/>
      <c r="L128" s="14"/>
      <c r="M128" s="14"/>
      <c r="N128" s="14"/>
      <c r="O128" s="14"/>
    </row>
    <row r="129" spans="1:19" s="30" customFormat="1" x14ac:dyDescent="0.25">
      <c r="A129" s="4"/>
      <c r="G129" s="42"/>
      <c r="H129" s="42"/>
      <c r="I129" s="42"/>
      <c r="J129" s="42"/>
      <c r="K129" s="42"/>
      <c r="L129" s="42"/>
      <c r="M129" s="42"/>
      <c r="N129" s="42"/>
      <c r="O129" s="42"/>
    </row>
    <row r="130" spans="1:19" x14ac:dyDescent="0.25">
      <c r="A130" s="12"/>
      <c r="G130" s="14"/>
      <c r="H130" s="14"/>
      <c r="I130" s="14"/>
      <c r="J130" s="14"/>
      <c r="K130" s="14"/>
      <c r="L130" s="14"/>
      <c r="M130" s="14"/>
      <c r="N130" s="14"/>
      <c r="O130" s="14"/>
    </row>
    <row r="131" spans="1:19" x14ac:dyDescent="0.25">
      <c r="G131" s="14"/>
      <c r="H131" s="14"/>
      <c r="I131" s="14"/>
      <c r="J131" s="14"/>
      <c r="K131" s="14"/>
      <c r="L131" s="14"/>
      <c r="M131" s="14"/>
      <c r="N131" s="14"/>
      <c r="O131" s="14"/>
    </row>
    <row r="132" spans="1:19" x14ac:dyDescent="0.25">
      <c r="E132" s="60"/>
      <c r="G132" s="14"/>
      <c r="H132" s="14"/>
      <c r="I132" s="14"/>
      <c r="J132" s="14"/>
      <c r="K132" s="14"/>
      <c r="L132" s="14"/>
      <c r="M132" s="14"/>
      <c r="N132" s="14"/>
      <c r="O132" s="14"/>
    </row>
    <row r="133" spans="1:19" x14ac:dyDescent="0.25">
      <c r="A133" s="30"/>
      <c r="C133" s="6"/>
      <c r="D133" s="40"/>
      <c r="G133" s="14"/>
      <c r="H133" s="14"/>
      <c r="I133" s="14"/>
      <c r="J133" s="14"/>
      <c r="K133" s="14"/>
      <c r="L133" s="14"/>
      <c r="M133" s="14"/>
      <c r="N133" s="14"/>
      <c r="O133" s="14"/>
    </row>
    <row r="134" spans="1:19" s="30" customFormat="1" ht="12.75" x14ac:dyDescent="0.2">
      <c r="G134" s="42"/>
      <c r="H134" s="42"/>
      <c r="I134" s="42"/>
      <c r="J134" s="42"/>
      <c r="K134" s="42"/>
      <c r="L134" s="42"/>
      <c r="M134" s="42"/>
      <c r="N134" s="42"/>
      <c r="O134" s="42"/>
    </row>
    <row r="135" spans="1:19" s="30" customFormat="1" ht="12.75" x14ac:dyDescent="0.2">
      <c r="G135" s="42"/>
      <c r="H135" s="42"/>
      <c r="I135" s="42"/>
      <c r="J135" s="42"/>
      <c r="K135" s="42"/>
      <c r="L135" s="42"/>
      <c r="M135" s="42"/>
      <c r="N135" s="42"/>
      <c r="O135" s="42"/>
    </row>
    <row r="136" spans="1:19" s="30" customFormat="1" x14ac:dyDescent="0.25">
      <c r="A136" s="4"/>
      <c r="G136" s="42"/>
      <c r="H136" s="42"/>
      <c r="I136" s="42"/>
      <c r="J136" s="42"/>
      <c r="K136" s="42"/>
      <c r="L136" s="42"/>
      <c r="M136" s="42"/>
      <c r="N136" s="42"/>
      <c r="O136" s="42"/>
      <c r="P136" s="43"/>
      <c r="Q136" s="43"/>
      <c r="R136" s="43"/>
      <c r="S136" s="43"/>
    </row>
    <row r="137" spans="1:19" ht="15.75" x14ac:dyDescent="0.25">
      <c r="A137" s="72"/>
      <c r="B137" s="73"/>
      <c r="G137" s="14"/>
      <c r="H137" s="14"/>
      <c r="I137" s="14"/>
      <c r="J137" s="14"/>
      <c r="K137" s="14"/>
      <c r="L137" s="14"/>
      <c r="M137" s="14"/>
      <c r="N137" s="14"/>
      <c r="O137" s="14"/>
    </row>
    <row r="138" spans="1:19" ht="24.95" customHeight="1" x14ac:dyDescent="0.25">
      <c r="C138" s="73"/>
      <c r="D138" s="74"/>
      <c r="E138" s="75"/>
      <c r="F138" s="76"/>
      <c r="G138" s="77"/>
      <c r="H138" s="78"/>
      <c r="I138" s="78"/>
      <c r="J138" s="78"/>
      <c r="K138" s="78"/>
      <c r="L138" s="78"/>
      <c r="M138" s="78"/>
      <c r="N138" s="78"/>
      <c r="O138" s="78"/>
    </row>
    <row r="140" spans="1:19" x14ac:dyDescent="0.25">
      <c r="A140" s="30"/>
    </row>
    <row r="141" spans="1:19" x14ac:dyDescent="0.25">
      <c r="G141" s="42"/>
      <c r="H141" s="42"/>
      <c r="I141" s="42"/>
      <c r="J141" s="42"/>
      <c r="K141" s="42"/>
      <c r="L141" s="42"/>
      <c r="M141" s="42"/>
      <c r="N141" s="42"/>
      <c r="O141" s="42"/>
    </row>
    <row r="142" spans="1:19" ht="15.75" x14ac:dyDescent="0.25">
      <c r="A142" s="72"/>
      <c r="B142" s="72"/>
    </row>
    <row r="143" spans="1:19" ht="24.75" customHeight="1" x14ac:dyDescent="0.25">
      <c r="C143" s="72"/>
      <c r="D143" s="72"/>
      <c r="E143" s="79"/>
      <c r="H143" s="80"/>
    </row>
    <row r="145" spans="1:15" x14ac:dyDescent="0.25">
      <c r="A145" s="30"/>
    </row>
    <row r="146" spans="1:15" x14ac:dyDescent="0.25">
      <c r="H146" s="81"/>
      <c r="I146" s="81"/>
      <c r="J146" s="81"/>
      <c r="K146" s="81"/>
      <c r="L146" s="81"/>
      <c r="M146" s="81"/>
      <c r="N146" s="81"/>
      <c r="O146" s="81"/>
    </row>
    <row r="147" spans="1:15" ht="15.75" x14ac:dyDescent="0.25">
      <c r="A147" s="72"/>
    </row>
    <row r="148" spans="1:15" ht="24.75" customHeight="1" x14ac:dyDescent="0.25">
      <c r="E148" s="82"/>
    </row>
    <row r="150" spans="1:15" x14ac:dyDescent="0.25">
      <c r="A150" s="30"/>
    </row>
    <row r="151" spans="1:15" x14ac:dyDescent="0.25">
      <c r="A151" s="12"/>
      <c r="B151" s="12"/>
    </row>
    <row r="152" spans="1:15" x14ac:dyDescent="0.25">
      <c r="B152" s="4"/>
      <c r="C152" s="12"/>
      <c r="D152" s="12"/>
      <c r="E152" s="12"/>
    </row>
    <row r="153" spans="1:15" x14ac:dyDescent="0.25">
      <c r="B153" s="4"/>
      <c r="C153" s="4"/>
    </row>
    <row r="154" spans="1:15" x14ac:dyDescent="0.25">
      <c r="B154" s="4"/>
      <c r="C154" s="4"/>
    </row>
    <row r="155" spans="1:15" x14ac:dyDescent="0.25">
      <c r="B155" s="4"/>
      <c r="C155" s="4"/>
    </row>
    <row r="156" spans="1:15" x14ac:dyDescent="0.25">
      <c r="B156" s="4"/>
      <c r="C156" s="4"/>
    </row>
    <row r="157" spans="1:15" x14ac:dyDescent="0.25">
      <c r="B157" s="4"/>
      <c r="C157" s="4"/>
    </row>
    <row r="158" spans="1:15" x14ac:dyDescent="0.25">
      <c r="C158" s="4"/>
    </row>
  </sheetData>
  <sheetProtection algorithmName="SHA-512" hashValue="Aq5W1Fov3yVDWT+07lKUJD1YqrxU7cBCUa6nuHc+h4Cfnomj9dYvVh8JE82VvVvASUAeZqjGgDPDrgoQs1CtBQ==" saltValue="aFL3T5st0hCjqxBAkqvnMQ==" spinCount="100000" sheet="1" objects="1" scenarios="1"/>
  <mergeCells count="19">
    <mergeCell ref="A47:E47"/>
    <mergeCell ref="E13:E15"/>
    <mergeCell ref="B17:C17"/>
    <mergeCell ref="B18:C18"/>
    <mergeCell ref="B19:C19"/>
    <mergeCell ref="B20:C20"/>
    <mergeCell ref="B21:C21"/>
    <mergeCell ref="B23:C23"/>
    <mergeCell ref="A26:E26"/>
    <mergeCell ref="A32:E32"/>
    <mergeCell ref="A37:E37"/>
    <mergeCell ref="A42:E42"/>
    <mergeCell ref="A13:D13"/>
    <mergeCell ref="B11:E11"/>
    <mergeCell ref="B4:E4"/>
    <mergeCell ref="B6:E6"/>
    <mergeCell ref="B8:E8"/>
    <mergeCell ref="B9:E9"/>
    <mergeCell ref="B10:E10"/>
  </mergeCells>
  <conditionalFormatting sqref="A32:E32">
    <cfRule type="expression" dxfId="225" priority="1">
      <formula>A29="Niet van toepassing"</formula>
    </cfRule>
  </conditionalFormatting>
  <conditionalFormatting sqref="A37:E37">
    <cfRule type="expression" dxfId="224" priority="2">
      <formula>A35="Niet van toepassing"</formula>
    </cfRule>
  </conditionalFormatting>
  <conditionalFormatting sqref="B18:C18">
    <cfRule type="expression" dxfId="223" priority="6" stopIfTrue="1">
      <formula>$E$18="Productie elektriciteit is niet van toepassing!"</formula>
    </cfRule>
  </conditionalFormatting>
  <conditionalFormatting sqref="B19:C19">
    <cfRule type="expression" dxfId="222" priority="3" stopIfTrue="1">
      <formula>$A$19="Niet van toepassing"</formula>
    </cfRule>
    <cfRule type="expression" dxfId="221" priority="5" stopIfTrue="1">
      <formula>$A$19=""</formula>
    </cfRule>
  </conditionalFormatting>
  <dataValidations disablePrompts="1" count="3">
    <dataValidation type="whole" allowBlank="1" showInputMessage="1" showErrorMessage="1" error="U moet hier 1 of 2 invullen!" sqref="E59 JA59 SW59 ACS59 AMO59 AWK59 BGG59 BQC59 BZY59 CJU59 CTQ59 DDM59 DNI59 DXE59 EHA59 EQW59 FAS59 FKO59 FUK59 GEG59 GOC59 GXY59 HHU59 HRQ59 IBM59 ILI59 IVE59 JFA59 JOW59 JYS59 KIO59 KSK59 LCG59 LMC59 LVY59 MFU59 MPQ59 MZM59 NJI59 NTE59 ODA59 OMW59 OWS59 PGO59 PQK59 QAG59 QKC59 QTY59 RDU59 RNQ59 RXM59 SHI59 SRE59 TBA59 TKW59 TUS59 UEO59 UOK59 UYG59 VIC59 VRY59 WBU59 WLQ59 WVM59 E65595 JA65595 SW65595 ACS65595 AMO65595 AWK65595 BGG65595 BQC65595 BZY65595 CJU65595 CTQ65595 DDM65595 DNI65595 DXE65595 EHA65595 EQW65595 FAS65595 FKO65595 FUK65595 GEG65595 GOC65595 GXY65595 HHU65595 HRQ65595 IBM65595 ILI65595 IVE65595 JFA65595 JOW65595 JYS65595 KIO65595 KSK65595 LCG65595 LMC65595 LVY65595 MFU65595 MPQ65595 MZM65595 NJI65595 NTE65595 ODA65595 OMW65595 OWS65595 PGO65595 PQK65595 QAG65595 QKC65595 QTY65595 RDU65595 RNQ65595 RXM65595 SHI65595 SRE65595 TBA65595 TKW65595 TUS65595 UEO65595 UOK65595 UYG65595 VIC65595 VRY65595 WBU65595 WLQ65595 WVM65595 E131131 JA131131 SW131131 ACS131131 AMO131131 AWK131131 BGG131131 BQC131131 BZY131131 CJU131131 CTQ131131 DDM131131 DNI131131 DXE131131 EHA131131 EQW131131 FAS131131 FKO131131 FUK131131 GEG131131 GOC131131 GXY131131 HHU131131 HRQ131131 IBM131131 ILI131131 IVE131131 JFA131131 JOW131131 JYS131131 KIO131131 KSK131131 LCG131131 LMC131131 LVY131131 MFU131131 MPQ131131 MZM131131 NJI131131 NTE131131 ODA131131 OMW131131 OWS131131 PGO131131 PQK131131 QAG131131 QKC131131 QTY131131 RDU131131 RNQ131131 RXM131131 SHI131131 SRE131131 TBA131131 TKW131131 TUS131131 UEO131131 UOK131131 UYG131131 VIC131131 VRY131131 WBU131131 WLQ131131 WVM131131 E196667 JA196667 SW196667 ACS196667 AMO196667 AWK196667 BGG196667 BQC196667 BZY196667 CJU196667 CTQ196667 DDM196667 DNI196667 DXE196667 EHA196667 EQW196667 FAS196667 FKO196667 FUK196667 GEG196667 GOC196667 GXY196667 HHU196667 HRQ196667 IBM196667 ILI196667 IVE196667 JFA196667 JOW196667 JYS196667 KIO196667 KSK196667 LCG196667 LMC196667 LVY196667 MFU196667 MPQ196667 MZM196667 NJI196667 NTE196667 ODA196667 OMW196667 OWS196667 PGO196667 PQK196667 QAG196667 QKC196667 QTY196667 RDU196667 RNQ196667 RXM196667 SHI196667 SRE196667 TBA196667 TKW196667 TUS196667 UEO196667 UOK196667 UYG196667 VIC196667 VRY196667 WBU196667 WLQ196667 WVM196667 E262203 JA262203 SW262203 ACS262203 AMO262203 AWK262203 BGG262203 BQC262203 BZY262203 CJU262203 CTQ262203 DDM262203 DNI262203 DXE262203 EHA262203 EQW262203 FAS262203 FKO262203 FUK262203 GEG262203 GOC262203 GXY262203 HHU262203 HRQ262203 IBM262203 ILI262203 IVE262203 JFA262203 JOW262203 JYS262203 KIO262203 KSK262203 LCG262203 LMC262203 LVY262203 MFU262203 MPQ262203 MZM262203 NJI262203 NTE262203 ODA262203 OMW262203 OWS262203 PGO262203 PQK262203 QAG262203 QKC262203 QTY262203 RDU262203 RNQ262203 RXM262203 SHI262203 SRE262203 TBA262203 TKW262203 TUS262203 UEO262203 UOK262203 UYG262203 VIC262203 VRY262203 WBU262203 WLQ262203 WVM262203 E327739 JA327739 SW327739 ACS327739 AMO327739 AWK327739 BGG327739 BQC327739 BZY327739 CJU327739 CTQ327739 DDM327739 DNI327739 DXE327739 EHA327739 EQW327739 FAS327739 FKO327739 FUK327739 GEG327739 GOC327739 GXY327739 HHU327739 HRQ327739 IBM327739 ILI327739 IVE327739 JFA327739 JOW327739 JYS327739 KIO327739 KSK327739 LCG327739 LMC327739 LVY327739 MFU327739 MPQ327739 MZM327739 NJI327739 NTE327739 ODA327739 OMW327739 OWS327739 PGO327739 PQK327739 QAG327739 QKC327739 QTY327739 RDU327739 RNQ327739 RXM327739 SHI327739 SRE327739 TBA327739 TKW327739 TUS327739 UEO327739 UOK327739 UYG327739 VIC327739 VRY327739 WBU327739 WLQ327739 WVM327739 E393275 JA393275 SW393275 ACS393275 AMO393275 AWK393275 BGG393275 BQC393275 BZY393275 CJU393275 CTQ393275 DDM393275 DNI393275 DXE393275 EHA393275 EQW393275 FAS393275 FKO393275 FUK393275 GEG393275 GOC393275 GXY393275 HHU393275 HRQ393275 IBM393275 ILI393275 IVE393275 JFA393275 JOW393275 JYS393275 KIO393275 KSK393275 LCG393275 LMC393275 LVY393275 MFU393275 MPQ393275 MZM393275 NJI393275 NTE393275 ODA393275 OMW393275 OWS393275 PGO393275 PQK393275 QAG393275 QKC393275 QTY393275 RDU393275 RNQ393275 RXM393275 SHI393275 SRE393275 TBA393275 TKW393275 TUS393275 UEO393275 UOK393275 UYG393275 VIC393275 VRY393275 WBU393275 WLQ393275 WVM393275 E458811 JA458811 SW458811 ACS458811 AMO458811 AWK458811 BGG458811 BQC458811 BZY458811 CJU458811 CTQ458811 DDM458811 DNI458811 DXE458811 EHA458811 EQW458811 FAS458811 FKO458811 FUK458811 GEG458811 GOC458811 GXY458811 HHU458811 HRQ458811 IBM458811 ILI458811 IVE458811 JFA458811 JOW458811 JYS458811 KIO458811 KSK458811 LCG458811 LMC458811 LVY458811 MFU458811 MPQ458811 MZM458811 NJI458811 NTE458811 ODA458811 OMW458811 OWS458811 PGO458811 PQK458811 QAG458811 QKC458811 QTY458811 RDU458811 RNQ458811 RXM458811 SHI458811 SRE458811 TBA458811 TKW458811 TUS458811 UEO458811 UOK458811 UYG458811 VIC458811 VRY458811 WBU458811 WLQ458811 WVM458811 E524347 JA524347 SW524347 ACS524347 AMO524347 AWK524347 BGG524347 BQC524347 BZY524347 CJU524347 CTQ524347 DDM524347 DNI524347 DXE524347 EHA524347 EQW524347 FAS524347 FKO524347 FUK524347 GEG524347 GOC524347 GXY524347 HHU524347 HRQ524347 IBM524347 ILI524347 IVE524347 JFA524347 JOW524347 JYS524347 KIO524347 KSK524347 LCG524347 LMC524347 LVY524347 MFU524347 MPQ524347 MZM524347 NJI524347 NTE524347 ODA524347 OMW524347 OWS524347 PGO524347 PQK524347 QAG524347 QKC524347 QTY524347 RDU524347 RNQ524347 RXM524347 SHI524347 SRE524347 TBA524347 TKW524347 TUS524347 UEO524347 UOK524347 UYG524347 VIC524347 VRY524347 WBU524347 WLQ524347 WVM524347 E589883 JA589883 SW589883 ACS589883 AMO589883 AWK589883 BGG589883 BQC589883 BZY589883 CJU589883 CTQ589883 DDM589883 DNI589883 DXE589883 EHA589883 EQW589883 FAS589883 FKO589883 FUK589883 GEG589883 GOC589883 GXY589883 HHU589883 HRQ589883 IBM589883 ILI589883 IVE589883 JFA589883 JOW589883 JYS589883 KIO589883 KSK589883 LCG589883 LMC589883 LVY589883 MFU589883 MPQ589883 MZM589883 NJI589883 NTE589883 ODA589883 OMW589883 OWS589883 PGO589883 PQK589883 QAG589883 QKC589883 QTY589883 RDU589883 RNQ589883 RXM589883 SHI589883 SRE589883 TBA589883 TKW589883 TUS589883 UEO589883 UOK589883 UYG589883 VIC589883 VRY589883 WBU589883 WLQ589883 WVM589883 E655419 JA655419 SW655419 ACS655419 AMO655419 AWK655419 BGG655419 BQC655419 BZY655419 CJU655419 CTQ655419 DDM655419 DNI655419 DXE655419 EHA655419 EQW655419 FAS655419 FKO655419 FUK655419 GEG655419 GOC655419 GXY655419 HHU655419 HRQ655419 IBM655419 ILI655419 IVE655419 JFA655419 JOW655419 JYS655419 KIO655419 KSK655419 LCG655419 LMC655419 LVY655419 MFU655419 MPQ655419 MZM655419 NJI655419 NTE655419 ODA655419 OMW655419 OWS655419 PGO655419 PQK655419 QAG655419 QKC655419 QTY655419 RDU655419 RNQ655419 RXM655419 SHI655419 SRE655419 TBA655419 TKW655419 TUS655419 UEO655419 UOK655419 UYG655419 VIC655419 VRY655419 WBU655419 WLQ655419 WVM655419 E720955 JA720955 SW720955 ACS720955 AMO720955 AWK720955 BGG720955 BQC720955 BZY720955 CJU720955 CTQ720955 DDM720955 DNI720955 DXE720955 EHA720955 EQW720955 FAS720955 FKO720955 FUK720955 GEG720955 GOC720955 GXY720955 HHU720955 HRQ720955 IBM720955 ILI720955 IVE720955 JFA720955 JOW720955 JYS720955 KIO720955 KSK720955 LCG720955 LMC720955 LVY720955 MFU720955 MPQ720955 MZM720955 NJI720955 NTE720955 ODA720955 OMW720955 OWS720955 PGO720955 PQK720955 QAG720955 QKC720955 QTY720955 RDU720955 RNQ720955 RXM720955 SHI720955 SRE720955 TBA720955 TKW720955 TUS720955 UEO720955 UOK720955 UYG720955 VIC720955 VRY720955 WBU720955 WLQ720955 WVM720955 E786491 JA786491 SW786491 ACS786491 AMO786491 AWK786491 BGG786491 BQC786491 BZY786491 CJU786491 CTQ786491 DDM786491 DNI786491 DXE786491 EHA786491 EQW786491 FAS786491 FKO786491 FUK786491 GEG786491 GOC786491 GXY786491 HHU786491 HRQ786491 IBM786491 ILI786491 IVE786491 JFA786491 JOW786491 JYS786491 KIO786491 KSK786491 LCG786491 LMC786491 LVY786491 MFU786491 MPQ786491 MZM786491 NJI786491 NTE786491 ODA786491 OMW786491 OWS786491 PGO786491 PQK786491 QAG786491 QKC786491 QTY786491 RDU786491 RNQ786491 RXM786491 SHI786491 SRE786491 TBA786491 TKW786491 TUS786491 UEO786491 UOK786491 UYG786491 VIC786491 VRY786491 WBU786491 WLQ786491 WVM786491 E852027 JA852027 SW852027 ACS852027 AMO852027 AWK852027 BGG852027 BQC852027 BZY852027 CJU852027 CTQ852027 DDM852027 DNI852027 DXE852027 EHA852027 EQW852027 FAS852027 FKO852027 FUK852027 GEG852027 GOC852027 GXY852027 HHU852027 HRQ852027 IBM852027 ILI852027 IVE852027 JFA852027 JOW852027 JYS852027 KIO852027 KSK852027 LCG852027 LMC852027 LVY852027 MFU852027 MPQ852027 MZM852027 NJI852027 NTE852027 ODA852027 OMW852027 OWS852027 PGO852027 PQK852027 QAG852027 QKC852027 QTY852027 RDU852027 RNQ852027 RXM852027 SHI852027 SRE852027 TBA852027 TKW852027 TUS852027 UEO852027 UOK852027 UYG852027 VIC852027 VRY852027 WBU852027 WLQ852027 WVM852027 E917563 JA917563 SW917563 ACS917563 AMO917563 AWK917563 BGG917563 BQC917563 BZY917563 CJU917563 CTQ917563 DDM917563 DNI917563 DXE917563 EHA917563 EQW917563 FAS917563 FKO917563 FUK917563 GEG917563 GOC917563 GXY917563 HHU917563 HRQ917563 IBM917563 ILI917563 IVE917563 JFA917563 JOW917563 JYS917563 KIO917563 KSK917563 LCG917563 LMC917563 LVY917563 MFU917563 MPQ917563 MZM917563 NJI917563 NTE917563 ODA917563 OMW917563 OWS917563 PGO917563 PQK917563 QAG917563 QKC917563 QTY917563 RDU917563 RNQ917563 RXM917563 SHI917563 SRE917563 TBA917563 TKW917563 TUS917563 UEO917563 UOK917563 UYG917563 VIC917563 VRY917563 WBU917563 WLQ917563 WVM917563 E983099 JA983099 SW983099 ACS983099 AMO983099 AWK983099 BGG983099 BQC983099 BZY983099 CJU983099 CTQ983099 DDM983099 DNI983099 DXE983099 EHA983099 EQW983099 FAS983099 FKO983099 FUK983099 GEG983099 GOC983099 GXY983099 HHU983099 HRQ983099 IBM983099 ILI983099 IVE983099 JFA983099 JOW983099 JYS983099 KIO983099 KSK983099 LCG983099 LMC983099 LVY983099 MFU983099 MPQ983099 MZM983099 NJI983099 NTE983099 ODA983099 OMW983099 OWS983099 PGO983099 PQK983099 QAG983099 QKC983099 QTY983099 RDU983099 RNQ983099 RXM983099 SHI983099 SRE983099 TBA983099 TKW983099 TUS983099 UEO983099 UOK983099 UYG983099 VIC983099 VRY983099 WBU983099 WLQ983099 WVM983099" xr:uid="{40E5E316-F880-4BA6-97A6-96DF4D8C2F2E}">
      <formula1>1</formula1>
      <formula2>2</formula2>
    </dataValidation>
    <dataValidation type="whole" allowBlank="1" showInputMessage="1" showErrorMessage="1" error="U moet hier een geheel aantal jaren met een maximum van 8 jaar invullen." sqref="E58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WLQ983098 WVM983098" xr:uid="{3D4B2A6B-E492-432A-A2CE-58FD1E3662B8}">
      <formula1>0</formula1>
      <formula2>8</formula2>
    </dataValidation>
    <dataValidation type="decimal" allowBlank="1" showInputMessage="1" showErrorMessage="1" error="U kunt maximaal een percentage van 3,0% invullen. Klik op &quot;Annuleren&quot; en vul een ander percentage in. " sqref="E72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E65608 JA65608 SW65608 ACS65608 AMO65608 AWK65608 BGG65608 BQC65608 BZY65608 CJU65608 CTQ65608 DDM65608 DNI65608 DXE65608 EHA65608 EQW65608 FAS65608 FKO65608 FUK65608 GEG65608 GOC65608 GXY65608 HHU65608 HRQ65608 IBM65608 ILI65608 IVE65608 JFA65608 JOW65608 JYS65608 KIO65608 KSK65608 LCG65608 LMC65608 LVY65608 MFU65608 MPQ65608 MZM65608 NJI65608 NTE65608 ODA65608 OMW65608 OWS65608 PGO65608 PQK65608 QAG65608 QKC65608 QTY65608 RDU65608 RNQ65608 RXM65608 SHI65608 SRE65608 TBA65608 TKW65608 TUS65608 UEO65608 UOK65608 UYG65608 VIC65608 VRY65608 WBU65608 WLQ65608 WVM65608 E131144 JA131144 SW131144 ACS131144 AMO131144 AWK131144 BGG131144 BQC131144 BZY131144 CJU131144 CTQ131144 DDM131144 DNI131144 DXE131144 EHA131144 EQW131144 FAS131144 FKO131144 FUK131144 GEG131144 GOC131144 GXY131144 HHU131144 HRQ131144 IBM131144 ILI131144 IVE131144 JFA131144 JOW131144 JYS131144 KIO131144 KSK131144 LCG131144 LMC131144 LVY131144 MFU131144 MPQ131144 MZM131144 NJI131144 NTE131144 ODA131144 OMW131144 OWS131144 PGO131144 PQK131144 QAG131144 QKC131144 QTY131144 RDU131144 RNQ131144 RXM131144 SHI131144 SRE131144 TBA131144 TKW131144 TUS131144 UEO131144 UOK131144 UYG131144 VIC131144 VRY131144 WBU131144 WLQ131144 WVM131144 E196680 JA196680 SW196680 ACS196680 AMO196680 AWK196680 BGG196680 BQC196680 BZY196680 CJU196680 CTQ196680 DDM196680 DNI196680 DXE196680 EHA196680 EQW196680 FAS196680 FKO196680 FUK196680 GEG196680 GOC196680 GXY196680 HHU196680 HRQ196680 IBM196680 ILI196680 IVE196680 JFA196680 JOW196680 JYS196680 KIO196680 KSK196680 LCG196680 LMC196680 LVY196680 MFU196680 MPQ196680 MZM196680 NJI196680 NTE196680 ODA196680 OMW196680 OWS196680 PGO196680 PQK196680 QAG196680 QKC196680 QTY196680 RDU196680 RNQ196680 RXM196680 SHI196680 SRE196680 TBA196680 TKW196680 TUS196680 UEO196680 UOK196680 UYG196680 VIC196680 VRY196680 WBU196680 WLQ196680 WVM196680 E262216 JA262216 SW262216 ACS262216 AMO262216 AWK262216 BGG262216 BQC262216 BZY262216 CJU262216 CTQ262216 DDM262216 DNI262216 DXE262216 EHA262216 EQW262216 FAS262216 FKO262216 FUK262216 GEG262216 GOC262216 GXY262216 HHU262216 HRQ262216 IBM262216 ILI262216 IVE262216 JFA262216 JOW262216 JYS262216 KIO262216 KSK262216 LCG262216 LMC262216 LVY262216 MFU262216 MPQ262216 MZM262216 NJI262216 NTE262216 ODA262216 OMW262216 OWS262216 PGO262216 PQK262216 QAG262216 QKC262216 QTY262216 RDU262216 RNQ262216 RXM262216 SHI262216 SRE262216 TBA262216 TKW262216 TUS262216 UEO262216 UOK262216 UYG262216 VIC262216 VRY262216 WBU262216 WLQ262216 WVM262216 E327752 JA327752 SW327752 ACS327752 AMO327752 AWK327752 BGG327752 BQC327752 BZY327752 CJU327752 CTQ327752 DDM327752 DNI327752 DXE327752 EHA327752 EQW327752 FAS327752 FKO327752 FUK327752 GEG327752 GOC327752 GXY327752 HHU327752 HRQ327752 IBM327752 ILI327752 IVE327752 JFA327752 JOW327752 JYS327752 KIO327752 KSK327752 LCG327752 LMC327752 LVY327752 MFU327752 MPQ327752 MZM327752 NJI327752 NTE327752 ODA327752 OMW327752 OWS327752 PGO327752 PQK327752 QAG327752 QKC327752 QTY327752 RDU327752 RNQ327752 RXM327752 SHI327752 SRE327752 TBA327752 TKW327752 TUS327752 UEO327752 UOK327752 UYG327752 VIC327752 VRY327752 WBU327752 WLQ327752 WVM327752 E393288 JA393288 SW393288 ACS393288 AMO393288 AWK393288 BGG393288 BQC393288 BZY393288 CJU393288 CTQ393288 DDM393288 DNI393288 DXE393288 EHA393288 EQW393288 FAS393288 FKO393288 FUK393288 GEG393288 GOC393288 GXY393288 HHU393288 HRQ393288 IBM393288 ILI393288 IVE393288 JFA393288 JOW393288 JYS393288 KIO393288 KSK393288 LCG393288 LMC393288 LVY393288 MFU393288 MPQ393288 MZM393288 NJI393288 NTE393288 ODA393288 OMW393288 OWS393288 PGO393288 PQK393288 QAG393288 QKC393288 QTY393288 RDU393288 RNQ393288 RXM393288 SHI393288 SRE393288 TBA393288 TKW393288 TUS393288 UEO393288 UOK393288 UYG393288 VIC393288 VRY393288 WBU393288 WLQ393288 WVM393288 E458824 JA458824 SW458824 ACS458824 AMO458824 AWK458824 BGG458824 BQC458824 BZY458824 CJU458824 CTQ458824 DDM458824 DNI458824 DXE458824 EHA458824 EQW458824 FAS458824 FKO458824 FUK458824 GEG458824 GOC458824 GXY458824 HHU458824 HRQ458824 IBM458824 ILI458824 IVE458824 JFA458824 JOW458824 JYS458824 KIO458824 KSK458824 LCG458824 LMC458824 LVY458824 MFU458824 MPQ458824 MZM458824 NJI458824 NTE458824 ODA458824 OMW458824 OWS458824 PGO458824 PQK458824 QAG458824 QKC458824 QTY458824 RDU458824 RNQ458824 RXM458824 SHI458824 SRE458824 TBA458824 TKW458824 TUS458824 UEO458824 UOK458824 UYG458824 VIC458824 VRY458824 WBU458824 WLQ458824 WVM458824 E524360 JA524360 SW524360 ACS524360 AMO524360 AWK524360 BGG524360 BQC524360 BZY524360 CJU524360 CTQ524360 DDM524360 DNI524360 DXE524360 EHA524360 EQW524360 FAS524360 FKO524360 FUK524360 GEG524360 GOC524360 GXY524360 HHU524360 HRQ524360 IBM524360 ILI524360 IVE524360 JFA524360 JOW524360 JYS524360 KIO524360 KSK524360 LCG524360 LMC524360 LVY524360 MFU524360 MPQ524360 MZM524360 NJI524360 NTE524360 ODA524360 OMW524360 OWS524360 PGO524360 PQK524360 QAG524360 QKC524360 QTY524360 RDU524360 RNQ524360 RXM524360 SHI524360 SRE524360 TBA524360 TKW524360 TUS524360 UEO524360 UOK524360 UYG524360 VIC524360 VRY524360 WBU524360 WLQ524360 WVM524360 E589896 JA589896 SW589896 ACS589896 AMO589896 AWK589896 BGG589896 BQC589896 BZY589896 CJU589896 CTQ589896 DDM589896 DNI589896 DXE589896 EHA589896 EQW589896 FAS589896 FKO589896 FUK589896 GEG589896 GOC589896 GXY589896 HHU589896 HRQ589896 IBM589896 ILI589896 IVE589896 JFA589896 JOW589896 JYS589896 KIO589896 KSK589896 LCG589896 LMC589896 LVY589896 MFU589896 MPQ589896 MZM589896 NJI589896 NTE589896 ODA589896 OMW589896 OWS589896 PGO589896 PQK589896 QAG589896 QKC589896 QTY589896 RDU589896 RNQ589896 RXM589896 SHI589896 SRE589896 TBA589896 TKW589896 TUS589896 UEO589896 UOK589896 UYG589896 VIC589896 VRY589896 WBU589896 WLQ589896 WVM589896 E655432 JA655432 SW655432 ACS655432 AMO655432 AWK655432 BGG655432 BQC655432 BZY655432 CJU655432 CTQ655432 DDM655432 DNI655432 DXE655432 EHA655432 EQW655432 FAS655432 FKO655432 FUK655432 GEG655432 GOC655432 GXY655432 HHU655432 HRQ655432 IBM655432 ILI655432 IVE655432 JFA655432 JOW655432 JYS655432 KIO655432 KSK655432 LCG655432 LMC655432 LVY655432 MFU655432 MPQ655432 MZM655432 NJI655432 NTE655432 ODA655432 OMW655432 OWS655432 PGO655432 PQK655432 QAG655432 QKC655432 QTY655432 RDU655432 RNQ655432 RXM655432 SHI655432 SRE655432 TBA655432 TKW655432 TUS655432 UEO655432 UOK655432 UYG655432 VIC655432 VRY655432 WBU655432 WLQ655432 WVM655432 E720968 JA720968 SW720968 ACS720968 AMO720968 AWK720968 BGG720968 BQC720968 BZY720968 CJU720968 CTQ720968 DDM720968 DNI720968 DXE720968 EHA720968 EQW720968 FAS720968 FKO720968 FUK720968 GEG720968 GOC720968 GXY720968 HHU720968 HRQ720968 IBM720968 ILI720968 IVE720968 JFA720968 JOW720968 JYS720968 KIO720968 KSK720968 LCG720968 LMC720968 LVY720968 MFU720968 MPQ720968 MZM720968 NJI720968 NTE720968 ODA720968 OMW720968 OWS720968 PGO720968 PQK720968 QAG720968 QKC720968 QTY720968 RDU720968 RNQ720968 RXM720968 SHI720968 SRE720968 TBA720968 TKW720968 TUS720968 UEO720968 UOK720968 UYG720968 VIC720968 VRY720968 WBU720968 WLQ720968 WVM720968 E786504 JA786504 SW786504 ACS786504 AMO786504 AWK786504 BGG786504 BQC786504 BZY786504 CJU786504 CTQ786504 DDM786504 DNI786504 DXE786504 EHA786504 EQW786504 FAS786504 FKO786504 FUK786504 GEG786504 GOC786504 GXY786504 HHU786504 HRQ786504 IBM786504 ILI786504 IVE786504 JFA786504 JOW786504 JYS786504 KIO786504 KSK786504 LCG786504 LMC786504 LVY786504 MFU786504 MPQ786504 MZM786504 NJI786504 NTE786504 ODA786504 OMW786504 OWS786504 PGO786504 PQK786504 QAG786504 QKC786504 QTY786504 RDU786504 RNQ786504 RXM786504 SHI786504 SRE786504 TBA786504 TKW786504 TUS786504 UEO786504 UOK786504 UYG786504 VIC786504 VRY786504 WBU786504 WLQ786504 WVM786504 E852040 JA852040 SW852040 ACS852040 AMO852040 AWK852040 BGG852040 BQC852040 BZY852040 CJU852040 CTQ852040 DDM852040 DNI852040 DXE852040 EHA852040 EQW852040 FAS852040 FKO852040 FUK852040 GEG852040 GOC852040 GXY852040 HHU852040 HRQ852040 IBM852040 ILI852040 IVE852040 JFA852040 JOW852040 JYS852040 KIO852040 KSK852040 LCG852040 LMC852040 LVY852040 MFU852040 MPQ852040 MZM852040 NJI852040 NTE852040 ODA852040 OMW852040 OWS852040 PGO852040 PQK852040 QAG852040 QKC852040 QTY852040 RDU852040 RNQ852040 RXM852040 SHI852040 SRE852040 TBA852040 TKW852040 TUS852040 UEO852040 UOK852040 UYG852040 VIC852040 VRY852040 WBU852040 WLQ852040 WVM852040 E917576 JA917576 SW917576 ACS917576 AMO917576 AWK917576 BGG917576 BQC917576 BZY917576 CJU917576 CTQ917576 DDM917576 DNI917576 DXE917576 EHA917576 EQW917576 FAS917576 FKO917576 FUK917576 GEG917576 GOC917576 GXY917576 HHU917576 HRQ917576 IBM917576 ILI917576 IVE917576 JFA917576 JOW917576 JYS917576 KIO917576 KSK917576 LCG917576 LMC917576 LVY917576 MFU917576 MPQ917576 MZM917576 NJI917576 NTE917576 ODA917576 OMW917576 OWS917576 PGO917576 PQK917576 QAG917576 QKC917576 QTY917576 RDU917576 RNQ917576 RXM917576 SHI917576 SRE917576 TBA917576 TKW917576 TUS917576 UEO917576 UOK917576 UYG917576 VIC917576 VRY917576 WBU917576 WLQ917576 WVM917576 E983112 JA983112 SW983112 ACS983112 AMO983112 AWK983112 BGG983112 BQC983112 BZY983112 CJU983112 CTQ983112 DDM983112 DNI983112 DXE983112 EHA983112 EQW983112 FAS983112 FKO983112 FUK983112 GEG983112 GOC983112 GXY983112 HHU983112 HRQ983112 IBM983112 ILI983112 IVE983112 JFA983112 JOW983112 JYS983112 KIO983112 KSK983112 LCG983112 LMC983112 LVY983112 MFU983112 MPQ983112 MZM983112 NJI983112 NTE983112 ODA983112 OMW983112 OWS983112 PGO983112 PQK983112 QAG983112 QKC983112 QTY983112 RDU983112 RNQ983112 RXM983112 SHI983112 SRE983112 TBA983112 TKW983112 TUS983112 UEO983112 UOK983112 UYG983112 VIC983112 VRY983112 WBU983112 WLQ983112 WVM983112 E65 JA65 SW65 ACS65 AMO65 AWK65 BGG65 BQC65 BZY65 CJU65 CTQ65 DDM65 DNI65 DXE65 EHA65 EQW65 FAS65 FKO65 FUK65 GEG65 GOC65 GXY65 HHU65 HRQ65 IBM65 ILI65 IVE65 JFA65 JOW65 JYS65 KIO65 KSK65 LCG65 LMC65 LVY65 MFU65 MPQ65 MZM65 NJI65 NTE65 ODA65 OMW65 OWS65 PGO65 PQK65 QAG65 QKC65 QTY65 RDU65 RNQ65 RXM65 SHI65 SRE65 TBA65 TKW65 TUS65 UEO65 UOK65 UYG65 VIC65 VRY65 WBU65 WLQ65 WVM65 E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E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E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E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E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E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E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E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E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E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E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E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E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E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E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xr:uid="{8E93D866-E59A-4D9A-A9D9-6E53F33C9D9D}">
      <formula1>0</formula1>
      <formula2>0.03</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ist Box 1">
              <controlPr defaultSize="0" autoLine="0" autoPict="0">
                <anchor moveWithCells="1" sizeWithCells="1">
                  <from>
                    <xdr:col>0</xdr:col>
                    <xdr:colOff>3676650</xdr:colOff>
                    <xdr:row>28</xdr:row>
                    <xdr:rowOff>28575</xdr:rowOff>
                  </from>
                  <to>
                    <xdr:col>5</xdr:col>
                    <xdr:colOff>9525</xdr:colOff>
                    <xdr:row>29</xdr:row>
                    <xdr:rowOff>295275</xdr:rowOff>
                  </to>
                </anchor>
              </controlPr>
            </control>
          </mc:Choice>
        </mc:AlternateContent>
        <mc:AlternateContent xmlns:mc="http://schemas.openxmlformats.org/markup-compatibility/2006">
          <mc:Choice Requires="x14">
            <control shapeId="3074" r:id="rId5" name="List Box 2">
              <controlPr defaultSize="0" autoLine="0" autoPict="0">
                <anchor moveWithCells="1" sizeWithCells="1">
                  <from>
                    <xdr:col>1</xdr:col>
                    <xdr:colOff>0</xdr:colOff>
                    <xdr:row>7</xdr:row>
                    <xdr:rowOff>38100</xdr:rowOff>
                  </from>
                  <to>
                    <xdr:col>5</xdr:col>
                    <xdr:colOff>0</xdr:colOff>
                    <xdr:row>7</xdr:row>
                    <xdr:rowOff>800100</xdr:rowOff>
                  </to>
                </anchor>
              </controlPr>
            </control>
          </mc:Choice>
        </mc:AlternateContent>
        <mc:AlternateContent xmlns:mc="http://schemas.openxmlformats.org/markup-compatibility/2006">
          <mc:Choice Requires="x14">
            <control shapeId="3075" r:id="rId6" name="List Box 3">
              <controlPr defaultSize="0" autoLine="0" autoPict="0">
                <anchor moveWithCells="1" sizeWithCells="1">
                  <from>
                    <xdr:col>1</xdr:col>
                    <xdr:colOff>9525</xdr:colOff>
                    <xdr:row>8</xdr:row>
                    <xdr:rowOff>47625</xdr:rowOff>
                  </from>
                  <to>
                    <xdr:col>5</xdr:col>
                    <xdr:colOff>0</xdr:colOff>
                    <xdr:row>8</xdr:row>
                    <xdr:rowOff>1771650</xdr:rowOff>
                  </to>
                </anchor>
              </controlPr>
            </control>
          </mc:Choice>
        </mc:AlternateContent>
        <mc:AlternateContent xmlns:mc="http://schemas.openxmlformats.org/markup-compatibility/2006">
          <mc:Choice Requires="x14">
            <control shapeId="3076" r:id="rId7" name="List Box 4">
              <controlPr defaultSize="0" autoLine="0" autoPict="0">
                <anchor moveWithCells="1" sizeWithCells="1">
                  <from>
                    <xdr:col>1</xdr:col>
                    <xdr:colOff>9525</xdr:colOff>
                    <xdr:row>9</xdr:row>
                    <xdr:rowOff>19050</xdr:rowOff>
                  </from>
                  <to>
                    <xdr:col>5</xdr:col>
                    <xdr:colOff>9525</xdr:colOff>
                    <xdr:row>9</xdr:row>
                    <xdr:rowOff>2162175</xdr:rowOff>
                  </to>
                </anchor>
              </controlPr>
            </control>
          </mc:Choice>
        </mc:AlternateContent>
        <mc:AlternateContent xmlns:mc="http://schemas.openxmlformats.org/markup-compatibility/2006">
          <mc:Choice Requires="x14">
            <control shapeId="3077" r:id="rId8" name="List Box 5">
              <controlPr defaultSize="0" autoLine="0" autoPict="0">
                <anchor moveWithCells="1" sizeWithCells="1">
                  <from>
                    <xdr:col>1</xdr:col>
                    <xdr:colOff>66675</xdr:colOff>
                    <xdr:row>39</xdr:row>
                    <xdr:rowOff>257175</xdr:rowOff>
                  </from>
                  <to>
                    <xdr:col>5</xdr:col>
                    <xdr:colOff>9525</xdr:colOff>
                    <xdr:row>40</xdr:row>
                    <xdr:rowOff>304800</xdr:rowOff>
                  </to>
                </anchor>
              </controlPr>
            </control>
          </mc:Choice>
        </mc:AlternateContent>
        <mc:AlternateContent xmlns:mc="http://schemas.openxmlformats.org/markup-compatibility/2006">
          <mc:Choice Requires="x14">
            <control shapeId="3078" r:id="rId9" name="List Box 6">
              <controlPr defaultSize="0" autoLine="0" autoPict="0">
                <anchor moveWithCells="1" sizeWithCells="1">
                  <from>
                    <xdr:col>1</xdr:col>
                    <xdr:colOff>57150</xdr:colOff>
                    <xdr:row>45</xdr:row>
                    <xdr:rowOff>95250</xdr:rowOff>
                  </from>
                  <to>
                    <xdr:col>5</xdr:col>
                    <xdr:colOff>0</xdr:colOff>
                    <xdr:row>45</xdr:row>
                    <xdr:rowOff>390525</xdr:rowOff>
                  </to>
                </anchor>
              </controlPr>
            </control>
          </mc:Choice>
        </mc:AlternateContent>
        <mc:AlternateContent xmlns:mc="http://schemas.openxmlformats.org/markup-compatibility/2006">
          <mc:Choice Requires="x14">
            <control shapeId="3079" r:id="rId10" name="List Box 7">
              <controlPr defaultSize="0" autoLine="0" autoPict="0">
                <anchor moveWithCells="1" sizeWithCells="1">
                  <from>
                    <xdr:col>0</xdr:col>
                    <xdr:colOff>3705225</xdr:colOff>
                    <xdr:row>13</xdr:row>
                    <xdr:rowOff>19050</xdr:rowOff>
                  </from>
                  <to>
                    <xdr:col>3</xdr:col>
                    <xdr:colOff>552450</xdr:colOff>
                    <xdr:row>14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7CC6A-5185-4252-8F15-616C0221E6FB}">
  <dimension ref="A1:AH179"/>
  <sheetViews>
    <sheetView zoomScaleNormal="100" workbookViewId="0">
      <selection activeCell="A4" sqref="A4"/>
    </sheetView>
  </sheetViews>
  <sheetFormatPr defaultColWidth="8.7109375" defaultRowHeight="15" x14ac:dyDescent="0.25"/>
  <cols>
    <col min="1" max="1" width="34.5703125" style="4" customWidth="1"/>
    <col min="2" max="2" width="9.85546875" style="30" customWidth="1"/>
    <col min="3" max="3" width="8.7109375" style="30"/>
    <col min="4" max="4" width="3" style="4" customWidth="1"/>
    <col min="5" max="5" width="18.42578125" style="4" customWidth="1"/>
    <col min="6" max="6" width="0.85546875" style="4" hidden="1" customWidth="1"/>
    <col min="7" max="7" width="3" style="4" customWidth="1"/>
    <col min="8" max="8" width="10.7109375" style="4" customWidth="1"/>
    <col min="9" max="9" width="2.7109375" style="4" customWidth="1"/>
    <col min="10" max="10" width="6.7109375" style="4" customWidth="1"/>
    <col min="11" max="11" width="3" style="4" customWidth="1"/>
    <col min="12" max="12" width="17.7109375" style="4" customWidth="1"/>
    <col min="13" max="13" width="10.5703125" style="4" customWidth="1"/>
    <col min="14" max="14" width="17.28515625" style="4" bestFit="1" customWidth="1"/>
    <col min="15" max="34" width="11.7109375" style="4" customWidth="1"/>
    <col min="35" max="256" width="8.7109375" style="4"/>
    <col min="257" max="257" width="34.5703125" style="4" customWidth="1"/>
    <col min="258" max="258" width="9.85546875" style="4" customWidth="1"/>
    <col min="259" max="259" width="8.7109375" style="4"/>
    <col min="260" max="260" width="3" style="4" customWidth="1"/>
    <col min="261" max="261" width="18.42578125" style="4" customWidth="1"/>
    <col min="262" max="262" width="0" style="4" hidden="1" customWidth="1"/>
    <col min="263" max="263" width="3" style="4" customWidth="1"/>
    <col min="264" max="264" width="10.7109375" style="4" customWidth="1"/>
    <col min="265" max="265" width="2.7109375" style="4" customWidth="1"/>
    <col min="266" max="266" width="6.7109375" style="4" customWidth="1"/>
    <col min="267" max="267" width="3" style="4" customWidth="1"/>
    <col min="268" max="268" width="17.7109375" style="4" customWidth="1"/>
    <col min="269" max="269" width="10.5703125" style="4" customWidth="1"/>
    <col min="270" max="270" width="17.28515625" style="4" bestFit="1" customWidth="1"/>
    <col min="271" max="285" width="11.7109375" style="4" customWidth="1"/>
    <col min="286" max="512" width="8.7109375" style="4"/>
    <col min="513" max="513" width="34.5703125" style="4" customWidth="1"/>
    <col min="514" max="514" width="9.85546875" style="4" customWidth="1"/>
    <col min="515" max="515" width="8.7109375" style="4"/>
    <col min="516" max="516" width="3" style="4" customWidth="1"/>
    <col min="517" max="517" width="18.42578125" style="4" customWidth="1"/>
    <col min="518" max="518" width="0" style="4" hidden="1" customWidth="1"/>
    <col min="519" max="519" width="3" style="4" customWidth="1"/>
    <col min="520" max="520" width="10.7109375" style="4" customWidth="1"/>
    <col min="521" max="521" width="2.7109375" style="4" customWidth="1"/>
    <col min="522" max="522" width="6.7109375" style="4" customWidth="1"/>
    <col min="523" max="523" width="3" style="4" customWidth="1"/>
    <col min="524" max="524" width="17.7109375" style="4" customWidth="1"/>
    <col min="525" max="525" width="10.5703125" style="4" customWidth="1"/>
    <col min="526" max="526" width="17.28515625" style="4" bestFit="1" customWidth="1"/>
    <col min="527" max="541" width="11.7109375" style="4" customWidth="1"/>
    <col min="542" max="768" width="8.7109375" style="4"/>
    <col min="769" max="769" width="34.5703125" style="4" customWidth="1"/>
    <col min="770" max="770" width="9.85546875" style="4" customWidth="1"/>
    <col min="771" max="771" width="8.7109375" style="4"/>
    <col min="772" max="772" width="3" style="4" customWidth="1"/>
    <col min="773" max="773" width="18.42578125" style="4" customWidth="1"/>
    <col min="774" max="774" width="0" style="4" hidden="1" customWidth="1"/>
    <col min="775" max="775" width="3" style="4" customWidth="1"/>
    <col min="776" max="776" width="10.7109375" style="4" customWidth="1"/>
    <col min="777" max="777" width="2.7109375" style="4" customWidth="1"/>
    <col min="778" max="778" width="6.7109375" style="4" customWidth="1"/>
    <col min="779" max="779" width="3" style="4" customWidth="1"/>
    <col min="780" max="780" width="17.7109375" style="4" customWidth="1"/>
    <col min="781" max="781" width="10.5703125" style="4" customWidth="1"/>
    <col min="782" max="782" width="17.28515625" style="4" bestFit="1" customWidth="1"/>
    <col min="783" max="797" width="11.7109375" style="4" customWidth="1"/>
    <col min="798" max="1024" width="8.7109375" style="4"/>
    <col min="1025" max="1025" width="34.5703125" style="4" customWidth="1"/>
    <col min="1026" max="1026" width="9.85546875" style="4" customWidth="1"/>
    <col min="1027" max="1027" width="8.7109375" style="4"/>
    <col min="1028" max="1028" width="3" style="4" customWidth="1"/>
    <col min="1029" max="1029" width="18.42578125" style="4" customWidth="1"/>
    <col min="1030" max="1030" width="0" style="4" hidden="1" customWidth="1"/>
    <col min="1031" max="1031" width="3" style="4" customWidth="1"/>
    <col min="1032" max="1032" width="10.7109375" style="4" customWidth="1"/>
    <col min="1033" max="1033" width="2.7109375" style="4" customWidth="1"/>
    <col min="1034" max="1034" width="6.7109375" style="4" customWidth="1"/>
    <col min="1035" max="1035" width="3" style="4" customWidth="1"/>
    <col min="1036" max="1036" width="17.7109375" style="4" customWidth="1"/>
    <col min="1037" max="1037" width="10.5703125" style="4" customWidth="1"/>
    <col min="1038" max="1038" width="17.28515625" style="4" bestFit="1" customWidth="1"/>
    <col min="1039" max="1053" width="11.7109375" style="4" customWidth="1"/>
    <col min="1054" max="1280" width="8.7109375" style="4"/>
    <col min="1281" max="1281" width="34.5703125" style="4" customWidth="1"/>
    <col min="1282" max="1282" width="9.85546875" style="4" customWidth="1"/>
    <col min="1283" max="1283" width="8.7109375" style="4"/>
    <col min="1284" max="1284" width="3" style="4" customWidth="1"/>
    <col min="1285" max="1285" width="18.42578125" style="4" customWidth="1"/>
    <col min="1286" max="1286" width="0" style="4" hidden="1" customWidth="1"/>
    <col min="1287" max="1287" width="3" style="4" customWidth="1"/>
    <col min="1288" max="1288" width="10.7109375" style="4" customWidth="1"/>
    <col min="1289" max="1289" width="2.7109375" style="4" customWidth="1"/>
    <col min="1290" max="1290" width="6.7109375" style="4" customWidth="1"/>
    <col min="1291" max="1291" width="3" style="4" customWidth="1"/>
    <col min="1292" max="1292" width="17.7109375" style="4" customWidth="1"/>
    <col min="1293" max="1293" width="10.5703125" style="4" customWidth="1"/>
    <col min="1294" max="1294" width="17.28515625" style="4" bestFit="1" customWidth="1"/>
    <col min="1295" max="1309" width="11.7109375" style="4" customWidth="1"/>
    <col min="1310" max="1536" width="8.7109375" style="4"/>
    <col min="1537" max="1537" width="34.5703125" style="4" customWidth="1"/>
    <col min="1538" max="1538" width="9.85546875" style="4" customWidth="1"/>
    <col min="1539" max="1539" width="8.7109375" style="4"/>
    <col min="1540" max="1540" width="3" style="4" customWidth="1"/>
    <col min="1541" max="1541" width="18.42578125" style="4" customWidth="1"/>
    <col min="1542" max="1542" width="0" style="4" hidden="1" customWidth="1"/>
    <col min="1543" max="1543" width="3" style="4" customWidth="1"/>
    <col min="1544" max="1544" width="10.7109375" style="4" customWidth="1"/>
    <col min="1545" max="1545" width="2.7109375" style="4" customWidth="1"/>
    <col min="1546" max="1546" width="6.7109375" style="4" customWidth="1"/>
    <col min="1547" max="1547" width="3" style="4" customWidth="1"/>
    <col min="1548" max="1548" width="17.7109375" style="4" customWidth="1"/>
    <col min="1549" max="1549" width="10.5703125" style="4" customWidth="1"/>
    <col min="1550" max="1550" width="17.28515625" style="4" bestFit="1" customWidth="1"/>
    <col min="1551" max="1565" width="11.7109375" style="4" customWidth="1"/>
    <col min="1566" max="1792" width="8.7109375" style="4"/>
    <col min="1793" max="1793" width="34.5703125" style="4" customWidth="1"/>
    <col min="1794" max="1794" width="9.85546875" style="4" customWidth="1"/>
    <col min="1795" max="1795" width="8.7109375" style="4"/>
    <col min="1796" max="1796" width="3" style="4" customWidth="1"/>
    <col min="1797" max="1797" width="18.42578125" style="4" customWidth="1"/>
    <col min="1798" max="1798" width="0" style="4" hidden="1" customWidth="1"/>
    <col min="1799" max="1799" width="3" style="4" customWidth="1"/>
    <col min="1800" max="1800" width="10.7109375" style="4" customWidth="1"/>
    <col min="1801" max="1801" width="2.7109375" style="4" customWidth="1"/>
    <col min="1802" max="1802" width="6.7109375" style="4" customWidth="1"/>
    <col min="1803" max="1803" width="3" style="4" customWidth="1"/>
    <col min="1804" max="1804" width="17.7109375" style="4" customWidth="1"/>
    <col min="1805" max="1805" width="10.5703125" style="4" customWidth="1"/>
    <col min="1806" max="1806" width="17.28515625" style="4" bestFit="1" customWidth="1"/>
    <col min="1807" max="1821" width="11.7109375" style="4" customWidth="1"/>
    <col min="1822" max="2048" width="8.7109375" style="4"/>
    <col min="2049" max="2049" width="34.5703125" style="4" customWidth="1"/>
    <col min="2050" max="2050" width="9.85546875" style="4" customWidth="1"/>
    <col min="2051" max="2051" width="8.7109375" style="4"/>
    <col min="2052" max="2052" width="3" style="4" customWidth="1"/>
    <col min="2053" max="2053" width="18.42578125" style="4" customWidth="1"/>
    <col min="2054" max="2054" width="0" style="4" hidden="1" customWidth="1"/>
    <col min="2055" max="2055" width="3" style="4" customWidth="1"/>
    <col min="2056" max="2056" width="10.7109375" style="4" customWidth="1"/>
    <col min="2057" max="2057" width="2.7109375" style="4" customWidth="1"/>
    <col min="2058" max="2058" width="6.7109375" style="4" customWidth="1"/>
    <col min="2059" max="2059" width="3" style="4" customWidth="1"/>
    <col min="2060" max="2060" width="17.7109375" style="4" customWidth="1"/>
    <col min="2061" max="2061" width="10.5703125" style="4" customWidth="1"/>
    <col min="2062" max="2062" width="17.28515625" style="4" bestFit="1" customWidth="1"/>
    <col min="2063" max="2077" width="11.7109375" style="4" customWidth="1"/>
    <col min="2078" max="2304" width="8.7109375" style="4"/>
    <col min="2305" max="2305" width="34.5703125" style="4" customWidth="1"/>
    <col min="2306" max="2306" width="9.85546875" style="4" customWidth="1"/>
    <col min="2307" max="2307" width="8.7109375" style="4"/>
    <col min="2308" max="2308" width="3" style="4" customWidth="1"/>
    <col min="2309" max="2309" width="18.42578125" style="4" customWidth="1"/>
    <col min="2310" max="2310" width="0" style="4" hidden="1" customWidth="1"/>
    <col min="2311" max="2311" width="3" style="4" customWidth="1"/>
    <col min="2312" max="2312" width="10.7109375" style="4" customWidth="1"/>
    <col min="2313" max="2313" width="2.7109375" style="4" customWidth="1"/>
    <col min="2314" max="2314" width="6.7109375" style="4" customWidth="1"/>
    <col min="2315" max="2315" width="3" style="4" customWidth="1"/>
    <col min="2316" max="2316" width="17.7109375" style="4" customWidth="1"/>
    <col min="2317" max="2317" width="10.5703125" style="4" customWidth="1"/>
    <col min="2318" max="2318" width="17.28515625" style="4" bestFit="1" customWidth="1"/>
    <col min="2319" max="2333" width="11.7109375" style="4" customWidth="1"/>
    <col min="2334" max="2560" width="8.7109375" style="4"/>
    <col min="2561" max="2561" width="34.5703125" style="4" customWidth="1"/>
    <col min="2562" max="2562" width="9.85546875" style="4" customWidth="1"/>
    <col min="2563" max="2563" width="8.7109375" style="4"/>
    <col min="2564" max="2564" width="3" style="4" customWidth="1"/>
    <col min="2565" max="2565" width="18.42578125" style="4" customWidth="1"/>
    <col min="2566" max="2566" width="0" style="4" hidden="1" customWidth="1"/>
    <col min="2567" max="2567" width="3" style="4" customWidth="1"/>
    <col min="2568" max="2568" width="10.7109375" style="4" customWidth="1"/>
    <col min="2569" max="2569" width="2.7109375" style="4" customWidth="1"/>
    <col min="2570" max="2570" width="6.7109375" style="4" customWidth="1"/>
    <col min="2571" max="2571" width="3" style="4" customWidth="1"/>
    <col min="2572" max="2572" width="17.7109375" style="4" customWidth="1"/>
    <col min="2573" max="2573" width="10.5703125" style="4" customWidth="1"/>
    <col min="2574" max="2574" width="17.28515625" style="4" bestFit="1" customWidth="1"/>
    <col min="2575" max="2589" width="11.7109375" style="4" customWidth="1"/>
    <col min="2590" max="2816" width="8.7109375" style="4"/>
    <col min="2817" max="2817" width="34.5703125" style="4" customWidth="1"/>
    <col min="2818" max="2818" width="9.85546875" style="4" customWidth="1"/>
    <col min="2819" max="2819" width="8.7109375" style="4"/>
    <col min="2820" max="2820" width="3" style="4" customWidth="1"/>
    <col min="2821" max="2821" width="18.42578125" style="4" customWidth="1"/>
    <col min="2822" max="2822" width="0" style="4" hidden="1" customWidth="1"/>
    <col min="2823" max="2823" width="3" style="4" customWidth="1"/>
    <col min="2824" max="2824" width="10.7109375" style="4" customWidth="1"/>
    <col min="2825" max="2825" width="2.7109375" style="4" customWidth="1"/>
    <col min="2826" max="2826" width="6.7109375" style="4" customWidth="1"/>
    <col min="2827" max="2827" width="3" style="4" customWidth="1"/>
    <col min="2828" max="2828" width="17.7109375" style="4" customWidth="1"/>
    <col min="2829" max="2829" width="10.5703125" style="4" customWidth="1"/>
    <col min="2830" max="2830" width="17.28515625" style="4" bestFit="1" customWidth="1"/>
    <col min="2831" max="2845" width="11.7109375" style="4" customWidth="1"/>
    <col min="2846" max="3072" width="8.7109375" style="4"/>
    <col min="3073" max="3073" width="34.5703125" style="4" customWidth="1"/>
    <col min="3074" max="3074" width="9.85546875" style="4" customWidth="1"/>
    <col min="3075" max="3075" width="8.7109375" style="4"/>
    <col min="3076" max="3076" width="3" style="4" customWidth="1"/>
    <col min="3077" max="3077" width="18.42578125" style="4" customWidth="1"/>
    <col min="3078" max="3078" width="0" style="4" hidden="1" customWidth="1"/>
    <col min="3079" max="3079" width="3" style="4" customWidth="1"/>
    <col min="3080" max="3080" width="10.7109375" style="4" customWidth="1"/>
    <col min="3081" max="3081" width="2.7109375" style="4" customWidth="1"/>
    <col min="3082" max="3082" width="6.7109375" style="4" customWidth="1"/>
    <col min="3083" max="3083" width="3" style="4" customWidth="1"/>
    <col min="3084" max="3084" width="17.7109375" style="4" customWidth="1"/>
    <col min="3085" max="3085" width="10.5703125" style="4" customWidth="1"/>
    <col min="3086" max="3086" width="17.28515625" style="4" bestFit="1" customWidth="1"/>
    <col min="3087" max="3101" width="11.7109375" style="4" customWidth="1"/>
    <col min="3102" max="3328" width="8.7109375" style="4"/>
    <col min="3329" max="3329" width="34.5703125" style="4" customWidth="1"/>
    <col min="3330" max="3330" width="9.85546875" style="4" customWidth="1"/>
    <col min="3331" max="3331" width="8.7109375" style="4"/>
    <col min="3332" max="3332" width="3" style="4" customWidth="1"/>
    <col min="3333" max="3333" width="18.42578125" style="4" customWidth="1"/>
    <col min="3334" max="3334" width="0" style="4" hidden="1" customWidth="1"/>
    <col min="3335" max="3335" width="3" style="4" customWidth="1"/>
    <col min="3336" max="3336" width="10.7109375" style="4" customWidth="1"/>
    <col min="3337" max="3337" width="2.7109375" style="4" customWidth="1"/>
    <col min="3338" max="3338" width="6.7109375" style="4" customWidth="1"/>
    <col min="3339" max="3339" width="3" style="4" customWidth="1"/>
    <col min="3340" max="3340" width="17.7109375" style="4" customWidth="1"/>
    <col min="3341" max="3341" width="10.5703125" style="4" customWidth="1"/>
    <col min="3342" max="3342" width="17.28515625" style="4" bestFit="1" customWidth="1"/>
    <col min="3343" max="3357" width="11.7109375" style="4" customWidth="1"/>
    <col min="3358" max="3584" width="8.7109375" style="4"/>
    <col min="3585" max="3585" width="34.5703125" style="4" customWidth="1"/>
    <col min="3586" max="3586" width="9.85546875" style="4" customWidth="1"/>
    <col min="3587" max="3587" width="8.7109375" style="4"/>
    <col min="3588" max="3588" width="3" style="4" customWidth="1"/>
    <col min="3589" max="3589" width="18.42578125" style="4" customWidth="1"/>
    <col min="3590" max="3590" width="0" style="4" hidden="1" customWidth="1"/>
    <col min="3591" max="3591" width="3" style="4" customWidth="1"/>
    <col min="3592" max="3592" width="10.7109375" style="4" customWidth="1"/>
    <col min="3593" max="3593" width="2.7109375" style="4" customWidth="1"/>
    <col min="3594" max="3594" width="6.7109375" style="4" customWidth="1"/>
    <col min="3595" max="3595" width="3" style="4" customWidth="1"/>
    <col min="3596" max="3596" width="17.7109375" style="4" customWidth="1"/>
    <col min="3597" max="3597" width="10.5703125" style="4" customWidth="1"/>
    <col min="3598" max="3598" width="17.28515625" style="4" bestFit="1" customWidth="1"/>
    <col min="3599" max="3613" width="11.7109375" style="4" customWidth="1"/>
    <col min="3614" max="3840" width="8.7109375" style="4"/>
    <col min="3841" max="3841" width="34.5703125" style="4" customWidth="1"/>
    <col min="3842" max="3842" width="9.85546875" style="4" customWidth="1"/>
    <col min="3843" max="3843" width="8.7109375" style="4"/>
    <col min="3844" max="3844" width="3" style="4" customWidth="1"/>
    <col min="3845" max="3845" width="18.42578125" style="4" customWidth="1"/>
    <col min="3846" max="3846" width="0" style="4" hidden="1" customWidth="1"/>
    <col min="3847" max="3847" width="3" style="4" customWidth="1"/>
    <col min="3848" max="3848" width="10.7109375" style="4" customWidth="1"/>
    <col min="3849" max="3849" width="2.7109375" style="4" customWidth="1"/>
    <col min="3850" max="3850" width="6.7109375" style="4" customWidth="1"/>
    <col min="3851" max="3851" width="3" style="4" customWidth="1"/>
    <col min="3852" max="3852" width="17.7109375" style="4" customWidth="1"/>
    <col min="3853" max="3853" width="10.5703125" style="4" customWidth="1"/>
    <col min="3854" max="3854" width="17.28515625" style="4" bestFit="1" customWidth="1"/>
    <col min="3855" max="3869" width="11.7109375" style="4" customWidth="1"/>
    <col min="3870" max="4096" width="8.7109375" style="4"/>
    <col min="4097" max="4097" width="34.5703125" style="4" customWidth="1"/>
    <col min="4098" max="4098" width="9.85546875" style="4" customWidth="1"/>
    <col min="4099" max="4099" width="8.7109375" style="4"/>
    <col min="4100" max="4100" width="3" style="4" customWidth="1"/>
    <col min="4101" max="4101" width="18.42578125" style="4" customWidth="1"/>
    <col min="4102" max="4102" width="0" style="4" hidden="1" customWidth="1"/>
    <col min="4103" max="4103" width="3" style="4" customWidth="1"/>
    <col min="4104" max="4104" width="10.7109375" style="4" customWidth="1"/>
    <col min="4105" max="4105" width="2.7109375" style="4" customWidth="1"/>
    <col min="4106" max="4106" width="6.7109375" style="4" customWidth="1"/>
    <col min="4107" max="4107" width="3" style="4" customWidth="1"/>
    <col min="4108" max="4108" width="17.7109375" style="4" customWidth="1"/>
    <col min="4109" max="4109" width="10.5703125" style="4" customWidth="1"/>
    <col min="4110" max="4110" width="17.28515625" style="4" bestFit="1" customWidth="1"/>
    <col min="4111" max="4125" width="11.7109375" style="4" customWidth="1"/>
    <col min="4126" max="4352" width="8.7109375" style="4"/>
    <col min="4353" max="4353" width="34.5703125" style="4" customWidth="1"/>
    <col min="4354" max="4354" width="9.85546875" style="4" customWidth="1"/>
    <col min="4355" max="4355" width="8.7109375" style="4"/>
    <col min="4356" max="4356" width="3" style="4" customWidth="1"/>
    <col min="4357" max="4357" width="18.42578125" style="4" customWidth="1"/>
    <col min="4358" max="4358" width="0" style="4" hidden="1" customWidth="1"/>
    <col min="4359" max="4359" width="3" style="4" customWidth="1"/>
    <col min="4360" max="4360" width="10.7109375" style="4" customWidth="1"/>
    <col min="4361" max="4361" width="2.7109375" style="4" customWidth="1"/>
    <col min="4362" max="4362" width="6.7109375" style="4" customWidth="1"/>
    <col min="4363" max="4363" width="3" style="4" customWidth="1"/>
    <col min="4364" max="4364" width="17.7109375" style="4" customWidth="1"/>
    <col min="4365" max="4365" width="10.5703125" style="4" customWidth="1"/>
    <col min="4366" max="4366" width="17.28515625" style="4" bestFit="1" customWidth="1"/>
    <col min="4367" max="4381" width="11.7109375" style="4" customWidth="1"/>
    <col min="4382" max="4608" width="8.7109375" style="4"/>
    <col min="4609" max="4609" width="34.5703125" style="4" customWidth="1"/>
    <col min="4610" max="4610" width="9.85546875" style="4" customWidth="1"/>
    <col min="4611" max="4611" width="8.7109375" style="4"/>
    <col min="4612" max="4612" width="3" style="4" customWidth="1"/>
    <col min="4613" max="4613" width="18.42578125" style="4" customWidth="1"/>
    <col min="4614" max="4614" width="0" style="4" hidden="1" customWidth="1"/>
    <col min="4615" max="4615" width="3" style="4" customWidth="1"/>
    <col min="4616" max="4616" width="10.7109375" style="4" customWidth="1"/>
    <col min="4617" max="4617" width="2.7109375" style="4" customWidth="1"/>
    <col min="4618" max="4618" width="6.7109375" style="4" customWidth="1"/>
    <col min="4619" max="4619" width="3" style="4" customWidth="1"/>
    <col min="4620" max="4620" width="17.7109375" style="4" customWidth="1"/>
    <col min="4621" max="4621" width="10.5703125" style="4" customWidth="1"/>
    <col min="4622" max="4622" width="17.28515625" style="4" bestFit="1" customWidth="1"/>
    <col min="4623" max="4637" width="11.7109375" style="4" customWidth="1"/>
    <col min="4638" max="4864" width="8.7109375" style="4"/>
    <col min="4865" max="4865" width="34.5703125" style="4" customWidth="1"/>
    <col min="4866" max="4866" width="9.85546875" style="4" customWidth="1"/>
    <col min="4867" max="4867" width="8.7109375" style="4"/>
    <col min="4868" max="4868" width="3" style="4" customWidth="1"/>
    <col min="4869" max="4869" width="18.42578125" style="4" customWidth="1"/>
    <col min="4870" max="4870" width="0" style="4" hidden="1" customWidth="1"/>
    <col min="4871" max="4871" width="3" style="4" customWidth="1"/>
    <col min="4872" max="4872" width="10.7109375" style="4" customWidth="1"/>
    <col min="4873" max="4873" width="2.7109375" style="4" customWidth="1"/>
    <col min="4874" max="4874" width="6.7109375" style="4" customWidth="1"/>
    <col min="4875" max="4875" width="3" style="4" customWidth="1"/>
    <col min="4876" max="4876" width="17.7109375" style="4" customWidth="1"/>
    <col min="4877" max="4877" width="10.5703125" style="4" customWidth="1"/>
    <col min="4878" max="4878" width="17.28515625" style="4" bestFit="1" customWidth="1"/>
    <col min="4879" max="4893" width="11.7109375" style="4" customWidth="1"/>
    <col min="4894" max="5120" width="8.7109375" style="4"/>
    <col min="5121" max="5121" width="34.5703125" style="4" customWidth="1"/>
    <col min="5122" max="5122" width="9.85546875" style="4" customWidth="1"/>
    <col min="5123" max="5123" width="8.7109375" style="4"/>
    <col min="5124" max="5124" width="3" style="4" customWidth="1"/>
    <col min="5125" max="5125" width="18.42578125" style="4" customWidth="1"/>
    <col min="5126" max="5126" width="0" style="4" hidden="1" customWidth="1"/>
    <col min="5127" max="5127" width="3" style="4" customWidth="1"/>
    <col min="5128" max="5128" width="10.7109375" style="4" customWidth="1"/>
    <col min="5129" max="5129" width="2.7109375" style="4" customWidth="1"/>
    <col min="5130" max="5130" width="6.7109375" style="4" customWidth="1"/>
    <col min="5131" max="5131" width="3" style="4" customWidth="1"/>
    <col min="5132" max="5132" width="17.7109375" style="4" customWidth="1"/>
    <col min="5133" max="5133" width="10.5703125" style="4" customWidth="1"/>
    <col min="5134" max="5134" width="17.28515625" style="4" bestFit="1" customWidth="1"/>
    <col min="5135" max="5149" width="11.7109375" style="4" customWidth="1"/>
    <col min="5150" max="5376" width="8.7109375" style="4"/>
    <col min="5377" max="5377" width="34.5703125" style="4" customWidth="1"/>
    <col min="5378" max="5378" width="9.85546875" style="4" customWidth="1"/>
    <col min="5379" max="5379" width="8.7109375" style="4"/>
    <col min="5380" max="5380" width="3" style="4" customWidth="1"/>
    <col min="5381" max="5381" width="18.42578125" style="4" customWidth="1"/>
    <col min="5382" max="5382" width="0" style="4" hidden="1" customWidth="1"/>
    <col min="5383" max="5383" width="3" style="4" customWidth="1"/>
    <col min="5384" max="5384" width="10.7109375" style="4" customWidth="1"/>
    <col min="5385" max="5385" width="2.7109375" style="4" customWidth="1"/>
    <col min="5386" max="5386" width="6.7109375" style="4" customWidth="1"/>
    <col min="5387" max="5387" width="3" style="4" customWidth="1"/>
    <col min="5388" max="5388" width="17.7109375" style="4" customWidth="1"/>
    <col min="5389" max="5389" width="10.5703125" style="4" customWidth="1"/>
    <col min="5390" max="5390" width="17.28515625" style="4" bestFit="1" customWidth="1"/>
    <col min="5391" max="5405" width="11.7109375" style="4" customWidth="1"/>
    <col min="5406" max="5632" width="8.7109375" style="4"/>
    <col min="5633" max="5633" width="34.5703125" style="4" customWidth="1"/>
    <col min="5634" max="5634" width="9.85546875" style="4" customWidth="1"/>
    <col min="5635" max="5635" width="8.7109375" style="4"/>
    <col min="5636" max="5636" width="3" style="4" customWidth="1"/>
    <col min="5637" max="5637" width="18.42578125" style="4" customWidth="1"/>
    <col min="5638" max="5638" width="0" style="4" hidden="1" customWidth="1"/>
    <col min="5639" max="5639" width="3" style="4" customWidth="1"/>
    <col min="5640" max="5640" width="10.7109375" style="4" customWidth="1"/>
    <col min="5641" max="5641" width="2.7109375" style="4" customWidth="1"/>
    <col min="5642" max="5642" width="6.7109375" style="4" customWidth="1"/>
    <col min="5643" max="5643" width="3" style="4" customWidth="1"/>
    <col min="5644" max="5644" width="17.7109375" style="4" customWidth="1"/>
    <col min="5645" max="5645" width="10.5703125" style="4" customWidth="1"/>
    <col min="5646" max="5646" width="17.28515625" style="4" bestFit="1" customWidth="1"/>
    <col min="5647" max="5661" width="11.7109375" style="4" customWidth="1"/>
    <col min="5662" max="5888" width="8.7109375" style="4"/>
    <col min="5889" max="5889" width="34.5703125" style="4" customWidth="1"/>
    <col min="5890" max="5890" width="9.85546875" style="4" customWidth="1"/>
    <col min="5891" max="5891" width="8.7109375" style="4"/>
    <col min="5892" max="5892" width="3" style="4" customWidth="1"/>
    <col min="5893" max="5893" width="18.42578125" style="4" customWidth="1"/>
    <col min="5894" max="5894" width="0" style="4" hidden="1" customWidth="1"/>
    <col min="5895" max="5895" width="3" style="4" customWidth="1"/>
    <col min="5896" max="5896" width="10.7109375" style="4" customWidth="1"/>
    <col min="5897" max="5897" width="2.7109375" style="4" customWidth="1"/>
    <col min="5898" max="5898" width="6.7109375" style="4" customWidth="1"/>
    <col min="5899" max="5899" width="3" style="4" customWidth="1"/>
    <col min="5900" max="5900" width="17.7109375" style="4" customWidth="1"/>
    <col min="5901" max="5901" width="10.5703125" style="4" customWidth="1"/>
    <col min="5902" max="5902" width="17.28515625" style="4" bestFit="1" customWidth="1"/>
    <col min="5903" max="5917" width="11.7109375" style="4" customWidth="1"/>
    <col min="5918" max="6144" width="8.7109375" style="4"/>
    <col min="6145" max="6145" width="34.5703125" style="4" customWidth="1"/>
    <col min="6146" max="6146" width="9.85546875" style="4" customWidth="1"/>
    <col min="6147" max="6147" width="8.7109375" style="4"/>
    <col min="6148" max="6148" width="3" style="4" customWidth="1"/>
    <col min="6149" max="6149" width="18.42578125" style="4" customWidth="1"/>
    <col min="6150" max="6150" width="0" style="4" hidden="1" customWidth="1"/>
    <col min="6151" max="6151" width="3" style="4" customWidth="1"/>
    <col min="6152" max="6152" width="10.7109375" style="4" customWidth="1"/>
    <col min="6153" max="6153" width="2.7109375" style="4" customWidth="1"/>
    <col min="6154" max="6154" width="6.7109375" style="4" customWidth="1"/>
    <col min="6155" max="6155" width="3" style="4" customWidth="1"/>
    <col min="6156" max="6156" width="17.7109375" style="4" customWidth="1"/>
    <col min="6157" max="6157" width="10.5703125" style="4" customWidth="1"/>
    <col min="6158" max="6158" width="17.28515625" style="4" bestFit="1" customWidth="1"/>
    <col min="6159" max="6173" width="11.7109375" style="4" customWidth="1"/>
    <col min="6174" max="6400" width="8.7109375" style="4"/>
    <col min="6401" max="6401" width="34.5703125" style="4" customWidth="1"/>
    <col min="6402" max="6402" width="9.85546875" style="4" customWidth="1"/>
    <col min="6403" max="6403" width="8.7109375" style="4"/>
    <col min="6404" max="6404" width="3" style="4" customWidth="1"/>
    <col min="6405" max="6405" width="18.42578125" style="4" customWidth="1"/>
    <col min="6406" max="6406" width="0" style="4" hidden="1" customWidth="1"/>
    <col min="6407" max="6407" width="3" style="4" customWidth="1"/>
    <col min="6408" max="6408" width="10.7109375" style="4" customWidth="1"/>
    <col min="6409" max="6409" width="2.7109375" style="4" customWidth="1"/>
    <col min="6410" max="6410" width="6.7109375" style="4" customWidth="1"/>
    <col min="6411" max="6411" width="3" style="4" customWidth="1"/>
    <col min="6412" max="6412" width="17.7109375" style="4" customWidth="1"/>
    <col min="6413" max="6413" width="10.5703125" style="4" customWidth="1"/>
    <col min="6414" max="6414" width="17.28515625" style="4" bestFit="1" customWidth="1"/>
    <col min="6415" max="6429" width="11.7109375" style="4" customWidth="1"/>
    <col min="6430" max="6656" width="8.7109375" style="4"/>
    <col min="6657" max="6657" width="34.5703125" style="4" customWidth="1"/>
    <col min="6658" max="6658" width="9.85546875" style="4" customWidth="1"/>
    <col min="6659" max="6659" width="8.7109375" style="4"/>
    <col min="6660" max="6660" width="3" style="4" customWidth="1"/>
    <col min="6661" max="6661" width="18.42578125" style="4" customWidth="1"/>
    <col min="6662" max="6662" width="0" style="4" hidden="1" customWidth="1"/>
    <col min="6663" max="6663" width="3" style="4" customWidth="1"/>
    <col min="6664" max="6664" width="10.7109375" style="4" customWidth="1"/>
    <col min="6665" max="6665" width="2.7109375" style="4" customWidth="1"/>
    <col min="6666" max="6666" width="6.7109375" style="4" customWidth="1"/>
    <col min="6667" max="6667" width="3" style="4" customWidth="1"/>
    <col min="6668" max="6668" width="17.7109375" style="4" customWidth="1"/>
    <col min="6669" max="6669" width="10.5703125" style="4" customWidth="1"/>
    <col min="6670" max="6670" width="17.28515625" style="4" bestFit="1" customWidth="1"/>
    <col min="6671" max="6685" width="11.7109375" style="4" customWidth="1"/>
    <col min="6686" max="6912" width="8.7109375" style="4"/>
    <col min="6913" max="6913" width="34.5703125" style="4" customWidth="1"/>
    <col min="6914" max="6914" width="9.85546875" style="4" customWidth="1"/>
    <col min="6915" max="6915" width="8.7109375" style="4"/>
    <col min="6916" max="6916" width="3" style="4" customWidth="1"/>
    <col min="6917" max="6917" width="18.42578125" style="4" customWidth="1"/>
    <col min="6918" max="6918" width="0" style="4" hidden="1" customWidth="1"/>
    <col min="6919" max="6919" width="3" style="4" customWidth="1"/>
    <col min="6920" max="6920" width="10.7109375" style="4" customWidth="1"/>
    <col min="6921" max="6921" width="2.7109375" style="4" customWidth="1"/>
    <col min="6922" max="6922" width="6.7109375" style="4" customWidth="1"/>
    <col min="6923" max="6923" width="3" style="4" customWidth="1"/>
    <col min="6924" max="6924" width="17.7109375" style="4" customWidth="1"/>
    <col min="6925" max="6925" width="10.5703125" style="4" customWidth="1"/>
    <col min="6926" max="6926" width="17.28515625" style="4" bestFit="1" customWidth="1"/>
    <col min="6927" max="6941" width="11.7109375" style="4" customWidth="1"/>
    <col min="6942" max="7168" width="8.7109375" style="4"/>
    <col min="7169" max="7169" width="34.5703125" style="4" customWidth="1"/>
    <col min="7170" max="7170" width="9.85546875" style="4" customWidth="1"/>
    <col min="7171" max="7171" width="8.7109375" style="4"/>
    <col min="7172" max="7172" width="3" style="4" customWidth="1"/>
    <col min="7173" max="7173" width="18.42578125" style="4" customWidth="1"/>
    <col min="7174" max="7174" width="0" style="4" hidden="1" customWidth="1"/>
    <col min="7175" max="7175" width="3" style="4" customWidth="1"/>
    <col min="7176" max="7176" width="10.7109375" style="4" customWidth="1"/>
    <col min="7177" max="7177" width="2.7109375" style="4" customWidth="1"/>
    <col min="7178" max="7178" width="6.7109375" style="4" customWidth="1"/>
    <col min="7179" max="7179" width="3" style="4" customWidth="1"/>
    <col min="7180" max="7180" width="17.7109375" style="4" customWidth="1"/>
    <col min="7181" max="7181" width="10.5703125" style="4" customWidth="1"/>
    <col min="7182" max="7182" width="17.28515625" style="4" bestFit="1" customWidth="1"/>
    <col min="7183" max="7197" width="11.7109375" style="4" customWidth="1"/>
    <col min="7198" max="7424" width="8.7109375" style="4"/>
    <col min="7425" max="7425" width="34.5703125" style="4" customWidth="1"/>
    <col min="7426" max="7426" width="9.85546875" style="4" customWidth="1"/>
    <col min="7427" max="7427" width="8.7109375" style="4"/>
    <col min="7428" max="7428" width="3" style="4" customWidth="1"/>
    <col min="7429" max="7429" width="18.42578125" style="4" customWidth="1"/>
    <col min="7430" max="7430" width="0" style="4" hidden="1" customWidth="1"/>
    <col min="7431" max="7431" width="3" style="4" customWidth="1"/>
    <col min="7432" max="7432" width="10.7109375" style="4" customWidth="1"/>
    <col min="7433" max="7433" width="2.7109375" style="4" customWidth="1"/>
    <col min="7434" max="7434" width="6.7109375" style="4" customWidth="1"/>
    <col min="7435" max="7435" width="3" style="4" customWidth="1"/>
    <col min="7436" max="7436" width="17.7109375" style="4" customWidth="1"/>
    <col min="7437" max="7437" width="10.5703125" style="4" customWidth="1"/>
    <col min="7438" max="7438" width="17.28515625" style="4" bestFit="1" customWidth="1"/>
    <col min="7439" max="7453" width="11.7109375" style="4" customWidth="1"/>
    <col min="7454" max="7680" width="8.7109375" style="4"/>
    <col min="7681" max="7681" width="34.5703125" style="4" customWidth="1"/>
    <col min="7682" max="7682" width="9.85546875" style="4" customWidth="1"/>
    <col min="7683" max="7683" width="8.7109375" style="4"/>
    <col min="7684" max="7684" width="3" style="4" customWidth="1"/>
    <col min="7685" max="7685" width="18.42578125" style="4" customWidth="1"/>
    <col min="7686" max="7686" width="0" style="4" hidden="1" customWidth="1"/>
    <col min="7687" max="7687" width="3" style="4" customWidth="1"/>
    <col min="7688" max="7688" width="10.7109375" style="4" customWidth="1"/>
    <col min="7689" max="7689" width="2.7109375" style="4" customWidth="1"/>
    <col min="7690" max="7690" width="6.7109375" style="4" customWidth="1"/>
    <col min="7691" max="7691" width="3" style="4" customWidth="1"/>
    <col min="7692" max="7692" width="17.7109375" style="4" customWidth="1"/>
    <col min="7693" max="7693" width="10.5703125" style="4" customWidth="1"/>
    <col min="7694" max="7694" width="17.28515625" style="4" bestFit="1" customWidth="1"/>
    <col min="7695" max="7709" width="11.7109375" style="4" customWidth="1"/>
    <col min="7710" max="7936" width="8.7109375" style="4"/>
    <col min="7937" max="7937" width="34.5703125" style="4" customWidth="1"/>
    <col min="7938" max="7938" width="9.85546875" style="4" customWidth="1"/>
    <col min="7939" max="7939" width="8.7109375" style="4"/>
    <col min="7940" max="7940" width="3" style="4" customWidth="1"/>
    <col min="7941" max="7941" width="18.42578125" style="4" customWidth="1"/>
    <col min="7942" max="7942" width="0" style="4" hidden="1" customWidth="1"/>
    <col min="7943" max="7943" width="3" style="4" customWidth="1"/>
    <col min="7944" max="7944" width="10.7109375" style="4" customWidth="1"/>
    <col min="7945" max="7945" width="2.7109375" style="4" customWidth="1"/>
    <col min="7946" max="7946" width="6.7109375" style="4" customWidth="1"/>
    <col min="7947" max="7947" width="3" style="4" customWidth="1"/>
    <col min="7948" max="7948" width="17.7109375" style="4" customWidth="1"/>
    <col min="7949" max="7949" width="10.5703125" style="4" customWidth="1"/>
    <col min="7950" max="7950" width="17.28515625" style="4" bestFit="1" customWidth="1"/>
    <col min="7951" max="7965" width="11.7109375" style="4" customWidth="1"/>
    <col min="7966" max="8192" width="8.7109375" style="4"/>
    <col min="8193" max="8193" width="34.5703125" style="4" customWidth="1"/>
    <col min="8194" max="8194" width="9.85546875" style="4" customWidth="1"/>
    <col min="8195" max="8195" width="8.7109375" style="4"/>
    <col min="8196" max="8196" width="3" style="4" customWidth="1"/>
    <col min="8197" max="8197" width="18.42578125" style="4" customWidth="1"/>
    <col min="8198" max="8198" width="0" style="4" hidden="1" customWidth="1"/>
    <col min="8199" max="8199" width="3" style="4" customWidth="1"/>
    <col min="8200" max="8200" width="10.7109375" style="4" customWidth="1"/>
    <col min="8201" max="8201" width="2.7109375" style="4" customWidth="1"/>
    <col min="8202" max="8202" width="6.7109375" style="4" customWidth="1"/>
    <col min="8203" max="8203" width="3" style="4" customWidth="1"/>
    <col min="8204" max="8204" width="17.7109375" style="4" customWidth="1"/>
    <col min="8205" max="8205" width="10.5703125" style="4" customWidth="1"/>
    <col min="8206" max="8206" width="17.28515625" style="4" bestFit="1" customWidth="1"/>
    <col min="8207" max="8221" width="11.7109375" style="4" customWidth="1"/>
    <col min="8222" max="8448" width="8.7109375" style="4"/>
    <col min="8449" max="8449" width="34.5703125" style="4" customWidth="1"/>
    <col min="8450" max="8450" width="9.85546875" style="4" customWidth="1"/>
    <col min="8451" max="8451" width="8.7109375" style="4"/>
    <col min="8452" max="8452" width="3" style="4" customWidth="1"/>
    <col min="8453" max="8453" width="18.42578125" style="4" customWidth="1"/>
    <col min="8454" max="8454" width="0" style="4" hidden="1" customWidth="1"/>
    <col min="8455" max="8455" width="3" style="4" customWidth="1"/>
    <col min="8456" max="8456" width="10.7109375" style="4" customWidth="1"/>
    <col min="8457" max="8457" width="2.7109375" style="4" customWidth="1"/>
    <col min="8458" max="8458" width="6.7109375" style="4" customWidth="1"/>
    <col min="8459" max="8459" width="3" style="4" customWidth="1"/>
    <col min="8460" max="8460" width="17.7109375" style="4" customWidth="1"/>
    <col min="8461" max="8461" width="10.5703125" style="4" customWidth="1"/>
    <col min="8462" max="8462" width="17.28515625" style="4" bestFit="1" customWidth="1"/>
    <col min="8463" max="8477" width="11.7109375" style="4" customWidth="1"/>
    <col min="8478" max="8704" width="8.7109375" style="4"/>
    <col min="8705" max="8705" width="34.5703125" style="4" customWidth="1"/>
    <col min="8706" max="8706" width="9.85546875" style="4" customWidth="1"/>
    <col min="8707" max="8707" width="8.7109375" style="4"/>
    <col min="8708" max="8708" width="3" style="4" customWidth="1"/>
    <col min="8709" max="8709" width="18.42578125" style="4" customWidth="1"/>
    <col min="8710" max="8710" width="0" style="4" hidden="1" customWidth="1"/>
    <col min="8711" max="8711" width="3" style="4" customWidth="1"/>
    <col min="8712" max="8712" width="10.7109375" style="4" customWidth="1"/>
    <col min="8713" max="8713" width="2.7109375" style="4" customWidth="1"/>
    <col min="8714" max="8714" width="6.7109375" style="4" customWidth="1"/>
    <col min="8715" max="8715" width="3" style="4" customWidth="1"/>
    <col min="8716" max="8716" width="17.7109375" style="4" customWidth="1"/>
    <col min="8717" max="8717" width="10.5703125" style="4" customWidth="1"/>
    <col min="8718" max="8718" width="17.28515625" style="4" bestFit="1" customWidth="1"/>
    <col min="8719" max="8733" width="11.7109375" style="4" customWidth="1"/>
    <col min="8734" max="8960" width="8.7109375" style="4"/>
    <col min="8961" max="8961" width="34.5703125" style="4" customWidth="1"/>
    <col min="8962" max="8962" width="9.85546875" style="4" customWidth="1"/>
    <col min="8963" max="8963" width="8.7109375" style="4"/>
    <col min="8964" max="8964" width="3" style="4" customWidth="1"/>
    <col min="8965" max="8965" width="18.42578125" style="4" customWidth="1"/>
    <col min="8966" max="8966" width="0" style="4" hidden="1" customWidth="1"/>
    <col min="8967" max="8967" width="3" style="4" customWidth="1"/>
    <col min="8968" max="8968" width="10.7109375" style="4" customWidth="1"/>
    <col min="8969" max="8969" width="2.7109375" style="4" customWidth="1"/>
    <col min="8970" max="8970" width="6.7109375" style="4" customWidth="1"/>
    <col min="8971" max="8971" width="3" style="4" customWidth="1"/>
    <col min="8972" max="8972" width="17.7109375" style="4" customWidth="1"/>
    <col min="8973" max="8973" width="10.5703125" style="4" customWidth="1"/>
    <col min="8974" max="8974" width="17.28515625" style="4" bestFit="1" customWidth="1"/>
    <col min="8975" max="8989" width="11.7109375" style="4" customWidth="1"/>
    <col min="8990" max="9216" width="8.7109375" style="4"/>
    <col min="9217" max="9217" width="34.5703125" style="4" customWidth="1"/>
    <col min="9218" max="9218" width="9.85546875" style="4" customWidth="1"/>
    <col min="9219" max="9219" width="8.7109375" style="4"/>
    <col min="9220" max="9220" width="3" style="4" customWidth="1"/>
    <col min="9221" max="9221" width="18.42578125" style="4" customWidth="1"/>
    <col min="9222" max="9222" width="0" style="4" hidden="1" customWidth="1"/>
    <col min="9223" max="9223" width="3" style="4" customWidth="1"/>
    <col min="9224" max="9224" width="10.7109375" style="4" customWidth="1"/>
    <col min="9225" max="9225" width="2.7109375" style="4" customWidth="1"/>
    <col min="9226" max="9226" width="6.7109375" style="4" customWidth="1"/>
    <col min="9227" max="9227" width="3" style="4" customWidth="1"/>
    <col min="9228" max="9228" width="17.7109375" style="4" customWidth="1"/>
    <col min="9229" max="9229" width="10.5703125" style="4" customWidth="1"/>
    <col min="9230" max="9230" width="17.28515625" style="4" bestFit="1" customWidth="1"/>
    <col min="9231" max="9245" width="11.7109375" style="4" customWidth="1"/>
    <col min="9246" max="9472" width="8.7109375" style="4"/>
    <col min="9473" max="9473" width="34.5703125" style="4" customWidth="1"/>
    <col min="9474" max="9474" width="9.85546875" style="4" customWidth="1"/>
    <col min="9475" max="9475" width="8.7109375" style="4"/>
    <col min="9476" max="9476" width="3" style="4" customWidth="1"/>
    <col min="9477" max="9477" width="18.42578125" style="4" customWidth="1"/>
    <col min="9478" max="9478" width="0" style="4" hidden="1" customWidth="1"/>
    <col min="9479" max="9479" width="3" style="4" customWidth="1"/>
    <col min="9480" max="9480" width="10.7109375" style="4" customWidth="1"/>
    <col min="9481" max="9481" width="2.7109375" style="4" customWidth="1"/>
    <col min="9482" max="9482" width="6.7109375" style="4" customWidth="1"/>
    <col min="9483" max="9483" width="3" style="4" customWidth="1"/>
    <col min="9484" max="9484" width="17.7109375" style="4" customWidth="1"/>
    <col min="9485" max="9485" width="10.5703125" style="4" customWidth="1"/>
    <col min="9486" max="9486" width="17.28515625" style="4" bestFit="1" customWidth="1"/>
    <col min="9487" max="9501" width="11.7109375" style="4" customWidth="1"/>
    <col min="9502" max="9728" width="8.7109375" style="4"/>
    <col min="9729" max="9729" width="34.5703125" style="4" customWidth="1"/>
    <col min="9730" max="9730" width="9.85546875" style="4" customWidth="1"/>
    <col min="9731" max="9731" width="8.7109375" style="4"/>
    <col min="9732" max="9732" width="3" style="4" customWidth="1"/>
    <col min="9733" max="9733" width="18.42578125" style="4" customWidth="1"/>
    <col min="9734" max="9734" width="0" style="4" hidden="1" customWidth="1"/>
    <col min="9735" max="9735" width="3" style="4" customWidth="1"/>
    <col min="9736" max="9736" width="10.7109375" style="4" customWidth="1"/>
    <col min="9737" max="9737" width="2.7109375" style="4" customWidth="1"/>
    <col min="9738" max="9738" width="6.7109375" style="4" customWidth="1"/>
    <col min="9739" max="9739" width="3" style="4" customWidth="1"/>
    <col min="9740" max="9740" width="17.7109375" style="4" customWidth="1"/>
    <col min="9741" max="9741" width="10.5703125" style="4" customWidth="1"/>
    <col min="9742" max="9742" width="17.28515625" style="4" bestFit="1" customWidth="1"/>
    <col min="9743" max="9757" width="11.7109375" style="4" customWidth="1"/>
    <col min="9758" max="9984" width="8.7109375" style="4"/>
    <col min="9985" max="9985" width="34.5703125" style="4" customWidth="1"/>
    <col min="9986" max="9986" width="9.85546875" style="4" customWidth="1"/>
    <col min="9987" max="9987" width="8.7109375" style="4"/>
    <col min="9988" max="9988" width="3" style="4" customWidth="1"/>
    <col min="9989" max="9989" width="18.42578125" style="4" customWidth="1"/>
    <col min="9990" max="9990" width="0" style="4" hidden="1" customWidth="1"/>
    <col min="9991" max="9991" width="3" style="4" customWidth="1"/>
    <col min="9992" max="9992" width="10.7109375" style="4" customWidth="1"/>
    <col min="9993" max="9993" width="2.7109375" style="4" customWidth="1"/>
    <col min="9994" max="9994" width="6.7109375" style="4" customWidth="1"/>
    <col min="9995" max="9995" width="3" style="4" customWidth="1"/>
    <col min="9996" max="9996" width="17.7109375" style="4" customWidth="1"/>
    <col min="9997" max="9997" width="10.5703125" style="4" customWidth="1"/>
    <col min="9998" max="9998" width="17.28515625" style="4" bestFit="1" customWidth="1"/>
    <col min="9999" max="10013" width="11.7109375" style="4" customWidth="1"/>
    <col min="10014" max="10240" width="8.7109375" style="4"/>
    <col min="10241" max="10241" width="34.5703125" style="4" customWidth="1"/>
    <col min="10242" max="10242" width="9.85546875" style="4" customWidth="1"/>
    <col min="10243" max="10243" width="8.7109375" style="4"/>
    <col min="10244" max="10244" width="3" style="4" customWidth="1"/>
    <col min="10245" max="10245" width="18.42578125" style="4" customWidth="1"/>
    <col min="10246" max="10246" width="0" style="4" hidden="1" customWidth="1"/>
    <col min="10247" max="10247" width="3" style="4" customWidth="1"/>
    <col min="10248" max="10248" width="10.7109375" style="4" customWidth="1"/>
    <col min="10249" max="10249" width="2.7109375" style="4" customWidth="1"/>
    <col min="10250" max="10250" width="6.7109375" style="4" customWidth="1"/>
    <col min="10251" max="10251" width="3" style="4" customWidth="1"/>
    <col min="10252" max="10252" width="17.7109375" style="4" customWidth="1"/>
    <col min="10253" max="10253" width="10.5703125" style="4" customWidth="1"/>
    <col min="10254" max="10254" width="17.28515625" style="4" bestFit="1" customWidth="1"/>
    <col min="10255" max="10269" width="11.7109375" style="4" customWidth="1"/>
    <col min="10270" max="10496" width="8.7109375" style="4"/>
    <col min="10497" max="10497" width="34.5703125" style="4" customWidth="1"/>
    <col min="10498" max="10498" width="9.85546875" style="4" customWidth="1"/>
    <col min="10499" max="10499" width="8.7109375" style="4"/>
    <col min="10500" max="10500" width="3" style="4" customWidth="1"/>
    <col min="10501" max="10501" width="18.42578125" style="4" customWidth="1"/>
    <col min="10502" max="10502" width="0" style="4" hidden="1" customWidth="1"/>
    <col min="10503" max="10503" width="3" style="4" customWidth="1"/>
    <col min="10504" max="10504" width="10.7109375" style="4" customWidth="1"/>
    <col min="10505" max="10505" width="2.7109375" style="4" customWidth="1"/>
    <col min="10506" max="10506" width="6.7109375" style="4" customWidth="1"/>
    <col min="10507" max="10507" width="3" style="4" customWidth="1"/>
    <col min="10508" max="10508" width="17.7109375" style="4" customWidth="1"/>
    <col min="10509" max="10509" width="10.5703125" style="4" customWidth="1"/>
    <col min="10510" max="10510" width="17.28515625" style="4" bestFit="1" customWidth="1"/>
    <col min="10511" max="10525" width="11.7109375" style="4" customWidth="1"/>
    <col min="10526" max="10752" width="8.7109375" style="4"/>
    <col min="10753" max="10753" width="34.5703125" style="4" customWidth="1"/>
    <col min="10754" max="10754" width="9.85546875" style="4" customWidth="1"/>
    <col min="10755" max="10755" width="8.7109375" style="4"/>
    <col min="10756" max="10756" width="3" style="4" customWidth="1"/>
    <col min="10757" max="10757" width="18.42578125" style="4" customWidth="1"/>
    <col min="10758" max="10758" width="0" style="4" hidden="1" customWidth="1"/>
    <col min="10759" max="10759" width="3" style="4" customWidth="1"/>
    <col min="10760" max="10760" width="10.7109375" style="4" customWidth="1"/>
    <col min="10761" max="10761" width="2.7109375" style="4" customWidth="1"/>
    <col min="10762" max="10762" width="6.7109375" style="4" customWidth="1"/>
    <col min="10763" max="10763" width="3" style="4" customWidth="1"/>
    <col min="10764" max="10764" width="17.7109375" style="4" customWidth="1"/>
    <col min="10765" max="10765" width="10.5703125" style="4" customWidth="1"/>
    <col min="10766" max="10766" width="17.28515625" style="4" bestFit="1" customWidth="1"/>
    <col min="10767" max="10781" width="11.7109375" style="4" customWidth="1"/>
    <col min="10782" max="11008" width="8.7109375" style="4"/>
    <col min="11009" max="11009" width="34.5703125" style="4" customWidth="1"/>
    <col min="11010" max="11010" width="9.85546875" style="4" customWidth="1"/>
    <col min="11011" max="11011" width="8.7109375" style="4"/>
    <col min="11012" max="11012" width="3" style="4" customWidth="1"/>
    <col min="11013" max="11013" width="18.42578125" style="4" customWidth="1"/>
    <col min="11014" max="11014" width="0" style="4" hidden="1" customWidth="1"/>
    <col min="11015" max="11015" width="3" style="4" customWidth="1"/>
    <col min="11016" max="11016" width="10.7109375" style="4" customWidth="1"/>
    <col min="11017" max="11017" width="2.7109375" style="4" customWidth="1"/>
    <col min="11018" max="11018" width="6.7109375" style="4" customWidth="1"/>
    <col min="11019" max="11019" width="3" style="4" customWidth="1"/>
    <col min="11020" max="11020" width="17.7109375" style="4" customWidth="1"/>
    <col min="11021" max="11021" width="10.5703125" style="4" customWidth="1"/>
    <col min="11022" max="11022" width="17.28515625" style="4" bestFit="1" customWidth="1"/>
    <col min="11023" max="11037" width="11.7109375" style="4" customWidth="1"/>
    <col min="11038" max="11264" width="8.7109375" style="4"/>
    <col min="11265" max="11265" width="34.5703125" style="4" customWidth="1"/>
    <col min="11266" max="11266" width="9.85546875" style="4" customWidth="1"/>
    <col min="11267" max="11267" width="8.7109375" style="4"/>
    <col min="11268" max="11268" width="3" style="4" customWidth="1"/>
    <col min="11269" max="11269" width="18.42578125" style="4" customWidth="1"/>
    <col min="11270" max="11270" width="0" style="4" hidden="1" customWidth="1"/>
    <col min="11271" max="11271" width="3" style="4" customWidth="1"/>
    <col min="11272" max="11272" width="10.7109375" style="4" customWidth="1"/>
    <col min="11273" max="11273" width="2.7109375" style="4" customWidth="1"/>
    <col min="11274" max="11274" width="6.7109375" style="4" customWidth="1"/>
    <col min="11275" max="11275" width="3" style="4" customWidth="1"/>
    <col min="11276" max="11276" width="17.7109375" style="4" customWidth="1"/>
    <col min="11277" max="11277" width="10.5703125" style="4" customWidth="1"/>
    <col min="11278" max="11278" width="17.28515625" style="4" bestFit="1" customWidth="1"/>
    <col min="11279" max="11293" width="11.7109375" style="4" customWidth="1"/>
    <col min="11294" max="11520" width="8.7109375" style="4"/>
    <col min="11521" max="11521" width="34.5703125" style="4" customWidth="1"/>
    <col min="11522" max="11522" width="9.85546875" style="4" customWidth="1"/>
    <col min="11523" max="11523" width="8.7109375" style="4"/>
    <col min="11524" max="11524" width="3" style="4" customWidth="1"/>
    <col min="11525" max="11525" width="18.42578125" style="4" customWidth="1"/>
    <col min="11526" max="11526" width="0" style="4" hidden="1" customWidth="1"/>
    <col min="11527" max="11527" width="3" style="4" customWidth="1"/>
    <col min="11528" max="11528" width="10.7109375" style="4" customWidth="1"/>
    <col min="11529" max="11529" width="2.7109375" style="4" customWidth="1"/>
    <col min="11530" max="11530" width="6.7109375" style="4" customWidth="1"/>
    <col min="11531" max="11531" width="3" style="4" customWidth="1"/>
    <col min="11532" max="11532" width="17.7109375" style="4" customWidth="1"/>
    <col min="11533" max="11533" width="10.5703125" style="4" customWidth="1"/>
    <col min="11534" max="11534" width="17.28515625" style="4" bestFit="1" customWidth="1"/>
    <col min="11535" max="11549" width="11.7109375" style="4" customWidth="1"/>
    <col min="11550" max="11776" width="8.7109375" style="4"/>
    <col min="11777" max="11777" width="34.5703125" style="4" customWidth="1"/>
    <col min="11778" max="11778" width="9.85546875" style="4" customWidth="1"/>
    <col min="11779" max="11779" width="8.7109375" style="4"/>
    <col min="11780" max="11780" width="3" style="4" customWidth="1"/>
    <col min="11781" max="11781" width="18.42578125" style="4" customWidth="1"/>
    <col min="11782" max="11782" width="0" style="4" hidden="1" customWidth="1"/>
    <col min="11783" max="11783" width="3" style="4" customWidth="1"/>
    <col min="11784" max="11784" width="10.7109375" style="4" customWidth="1"/>
    <col min="11785" max="11785" width="2.7109375" style="4" customWidth="1"/>
    <col min="11786" max="11786" width="6.7109375" style="4" customWidth="1"/>
    <col min="11787" max="11787" width="3" style="4" customWidth="1"/>
    <col min="11788" max="11788" width="17.7109375" style="4" customWidth="1"/>
    <col min="11789" max="11789" width="10.5703125" style="4" customWidth="1"/>
    <col min="11790" max="11790" width="17.28515625" style="4" bestFit="1" customWidth="1"/>
    <col min="11791" max="11805" width="11.7109375" style="4" customWidth="1"/>
    <col min="11806" max="12032" width="8.7109375" style="4"/>
    <col min="12033" max="12033" width="34.5703125" style="4" customWidth="1"/>
    <col min="12034" max="12034" width="9.85546875" style="4" customWidth="1"/>
    <col min="12035" max="12035" width="8.7109375" style="4"/>
    <col min="12036" max="12036" width="3" style="4" customWidth="1"/>
    <col min="12037" max="12037" width="18.42578125" style="4" customWidth="1"/>
    <col min="12038" max="12038" width="0" style="4" hidden="1" customWidth="1"/>
    <col min="12039" max="12039" width="3" style="4" customWidth="1"/>
    <col min="12040" max="12040" width="10.7109375" style="4" customWidth="1"/>
    <col min="12041" max="12041" width="2.7109375" style="4" customWidth="1"/>
    <col min="12042" max="12042" width="6.7109375" style="4" customWidth="1"/>
    <col min="12043" max="12043" width="3" style="4" customWidth="1"/>
    <col min="12044" max="12044" width="17.7109375" style="4" customWidth="1"/>
    <col min="12045" max="12045" width="10.5703125" style="4" customWidth="1"/>
    <col min="12046" max="12046" width="17.28515625" style="4" bestFit="1" customWidth="1"/>
    <col min="12047" max="12061" width="11.7109375" style="4" customWidth="1"/>
    <col min="12062" max="12288" width="8.7109375" style="4"/>
    <col min="12289" max="12289" width="34.5703125" style="4" customWidth="1"/>
    <col min="12290" max="12290" width="9.85546875" style="4" customWidth="1"/>
    <col min="12291" max="12291" width="8.7109375" style="4"/>
    <col min="12292" max="12292" width="3" style="4" customWidth="1"/>
    <col min="12293" max="12293" width="18.42578125" style="4" customWidth="1"/>
    <col min="12294" max="12294" width="0" style="4" hidden="1" customWidth="1"/>
    <col min="12295" max="12295" width="3" style="4" customWidth="1"/>
    <col min="12296" max="12296" width="10.7109375" style="4" customWidth="1"/>
    <col min="12297" max="12297" width="2.7109375" style="4" customWidth="1"/>
    <col min="12298" max="12298" width="6.7109375" style="4" customWidth="1"/>
    <col min="12299" max="12299" width="3" style="4" customWidth="1"/>
    <col min="12300" max="12300" width="17.7109375" style="4" customWidth="1"/>
    <col min="12301" max="12301" width="10.5703125" style="4" customWidth="1"/>
    <col min="12302" max="12302" width="17.28515625" style="4" bestFit="1" customWidth="1"/>
    <col min="12303" max="12317" width="11.7109375" style="4" customWidth="1"/>
    <col min="12318" max="12544" width="8.7109375" style="4"/>
    <col min="12545" max="12545" width="34.5703125" style="4" customWidth="1"/>
    <col min="12546" max="12546" width="9.85546875" style="4" customWidth="1"/>
    <col min="12547" max="12547" width="8.7109375" style="4"/>
    <col min="12548" max="12548" width="3" style="4" customWidth="1"/>
    <col min="12549" max="12549" width="18.42578125" style="4" customWidth="1"/>
    <col min="12550" max="12550" width="0" style="4" hidden="1" customWidth="1"/>
    <col min="12551" max="12551" width="3" style="4" customWidth="1"/>
    <col min="12552" max="12552" width="10.7109375" style="4" customWidth="1"/>
    <col min="12553" max="12553" width="2.7109375" style="4" customWidth="1"/>
    <col min="12554" max="12554" width="6.7109375" style="4" customWidth="1"/>
    <col min="12555" max="12555" width="3" style="4" customWidth="1"/>
    <col min="12556" max="12556" width="17.7109375" style="4" customWidth="1"/>
    <col min="12557" max="12557" width="10.5703125" style="4" customWidth="1"/>
    <col min="12558" max="12558" width="17.28515625" style="4" bestFit="1" customWidth="1"/>
    <col min="12559" max="12573" width="11.7109375" style="4" customWidth="1"/>
    <col min="12574" max="12800" width="8.7109375" style="4"/>
    <col min="12801" max="12801" width="34.5703125" style="4" customWidth="1"/>
    <col min="12802" max="12802" width="9.85546875" style="4" customWidth="1"/>
    <col min="12803" max="12803" width="8.7109375" style="4"/>
    <col min="12804" max="12804" width="3" style="4" customWidth="1"/>
    <col min="12805" max="12805" width="18.42578125" style="4" customWidth="1"/>
    <col min="12806" max="12806" width="0" style="4" hidden="1" customWidth="1"/>
    <col min="12807" max="12807" width="3" style="4" customWidth="1"/>
    <col min="12808" max="12808" width="10.7109375" style="4" customWidth="1"/>
    <col min="12809" max="12809" width="2.7109375" style="4" customWidth="1"/>
    <col min="12810" max="12810" width="6.7109375" style="4" customWidth="1"/>
    <col min="12811" max="12811" width="3" style="4" customWidth="1"/>
    <col min="12812" max="12812" width="17.7109375" style="4" customWidth="1"/>
    <col min="12813" max="12813" width="10.5703125" style="4" customWidth="1"/>
    <col min="12814" max="12814" width="17.28515625" style="4" bestFit="1" customWidth="1"/>
    <col min="12815" max="12829" width="11.7109375" style="4" customWidth="1"/>
    <col min="12830" max="13056" width="8.7109375" style="4"/>
    <col min="13057" max="13057" width="34.5703125" style="4" customWidth="1"/>
    <col min="13058" max="13058" width="9.85546875" style="4" customWidth="1"/>
    <col min="13059" max="13059" width="8.7109375" style="4"/>
    <col min="13060" max="13060" width="3" style="4" customWidth="1"/>
    <col min="13061" max="13061" width="18.42578125" style="4" customWidth="1"/>
    <col min="13062" max="13062" width="0" style="4" hidden="1" customWidth="1"/>
    <col min="13063" max="13063" width="3" style="4" customWidth="1"/>
    <col min="13064" max="13064" width="10.7109375" style="4" customWidth="1"/>
    <col min="13065" max="13065" width="2.7109375" style="4" customWidth="1"/>
    <col min="13066" max="13066" width="6.7109375" style="4" customWidth="1"/>
    <col min="13067" max="13067" width="3" style="4" customWidth="1"/>
    <col min="13068" max="13068" width="17.7109375" style="4" customWidth="1"/>
    <col min="13069" max="13069" width="10.5703125" style="4" customWidth="1"/>
    <col min="13070" max="13070" width="17.28515625" style="4" bestFit="1" customWidth="1"/>
    <col min="13071" max="13085" width="11.7109375" style="4" customWidth="1"/>
    <col min="13086" max="13312" width="8.7109375" style="4"/>
    <col min="13313" max="13313" width="34.5703125" style="4" customWidth="1"/>
    <col min="13314" max="13314" width="9.85546875" style="4" customWidth="1"/>
    <col min="13315" max="13315" width="8.7109375" style="4"/>
    <col min="13316" max="13316" width="3" style="4" customWidth="1"/>
    <col min="13317" max="13317" width="18.42578125" style="4" customWidth="1"/>
    <col min="13318" max="13318" width="0" style="4" hidden="1" customWidth="1"/>
    <col min="13319" max="13319" width="3" style="4" customWidth="1"/>
    <col min="13320" max="13320" width="10.7109375" style="4" customWidth="1"/>
    <col min="13321" max="13321" width="2.7109375" style="4" customWidth="1"/>
    <col min="13322" max="13322" width="6.7109375" style="4" customWidth="1"/>
    <col min="13323" max="13323" width="3" style="4" customWidth="1"/>
    <col min="13324" max="13324" width="17.7109375" style="4" customWidth="1"/>
    <col min="13325" max="13325" width="10.5703125" style="4" customWidth="1"/>
    <col min="13326" max="13326" width="17.28515625" style="4" bestFit="1" customWidth="1"/>
    <col min="13327" max="13341" width="11.7109375" style="4" customWidth="1"/>
    <col min="13342" max="13568" width="8.7109375" style="4"/>
    <col min="13569" max="13569" width="34.5703125" style="4" customWidth="1"/>
    <col min="13570" max="13570" width="9.85546875" style="4" customWidth="1"/>
    <col min="13571" max="13571" width="8.7109375" style="4"/>
    <col min="13572" max="13572" width="3" style="4" customWidth="1"/>
    <col min="13573" max="13573" width="18.42578125" style="4" customWidth="1"/>
    <col min="13574" max="13574" width="0" style="4" hidden="1" customWidth="1"/>
    <col min="13575" max="13575" width="3" style="4" customWidth="1"/>
    <col min="13576" max="13576" width="10.7109375" style="4" customWidth="1"/>
    <col min="13577" max="13577" width="2.7109375" style="4" customWidth="1"/>
    <col min="13578" max="13578" width="6.7109375" style="4" customWidth="1"/>
    <col min="13579" max="13579" width="3" style="4" customWidth="1"/>
    <col min="13580" max="13580" width="17.7109375" style="4" customWidth="1"/>
    <col min="13581" max="13581" width="10.5703125" style="4" customWidth="1"/>
    <col min="13582" max="13582" width="17.28515625" style="4" bestFit="1" customWidth="1"/>
    <col min="13583" max="13597" width="11.7109375" style="4" customWidth="1"/>
    <col min="13598" max="13824" width="8.7109375" style="4"/>
    <col min="13825" max="13825" width="34.5703125" style="4" customWidth="1"/>
    <col min="13826" max="13826" width="9.85546875" style="4" customWidth="1"/>
    <col min="13827" max="13827" width="8.7109375" style="4"/>
    <col min="13828" max="13828" width="3" style="4" customWidth="1"/>
    <col min="13829" max="13829" width="18.42578125" style="4" customWidth="1"/>
    <col min="13830" max="13830" width="0" style="4" hidden="1" customWidth="1"/>
    <col min="13831" max="13831" width="3" style="4" customWidth="1"/>
    <col min="13832" max="13832" width="10.7109375" style="4" customWidth="1"/>
    <col min="13833" max="13833" width="2.7109375" style="4" customWidth="1"/>
    <col min="13834" max="13834" width="6.7109375" style="4" customWidth="1"/>
    <col min="13835" max="13835" width="3" style="4" customWidth="1"/>
    <col min="13836" max="13836" width="17.7109375" style="4" customWidth="1"/>
    <col min="13837" max="13837" width="10.5703125" style="4" customWidth="1"/>
    <col min="13838" max="13838" width="17.28515625" style="4" bestFit="1" customWidth="1"/>
    <col min="13839" max="13853" width="11.7109375" style="4" customWidth="1"/>
    <col min="13854" max="14080" width="8.7109375" style="4"/>
    <col min="14081" max="14081" width="34.5703125" style="4" customWidth="1"/>
    <col min="14082" max="14082" width="9.85546875" style="4" customWidth="1"/>
    <col min="14083" max="14083" width="8.7109375" style="4"/>
    <col min="14084" max="14084" width="3" style="4" customWidth="1"/>
    <col min="14085" max="14085" width="18.42578125" style="4" customWidth="1"/>
    <col min="14086" max="14086" width="0" style="4" hidden="1" customWidth="1"/>
    <col min="14087" max="14087" width="3" style="4" customWidth="1"/>
    <col min="14088" max="14088" width="10.7109375" style="4" customWidth="1"/>
    <col min="14089" max="14089" width="2.7109375" style="4" customWidth="1"/>
    <col min="14090" max="14090" width="6.7109375" style="4" customWidth="1"/>
    <col min="14091" max="14091" width="3" style="4" customWidth="1"/>
    <col min="14092" max="14092" width="17.7109375" style="4" customWidth="1"/>
    <col min="14093" max="14093" width="10.5703125" style="4" customWidth="1"/>
    <col min="14094" max="14094" width="17.28515625" style="4" bestFit="1" customWidth="1"/>
    <col min="14095" max="14109" width="11.7109375" style="4" customWidth="1"/>
    <col min="14110" max="14336" width="8.7109375" style="4"/>
    <col min="14337" max="14337" width="34.5703125" style="4" customWidth="1"/>
    <col min="14338" max="14338" width="9.85546875" style="4" customWidth="1"/>
    <col min="14339" max="14339" width="8.7109375" style="4"/>
    <col min="14340" max="14340" width="3" style="4" customWidth="1"/>
    <col min="14341" max="14341" width="18.42578125" style="4" customWidth="1"/>
    <col min="14342" max="14342" width="0" style="4" hidden="1" customWidth="1"/>
    <col min="14343" max="14343" width="3" style="4" customWidth="1"/>
    <col min="14344" max="14344" width="10.7109375" style="4" customWidth="1"/>
    <col min="14345" max="14345" width="2.7109375" style="4" customWidth="1"/>
    <col min="14346" max="14346" width="6.7109375" style="4" customWidth="1"/>
    <col min="14347" max="14347" width="3" style="4" customWidth="1"/>
    <col min="14348" max="14348" width="17.7109375" style="4" customWidth="1"/>
    <col min="14349" max="14349" width="10.5703125" style="4" customWidth="1"/>
    <col min="14350" max="14350" width="17.28515625" style="4" bestFit="1" customWidth="1"/>
    <col min="14351" max="14365" width="11.7109375" style="4" customWidth="1"/>
    <col min="14366" max="14592" width="8.7109375" style="4"/>
    <col min="14593" max="14593" width="34.5703125" style="4" customWidth="1"/>
    <col min="14594" max="14594" width="9.85546875" style="4" customWidth="1"/>
    <col min="14595" max="14595" width="8.7109375" style="4"/>
    <col min="14596" max="14596" width="3" style="4" customWidth="1"/>
    <col min="14597" max="14597" width="18.42578125" style="4" customWidth="1"/>
    <col min="14598" max="14598" width="0" style="4" hidden="1" customWidth="1"/>
    <col min="14599" max="14599" width="3" style="4" customWidth="1"/>
    <col min="14600" max="14600" width="10.7109375" style="4" customWidth="1"/>
    <col min="14601" max="14601" width="2.7109375" style="4" customWidth="1"/>
    <col min="14602" max="14602" width="6.7109375" style="4" customWidth="1"/>
    <col min="14603" max="14603" width="3" style="4" customWidth="1"/>
    <col min="14604" max="14604" width="17.7109375" style="4" customWidth="1"/>
    <col min="14605" max="14605" width="10.5703125" style="4" customWidth="1"/>
    <col min="14606" max="14606" width="17.28515625" style="4" bestFit="1" customWidth="1"/>
    <col min="14607" max="14621" width="11.7109375" style="4" customWidth="1"/>
    <col min="14622" max="14848" width="8.7109375" style="4"/>
    <col min="14849" max="14849" width="34.5703125" style="4" customWidth="1"/>
    <col min="14850" max="14850" width="9.85546875" style="4" customWidth="1"/>
    <col min="14851" max="14851" width="8.7109375" style="4"/>
    <col min="14852" max="14852" width="3" style="4" customWidth="1"/>
    <col min="14853" max="14853" width="18.42578125" style="4" customWidth="1"/>
    <col min="14854" max="14854" width="0" style="4" hidden="1" customWidth="1"/>
    <col min="14855" max="14855" width="3" style="4" customWidth="1"/>
    <col min="14856" max="14856" width="10.7109375" style="4" customWidth="1"/>
    <col min="14857" max="14857" width="2.7109375" style="4" customWidth="1"/>
    <col min="14858" max="14858" width="6.7109375" style="4" customWidth="1"/>
    <col min="14859" max="14859" width="3" style="4" customWidth="1"/>
    <col min="14860" max="14860" width="17.7109375" style="4" customWidth="1"/>
    <col min="14861" max="14861" width="10.5703125" style="4" customWidth="1"/>
    <col min="14862" max="14862" width="17.28515625" style="4" bestFit="1" customWidth="1"/>
    <col min="14863" max="14877" width="11.7109375" style="4" customWidth="1"/>
    <col min="14878" max="15104" width="8.7109375" style="4"/>
    <col min="15105" max="15105" width="34.5703125" style="4" customWidth="1"/>
    <col min="15106" max="15106" width="9.85546875" style="4" customWidth="1"/>
    <col min="15107" max="15107" width="8.7109375" style="4"/>
    <col min="15108" max="15108" width="3" style="4" customWidth="1"/>
    <col min="15109" max="15109" width="18.42578125" style="4" customWidth="1"/>
    <col min="15110" max="15110" width="0" style="4" hidden="1" customWidth="1"/>
    <col min="15111" max="15111" width="3" style="4" customWidth="1"/>
    <col min="15112" max="15112" width="10.7109375" style="4" customWidth="1"/>
    <col min="15113" max="15113" width="2.7109375" style="4" customWidth="1"/>
    <col min="15114" max="15114" width="6.7109375" style="4" customWidth="1"/>
    <col min="15115" max="15115" width="3" style="4" customWidth="1"/>
    <col min="15116" max="15116" width="17.7109375" style="4" customWidth="1"/>
    <col min="15117" max="15117" width="10.5703125" style="4" customWidth="1"/>
    <col min="15118" max="15118" width="17.28515625" style="4" bestFit="1" customWidth="1"/>
    <col min="15119" max="15133" width="11.7109375" style="4" customWidth="1"/>
    <col min="15134" max="15360" width="8.7109375" style="4"/>
    <col min="15361" max="15361" width="34.5703125" style="4" customWidth="1"/>
    <col min="15362" max="15362" width="9.85546875" style="4" customWidth="1"/>
    <col min="15363" max="15363" width="8.7109375" style="4"/>
    <col min="15364" max="15364" width="3" style="4" customWidth="1"/>
    <col min="15365" max="15365" width="18.42578125" style="4" customWidth="1"/>
    <col min="15366" max="15366" width="0" style="4" hidden="1" customWidth="1"/>
    <col min="15367" max="15367" width="3" style="4" customWidth="1"/>
    <col min="15368" max="15368" width="10.7109375" style="4" customWidth="1"/>
    <col min="15369" max="15369" width="2.7109375" style="4" customWidth="1"/>
    <col min="15370" max="15370" width="6.7109375" style="4" customWidth="1"/>
    <col min="15371" max="15371" width="3" style="4" customWidth="1"/>
    <col min="15372" max="15372" width="17.7109375" style="4" customWidth="1"/>
    <col min="15373" max="15373" width="10.5703125" style="4" customWidth="1"/>
    <col min="15374" max="15374" width="17.28515625" style="4" bestFit="1" customWidth="1"/>
    <col min="15375" max="15389" width="11.7109375" style="4" customWidth="1"/>
    <col min="15390" max="15616" width="8.7109375" style="4"/>
    <col min="15617" max="15617" width="34.5703125" style="4" customWidth="1"/>
    <col min="15618" max="15618" width="9.85546875" style="4" customWidth="1"/>
    <col min="15619" max="15619" width="8.7109375" style="4"/>
    <col min="15620" max="15620" width="3" style="4" customWidth="1"/>
    <col min="15621" max="15621" width="18.42578125" style="4" customWidth="1"/>
    <col min="15622" max="15622" width="0" style="4" hidden="1" customWidth="1"/>
    <col min="15623" max="15623" width="3" style="4" customWidth="1"/>
    <col min="15624" max="15624" width="10.7109375" style="4" customWidth="1"/>
    <col min="15625" max="15625" width="2.7109375" style="4" customWidth="1"/>
    <col min="15626" max="15626" width="6.7109375" style="4" customWidth="1"/>
    <col min="15627" max="15627" width="3" style="4" customWidth="1"/>
    <col min="15628" max="15628" width="17.7109375" style="4" customWidth="1"/>
    <col min="15629" max="15629" width="10.5703125" style="4" customWidth="1"/>
    <col min="15630" max="15630" width="17.28515625" style="4" bestFit="1" customWidth="1"/>
    <col min="15631" max="15645" width="11.7109375" style="4" customWidth="1"/>
    <col min="15646" max="15872" width="8.7109375" style="4"/>
    <col min="15873" max="15873" width="34.5703125" style="4" customWidth="1"/>
    <col min="15874" max="15874" width="9.85546875" style="4" customWidth="1"/>
    <col min="15875" max="15875" width="8.7109375" style="4"/>
    <col min="15876" max="15876" width="3" style="4" customWidth="1"/>
    <col min="15877" max="15877" width="18.42578125" style="4" customWidth="1"/>
    <col min="15878" max="15878" width="0" style="4" hidden="1" customWidth="1"/>
    <col min="15879" max="15879" width="3" style="4" customWidth="1"/>
    <col min="15880" max="15880" width="10.7109375" style="4" customWidth="1"/>
    <col min="15881" max="15881" width="2.7109375" style="4" customWidth="1"/>
    <col min="15882" max="15882" width="6.7109375" style="4" customWidth="1"/>
    <col min="15883" max="15883" width="3" style="4" customWidth="1"/>
    <col min="15884" max="15884" width="17.7109375" style="4" customWidth="1"/>
    <col min="15885" max="15885" width="10.5703125" style="4" customWidth="1"/>
    <col min="15886" max="15886" width="17.28515625" style="4" bestFit="1" customWidth="1"/>
    <col min="15887" max="15901" width="11.7109375" style="4" customWidth="1"/>
    <col min="15902" max="16128" width="8.7109375" style="4"/>
    <col min="16129" max="16129" width="34.5703125" style="4" customWidth="1"/>
    <col min="16130" max="16130" width="9.85546875" style="4" customWidth="1"/>
    <col min="16131" max="16131" width="8.7109375" style="4"/>
    <col min="16132" max="16132" width="3" style="4" customWidth="1"/>
    <col min="16133" max="16133" width="18.42578125" style="4" customWidth="1"/>
    <col min="16134" max="16134" width="0" style="4" hidden="1" customWidth="1"/>
    <col min="16135" max="16135" width="3" style="4" customWidth="1"/>
    <col min="16136" max="16136" width="10.7109375" style="4" customWidth="1"/>
    <col min="16137" max="16137" width="2.7109375" style="4" customWidth="1"/>
    <col min="16138" max="16138" width="6.7109375" style="4" customWidth="1"/>
    <col min="16139" max="16139" width="3" style="4" customWidth="1"/>
    <col min="16140" max="16140" width="17.7109375" style="4" customWidth="1"/>
    <col min="16141" max="16141" width="10.5703125" style="4" customWidth="1"/>
    <col min="16142" max="16142" width="17.28515625" style="4" bestFit="1" customWidth="1"/>
    <col min="16143" max="16157" width="11.7109375" style="4" customWidth="1"/>
    <col min="16158" max="16384" width="8.7109375" style="4"/>
  </cols>
  <sheetData>
    <row r="1" spans="1:17" ht="45" x14ac:dyDescent="0.6">
      <c r="A1" s="26" t="str">
        <f>Invulinstructie_disclaimer!A2</f>
        <v>Model haalbaarheidsstudie SDE++ 2025</v>
      </c>
      <c r="L1" s="58"/>
      <c r="N1" s="58"/>
      <c r="P1" s="27"/>
    </row>
    <row r="2" spans="1:17" ht="18" customHeight="1" x14ac:dyDescent="0.6">
      <c r="A2" s="26"/>
      <c r="P2" s="27"/>
    </row>
    <row r="3" spans="1:17" ht="20.100000000000001" customHeight="1" x14ac:dyDescent="0.4">
      <c r="A3" s="28" t="str">
        <f>"Exploitatieberekening "&amp;B12&amp;" jaar voor de productie-installatie van deze aanvraag"</f>
        <v>Exploitatieberekening 20 jaar voor de productie-installatie van deze aanvraag</v>
      </c>
      <c r="N3" s="58"/>
      <c r="O3" s="28"/>
      <c r="P3" s="29"/>
    </row>
    <row r="4" spans="1:17" ht="20.100000000000001" customHeight="1" x14ac:dyDescent="0.3">
      <c r="A4" s="29"/>
      <c r="P4" s="29"/>
    </row>
    <row r="5" spans="1:17" ht="18" x14ac:dyDescent="0.25">
      <c r="A5" s="28" t="s">
        <v>22</v>
      </c>
      <c r="M5" s="150"/>
    </row>
    <row r="6" spans="1:17" x14ac:dyDescent="0.25">
      <c r="A6" s="12" t="s">
        <v>36</v>
      </c>
      <c r="B6" s="461" t="str">
        <f>IF(Financiering_en_projectplan!B7="","",Financiering_en_projectplan!B7)</f>
        <v/>
      </c>
      <c r="C6" s="462"/>
      <c r="D6" s="462"/>
      <c r="E6" s="462"/>
      <c r="F6" s="462"/>
      <c r="G6" s="462"/>
      <c r="H6" s="462"/>
      <c r="I6" s="462"/>
      <c r="J6" s="462"/>
      <c r="K6" s="462"/>
      <c r="L6" s="463"/>
    </row>
    <row r="7" spans="1:17" x14ac:dyDescent="0.25">
      <c r="A7" s="12" t="s">
        <v>49</v>
      </c>
      <c r="B7" s="464" t="str">
        <f>IF(OR(
Hulpblad_categorieën_parameters!D29="CO2-afvang en opslag (CCS) 8.000 uur bij (industriële) ETS-installaties",
Hulpblad_categorieën_parameters!D29="CO2-afvang en opslag (CCS) 4.000 uur bij (industriële) niet-ETS-installaties (combinatie met 4.000 uur CCU mogelijk)",
Hulpblad_categorieën_parameters!D29="CO2-afvang en opslag (CCS) 4.000 uur bij afvalverbrandingsinstallaties (AVI's) (combinatie met 4.000 uur CCU mogelijk)",
Hulpblad_categorieën_parameters!D29="CO2-afvang en opslag (CCS) 8.000 uur bij afvalverbrandingsinstallaties (AVI's)"
),"ETS-correctie",IF(Productie_en_afzet!A14="Niet van toepassing","Geen ETS-correctie",IF(Hulpblad_overig!B11=1,"ETS-correctie","Geen ETS-correctie")))</f>
        <v>Geen ETS-correctie</v>
      </c>
      <c r="C7" s="406"/>
      <c r="D7" s="406"/>
      <c r="E7" s="406"/>
      <c r="F7" s="406"/>
      <c r="G7" s="406"/>
      <c r="H7" s="406"/>
      <c r="I7" s="406"/>
      <c r="J7" s="406"/>
      <c r="K7" s="406"/>
      <c r="L7" s="465"/>
    </row>
    <row r="8" spans="1:17" x14ac:dyDescent="0.25">
      <c r="A8" s="12" t="s">
        <v>37</v>
      </c>
      <c r="B8" s="464" t="str">
        <f>IF(Productie_en_afzet!B6="","",Productie_en_afzet!B6)</f>
        <v/>
      </c>
      <c r="C8" s="434"/>
      <c r="D8" s="434"/>
      <c r="E8" s="434"/>
      <c r="F8" s="434"/>
      <c r="G8" s="434"/>
      <c r="H8" s="434"/>
      <c r="I8" s="434"/>
      <c r="J8" s="434"/>
      <c r="K8" s="434"/>
      <c r="L8" s="466"/>
    </row>
    <row r="9" spans="1:17" ht="25.5" customHeight="1" x14ac:dyDescent="0.25">
      <c r="A9" s="153" t="s">
        <v>50</v>
      </c>
      <c r="B9" s="467" t="str">
        <f>Productie_en_afzet!B11</f>
        <v>Zon-PV ≥ 15 kWp en &lt; 1 MWp aansluiting &gt; 3*80 A, gebouwgebonden (net = 50%)</v>
      </c>
      <c r="C9" s="468"/>
      <c r="D9" s="468"/>
      <c r="E9" s="468"/>
      <c r="F9" s="468"/>
      <c r="G9" s="468"/>
      <c r="H9" s="468"/>
      <c r="I9" s="468"/>
      <c r="J9" s="468"/>
      <c r="K9" s="468"/>
      <c r="L9" s="469"/>
      <c r="O9" s="12"/>
      <c r="Q9" s="12"/>
    </row>
    <row r="10" spans="1:17" x14ac:dyDescent="0.25">
      <c r="A10" s="12" t="str">
        <f>VLOOKUP(Hulpblad_categorieën_parameters!D81,Hulpblad_categorieën_parameters!A87:AA332,20,FALSE)</f>
        <v>Vermogen productie-installatie (kW)</v>
      </c>
      <c r="B10" s="470">
        <f>Productie_en_afzet!B17</f>
        <v>0</v>
      </c>
      <c r="C10" s="471"/>
      <c r="D10" s="471"/>
      <c r="E10" s="12"/>
      <c r="F10" s="12"/>
      <c r="G10" s="12"/>
      <c r="H10" s="12"/>
      <c r="I10" s="12"/>
      <c r="J10" s="12"/>
      <c r="K10" s="12"/>
      <c r="L10" s="217"/>
      <c r="O10" s="12"/>
      <c r="Q10" s="12"/>
    </row>
    <row r="11" spans="1:17" x14ac:dyDescent="0.25">
      <c r="A11" s="12" t="s">
        <v>51</v>
      </c>
      <c r="B11" s="221">
        <f>VLOOKUP(B9,Hulpblad_categorieën_parameters!A84:AH332,13,FALSE)</f>
        <v>15</v>
      </c>
      <c r="C11" s="4"/>
      <c r="E11" s="8"/>
      <c r="F11" s="8"/>
      <c r="G11" s="8"/>
      <c r="H11" s="7"/>
      <c r="I11" s="220"/>
      <c r="J11" s="220"/>
      <c r="K11" s="220"/>
      <c r="L11" s="222"/>
    </row>
    <row r="12" spans="1:17" x14ac:dyDescent="0.25">
      <c r="A12" s="12" t="s">
        <v>424</v>
      </c>
      <c r="B12" s="154">
        <f>VLOOKUP(B9,Hulpblad_categorieën_parameters!A84:AH332,28,FALSE)</f>
        <v>20</v>
      </c>
      <c r="C12" s="218"/>
      <c r="D12" s="218"/>
      <c r="E12" s="83"/>
      <c r="F12" s="83"/>
      <c r="G12" s="83"/>
      <c r="H12" s="84"/>
      <c r="I12" s="472"/>
      <c r="J12" s="472"/>
      <c r="K12" s="472"/>
      <c r="L12" s="85"/>
    </row>
    <row r="14" spans="1:17" ht="18.75" customHeight="1" x14ac:dyDescent="0.25">
      <c r="A14" s="30"/>
      <c r="C14" s="41"/>
      <c r="D14" s="13"/>
      <c r="E14" s="13"/>
      <c r="F14" s="13"/>
      <c r="G14" s="13"/>
      <c r="H14" s="13"/>
      <c r="I14" s="13"/>
      <c r="J14" s="13"/>
      <c r="K14" s="38"/>
      <c r="L14" s="38"/>
    </row>
    <row r="15" spans="1:17" ht="18" x14ac:dyDescent="0.25">
      <c r="A15" s="28" t="s">
        <v>52</v>
      </c>
    </row>
    <row r="16" spans="1:17" ht="12.75" customHeight="1" x14ac:dyDescent="0.25">
      <c r="A16" s="12" t="s">
        <v>53</v>
      </c>
    </row>
    <row r="17" spans="1:27" ht="12.75" customHeight="1" x14ac:dyDescent="0.25">
      <c r="B17" s="394"/>
      <c r="C17" s="395"/>
      <c r="D17" s="395"/>
      <c r="E17" s="395"/>
      <c r="F17" s="395"/>
      <c r="G17" s="395"/>
      <c r="H17" s="395"/>
      <c r="I17" s="395"/>
      <c r="J17" s="395"/>
      <c r="K17" s="395"/>
      <c r="L17" s="396"/>
      <c r="N17" s="146">
        <v>0</v>
      </c>
      <c r="O17" s="11" t="str">
        <f>IF(AND(OR(Hulpblad_categorieën_parameters!C81=1,Hulpblad_categorieën_parameters!C81=2,Hulpblad_categorieën_parameters!C81=3,Hulpblad_categorieën_parameters!C81=4),Hulpblad_categorieën_parameters!D29="Zon-PV"),"Vermeld indien dakversteviging noodzakelijk is voor de installatie van de zon-PV-installatie ook de kosten voor deze dakversteviging",IF(Hulpblad_categorieën_parameters!D29="Zonthermie (geen daglichtkas)","Vermeld indien u de zonthermie-installatie op een dak plaatst en dakversteviging noodzakelijk is ook de kosten voor deze dakversteviging",IF(Hulpblad_categorieën_parameters!D29="Zon-PVT systeem met warmtepomp","Vermeld indien u de zon-PVT-installatie op een dak plaatst en dakversteviging noodzakelijk is ook de kosten voor deze dakversteviging","")))</f>
        <v>Vermeld indien dakversteviging noodzakelijk is voor de installatie van de zon-PV-installatie ook de kosten voor deze dakversteviging</v>
      </c>
      <c r="P17" s="38"/>
      <c r="Q17" s="38"/>
      <c r="R17" s="38"/>
      <c r="S17" s="38"/>
      <c r="T17" s="38"/>
      <c r="U17" s="38"/>
      <c r="V17" s="38"/>
      <c r="W17" s="38"/>
      <c r="X17" s="38"/>
      <c r="Y17" s="38"/>
      <c r="Z17" s="38"/>
    </row>
    <row r="18" spans="1:27" ht="12.75" customHeight="1" x14ac:dyDescent="0.25">
      <c r="B18" s="383"/>
      <c r="C18" s="384"/>
      <c r="D18" s="384"/>
      <c r="E18" s="384"/>
      <c r="F18" s="384"/>
      <c r="G18" s="384"/>
      <c r="H18" s="384"/>
      <c r="I18" s="384"/>
      <c r="J18" s="384"/>
      <c r="K18" s="384"/>
      <c r="L18" s="385"/>
      <c r="N18" s="147">
        <v>0</v>
      </c>
      <c r="O18" s="38"/>
      <c r="P18" s="38"/>
      <c r="Q18" s="38"/>
      <c r="R18" s="38"/>
      <c r="S18" s="38"/>
      <c r="T18" s="38"/>
      <c r="U18" s="38"/>
      <c r="V18" s="38"/>
      <c r="W18" s="38"/>
      <c r="X18" s="38"/>
      <c r="Y18" s="38"/>
      <c r="Z18" s="38"/>
    </row>
    <row r="19" spans="1:27" ht="12.75" customHeight="1" x14ac:dyDescent="0.25">
      <c r="B19" s="383"/>
      <c r="C19" s="384"/>
      <c r="D19" s="384"/>
      <c r="E19" s="384"/>
      <c r="F19" s="384"/>
      <c r="G19" s="384"/>
      <c r="H19" s="384"/>
      <c r="I19" s="384"/>
      <c r="J19" s="384"/>
      <c r="K19" s="384"/>
      <c r="L19" s="385"/>
      <c r="N19" s="147">
        <v>0</v>
      </c>
      <c r="O19" s="38"/>
      <c r="P19" s="38"/>
      <c r="Q19" s="38"/>
      <c r="R19" s="38"/>
      <c r="S19" s="38"/>
      <c r="T19" s="38"/>
      <c r="U19" s="38"/>
      <c r="V19" s="38"/>
      <c r="W19" s="38"/>
      <c r="X19" s="38"/>
      <c r="Y19" s="38"/>
      <c r="Z19" s="38"/>
    </row>
    <row r="20" spans="1:27" ht="12.75" customHeight="1" x14ac:dyDescent="0.25">
      <c r="B20" s="383"/>
      <c r="C20" s="384"/>
      <c r="D20" s="384"/>
      <c r="E20" s="384"/>
      <c r="F20" s="384"/>
      <c r="G20" s="384"/>
      <c r="H20" s="384"/>
      <c r="I20" s="384"/>
      <c r="J20" s="384"/>
      <c r="K20" s="384"/>
      <c r="L20" s="385"/>
      <c r="N20" s="147">
        <v>0</v>
      </c>
      <c r="O20" s="38"/>
      <c r="P20" s="38"/>
      <c r="Q20" s="16"/>
      <c r="R20" s="38"/>
      <c r="S20" s="38"/>
      <c r="T20" s="38"/>
      <c r="U20" s="38"/>
      <c r="V20" s="38"/>
      <c r="W20" s="38"/>
      <c r="X20" s="38"/>
      <c r="Y20" s="38"/>
      <c r="Z20" s="38"/>
    </row>
    <row r="21" spans="1:27" ht="12.75" customHeight="1" x14ac:dyDescent="0.25">
      <c r="B21" s="383"/>
      <c r="C21" s="384"/>
      <c r="D21" s="384"/>
      <c r="E21" s="384"/>
      <c r="F21" s="384"/>
      <c r="G21" s="384"/>
      <c r="H21" s="384"/>
      <c r="I21" s="384"/>
      <c r="J21" s="384"/>
      <c r="K21" s="384"/>
      <c r="L21" s="385"/>
      <c r="N21" s="147">
        <v>0</v>
      </c>
      <c r="O21" s="11"/>
      <c r="P21" s="38"/>
      <c r="Q21" s="38"/>
      <c r="R21" s="38"/>
      <c r="S21" s="38"/>
      <c r="T21" s="38"/>
      <c r="U21" s="38"/>
      <c r="V21" s="38"/>
      <c r="W21" s="38"/>
      <c r="X21" s="38"/>
      <c r="Y21" s="38"/>
      <c r="Z21" s="38"/>
    </row>
    <row r="22" spans="1:27" ht="12.75" customHeight="1" x14ac:dyDescent="0.25">
      <c r="B22" s="383"/>
      <c r="C22" s="384"/>
      <c r="D22" s="384"/>
      <c r="E22" s="384"/>
      <c r="F22" s="384"/>
      <c r="G22" s="384"/>
      <c r="H22" s="384"/>
      <c r="I22" s="384"/>
      <c r="J22" s="384"/>
      <c r="K22" s="384"/>
      <c r="L22" s="385"/>
      <c r="N22" s="147">
        <v>0</v>
      </c>
      <c r="O22" s="38"/>
      <c r="P22" s="38"/>
      <c r="Q22" s="38"/>
      <c r="R22" s="38"/>
      <c r="S22" s="38"/>
      <c r="T22" s="38"/>
      <c r="U22" s="38"/>
      <c r="V22" s="38"/>
      <c r="W22" s="38"/>
      <c r="X22" s="38"/>
      <c r="Y22" s="38"/>
      <c r="Z22" s="38"/>
    </row>
    <row r="23" spans="1:27" ht="12.75" customHeight="1" x14ac:dyDescent="0.25">
      <c r="B23" s="383"/>
      <c r="C23" s="384"/>
      <c r="D23" s="384"/>
      <c r="E23" s="384"/>
      <c r="F23" s="384"/>
      <c r="G23" s="384"/>
      <c r="H23" s="384"/>
      <c r="I23" s="384"/>
      <c r="J23" s="384"/>
      <c r="K23" s="384"/>
      <c r="L23" s="385"/>
      <c r="N23" s="147">
        <v>0</v>
      </c>
      <c r="O23" s="38"/>
      <c r="P23" s="38"/>
      <c r="Q23" s="38"/>
      <c r="R23" s="38"/>
      <c r="S23" s="38"/>
      <c r="T23" s="38"/>
      <c r="U23" s="38"/>
      <c r="V23" s="38"/>
      <c r="W23" s="38"/>
      <c r="X23" s="38"/>
      <c r="Y23" s="38"/>
      <c r="Z23" s="38"/>
    </row>
    <row r="24" spans="1:27" ht="12.75" customHeight="1" x14ac:dyDescent="0.25">
      <c r="B24" s="383"/>
      <c r="C24" s="384"/>
      <c r="D24" s="384"/>
      <c r="E24" s="384"/>
      <c r="F24" s="384"/>
      <c r="G24" s="384"/>
      <c r="H24" s="384"/>
      <c r="I24" s="384"/>
      <c r="J24" s="384"/>
      <c r="K24" s="384"/>
      <c r="L24" s="385"/>
      <c r="N24" s="147">
        <v>0</v>
      </c>
      <c r="O24" s="38"/>
      <c r="P24" s="38"/>
      <c r="Q24" s="38"/>
      <c r="R24" s="38"/>
      <c r="S24" s="38"/>
      <c r="T24" s="38"/>
      <c r="U24" s="38"/>
      <c r="V24" s="38"/>
      <c r="W24" s="38"/>
      <c r="X24" s="38"/>
      <c r="Y24" s="38"/>
      <c r="Z24" s="38"/>
    </row>
    <row r="25" spans="1:27" ht="12.75" customHeight="1" x14ac:dyDescent="0.25">
      <c r="B25" s="383"/>
      <c r="C25" s="384"/>
      <c r="D25" s="384"/>
      <c r="E25" s="384"/>
      <c r="F25" s="384"/>
      <c r="G25" s="384"/>
      <c r="H25" s="384"/>
      <c r="I25" s="384"/>
      <c r="J25" s="384"/>
      <c r="K25" s="384"/>
      <c r="L25" s="385"/>
      <c r="N25" s="147">
        <v>0</v>
      </c>
      <c r="O25" s="38"/>
      <c r="P25" s="38"/>
      <c r="Q25" s="38"/>
      <c r="R25" s="38"/>
      <c r="S25" s="38"/>
      <c r="T25" s="38"/>
      <c r="U25" s="38"/>
      <c r="V25" s="38"/>
      <c r="W25" s="38"/>
      <c r="X25" s="38"/>
      <c r="Y25" s="38"/>
      <c r="Z25" s="38"/>
    </row>
    <row r="26" spans="1:27" ht="12.75" customHeight="1" x14ac:dyDescent="0.25">
      <c r="A26" s="12"/>
      <c r="B26" s="402"/>
      <c r="C26" s="473"/>
      <c r="D26" s="473"/>
      <c r="E26" s="473"/>
      <c r="F26" s="473"/>
      <c r="G26" s="473"/>
      <c r="H26" s="473"/>
      <c r="I26" s="473"/>
      <c r="J26" s="473"/>
      <c r="K26" s="473"/>
      <c r="L26" s="474"/>
      <c r="N26" s="160">
        <v>0</v>
      </c>
      <c r="O26" s="38"/>
      <c r="P26" s="38"/>
      <c r="Q26" s="38"/>
      <c r="R26" s="38"/>
      <c r="S26" s="38"/>
      <c r="T26" s="38"/>
      <c r="U26" s="38"/>
      <c r="V26" s="38"/>
      <c r="W26" s="38"/>
      <c r="X26" s="38"/>
      <c r="Y26" s="38"/>
      <c r="Z26" s="38"/>
    </row>
    <row r="27" spans="1:27" s="30" customFormat="1" ht="12.75" customHeight="1" x14ac:dyDescent="0.2">
      <c r="A27" s="30" t="s">
        <v>54</v>
      </c>
      <c r="N27" s="42">
        <f>SUM(N17:N26)</f>
        <v>0</v>
      </c>
      <c r="O27" s="43"/>
      <c r="P27" s="43"/>
      <c r="Q27" s="43"/>
      <c r="R27" s="43"/>
      <c r="S27" s="43"/>
      <c r="T27" s="43"/>
      <c r="U27" s="43"/>
      <c r="V27" s="43"/>
      <c r="W27" s="43"/>
      <c r="X27" s="43"/>
      <c r="Y27" s="43"/>
      <c r="Z27" s="43"/>
      <c r="AA27" s="43"/>
    </row>
    <row r="28" spans="1:27" s="30" customFormat="1" ht="12.75" customHeight="1" x14ac:dyDescent="0.2">
      <c r="N28" s="42"/>
      <c r="O28" s="43"/>
      <c r="P28" s="43"/>
      <c r="Q28" s="43"/>
      <c r="R28" s="43"/>
      <c r="S28" s="43"/>
      <c r="T28" s="43"/>
      <c r="U28" s="43"/>
      <c r="V28" s="43"/>
      <c r="W28" s="43"/>
      <c r="X28" s="43"/>
      <c r="Y28" s="43"/>
      <c r="Z28" s="43"/>
      <c r="AA28" s="43"/>
    </row>
    <row r="29" spans="1:27" s="30" customFormat="1" ht="18" x14ac:dyDescent="0.25">
      <c r="A29" s="28" t="s">
        <v>55</v>
      </c>
      <c r="D29" s="4"/>
      <c r="E29" s="4"/>
      <c r="F29" s="4"/>
      <c r="G29" s="4"/>
      <c r="H29" s="4"/>
      <c r="I29" s="4"/>
      <c r="J29" s="4"/>
      <c r="K29" s="4"/>
      <c r="L29" s="4"/>
      <c r="N29" s="42"/>
      <c r="O29" s="43"/>
      <c r="P29" s="43"/>
      <c r="Q29" s="43"/>
      <c r="R29" s="43"/>
      <c r="S29" s="43"/>
      <c r="T29" s="43"/>
      <c r="U29" s="43"/>
      <c r="V29" s="43"/>
      <c r="W29" s="43"/>
      <c r="X29" s="43"/>
      <c r="Y29" s="43"/>
      <c r="Z29" s="43"/>
      <c r="AA29" s="43"/>
    </row>
    <row r="30" spans="1:27" s="30" customFormat="1" ht="12.75" customHeight="1" x14ac:dyDescent="0.25">
      <c r="B30" s="475" t="s">
        <v>56</v>
      </c>
      <c r="C30" s="475"/>
      <c r="D30" s="4"/>
      <c r="E30" s="12" t="s">
        <v>57</v>
      </c>
      <c r="F30" s="4"/>
      <c r="G30" s="4"/>
      <c r="H30" s="475" t="s">
        <v>58</v>
      </c>
      <c r="I30" s="476"/>
      <c r="J30" s="476"/>
      <c r="K30" s="4"/>
      <c r="L30" s="12" t="s">
        <v>59</v>
      </c>
      <c r="N30" s="42"/>
      <c r="O30" s="43"/>
      <c r="P30" s="43"/>
      <c r="Q30" s="43"/>
      <c r="R30" s="43"/>
      <c r="S30" s="43"/>
      <c r="T30" s="43"/>
      <c r="U30" s="43"/>
      <c r="V30" s="43"/>
      <c r="W30" s="43"/>
      <c r="X30" s="43"/>
      <c r="Y30" s="43"/>
      <c r="Z30" s="43"/>
      <c r="AA30" s="43"/>
    </row>
    <row r="31" spans="1:27" s="30" customFormat="1" ht="12.75" customHeight="1" x14ac:dyDescent="0.25">
      <c r="A31" s="12" t="s">
        <v>60</v>
      </c>
      <c r="B31" s="480" t="e">
        <f>IF(Hulpblad_overig!B8=2,Financiering_en_projectplan!E13,Financiering_en_projectplan!G78)</f>
        <v>#DIV/0!</v>
      </c>
      <c r="C31" s="481"/>
      <c r="E31" s="173" t="e">
        <f>N27*B31</f>
        <v>#DIV/0!</v>
      </c>
      <c r="F31" s="4"/>
      <c r="G31" s="4"/>
      <c r="H31" s="480" t="e">
        <f>100%-B31</f>
        <v>#DIV/0!</v>
      </c>
      <c r="I31" s="482"/>
      <c r="J31" s="481"/>
      <c r="L31" s="173" t="e">
        <f>N27*H31</f>
        <v>#DIV/0!</v>
      </c>
      <c r="N31" s="42"/>
      <c r="O31" s="43"/>
      <c r="P31" s="43"/>
      <c r="Q31" s="43"/>
      <c r="R31" s="43"/>
      <c r="S31" s="43"/>
      <c r="T31" s="43"/>
      <c r="U31" s="43"/>
      <c r="V31" s="43"/>
      <c r="W31" s="43"/>
      <c r="X31" s="43"/>
      <c r="Y31" s="43"/>
      <c r="Z31" s="43"/>
      <c r="AA31" s="43"/>
    </row>
    <row r="32" spans="1:27" s="30" customFormat="1" ht="12.75" customHeight="1" x14ac:dyDescent="0.25">
      <c r="A32" s="12"/>
      <c r="D32" s="4"/>
      <c r="F32" s="4"/>
      <c r="G32" s="4"/>
      <c r="H32" s="4"/>
      <c r="I32" s="4"/>
      <c r="J32" s="4"/>
      <c r="K32" s="4"/>
      <c r="N32" s="42"/>
      <c r="O32" s="43"/>
      <c r="P32" s="43"/>
      <c r="Q32" s="43"/>
      <c r="R32" s="43"/>
      <c r="S32" s="43"/>
      <c r="T32" s="43"/>
      <c r="U32" s="43"/>
      <c r="V32" s="43"/>
      <c r="W32" s="43"/>
      <c r="X32" s="43"/>
      <c r="Y32" s="43"/>
      <c r="Z32" s="43"/>
      <c r="AA32" s="43"/>
    </row>
    <row r="33" spans="1:34" s="30" customFormat="1" ht="12.75" customHeight="1" x14ac:dyDescent="0.25">
      <c r="A33" s="12" t="s">
        <v>61</v>
      </c>
      <c r="B33" s="483" t="s">
        <v>62</v>
      </c>
      <c r="C33" s="483"/>
      <c r="D33" s="4"/>
      <c r="E33" s="12" t="s">
        <v>63</v>
      </c>
      <c r="F33" s="4"/>
      <c r="G33" s="4"/>
      <c r="H33" s="434" t="s">
        <v>64</v>
      </c>
      <c r="I33" s="406"/>
      <c r="J33" s="406"/>
      <c r="K33" s="4"/>
      <c r="L33" s="12" t="s">
        <v>65</v>
      </c>
      <c r="N33" s="42"/>
      <c r="O33" s="43"/>
      <c r="P33" s="43"/>
      <c r="Q33" s="43"/>
      <c r="R33" s="43"/>
      <c r="S33" s="43"/>
      <c r="T33" s="43"/>
      <c r="U33" s="43"/>
      <c r="V33" s="43"/>
      <c r="W33" s="43"/>
      <c r="X33" s="43"/>
      <c r="Y33" s="43"/>
      <c r="Z33" s="43"/>
      <c r="AA33" s="43"/>
    </row>
    <row r="34" spans="1:34" s="30" customFormat="1" ht="12.75" customHeight="1" x14ac:dyDescent="0.25">
      <c r="A34" s="12" t="str">
        <f>"Gegevens lening (maximaal "&amp;B12&amp;" jaar)"</f>
        <v>Gegevens lening (maximaal 20 jaar)</v>
      </c>
      <c r="B34" s="484" t="e">
        <f>L31</f>
        <v>#DIV/0!</v>
      </c>
      <c r="C34" s="481"/>
      <c r="D34" s="4"/>
      <c r="E34" s="189">
        <v>0</v>
      </c>
      <c r="F34" s="4"/>
      <c r="G34" s="4"/>
      <c r="H34" s="485"/>
      <c r="I34" s="406"/>
      <c r="J34" s="406"/>
      <c r="K34" s="4"/>
      <c r="L34" s="178">
        <v>0</v>
      </c>
      <c r="N34" s="42"/>
      <c r="O34" s="43"/>
      <c r="P34" s="43"/>
      <c r="Q34" s="43"/>
      <c r="R34" s="43"/>
      <c r="S34" s="43"/>
      <c r="T34" s="43"/>
      <c r="U34" s="43"/>
      <c r="V34" s="43"/>
      <c r="W34" s="43"/>
      <c r="X34" s="43"/>
      <c r="Y34" s="43"/>
      <c r="Z34" s="43"/>
      <c r="AA34" s="43"/>
    </row>
    <row r="35" spans="1:34" s="30" customFormat="1" ht="12.75" customHeight="1" x14ac:dyDescent="0.25">
      <c r="A35" s="40"/>
      <c r="D35" s="4"/>
      <c r="E35" s="4"/>
      <c r="F35" s="4"/>
      <c r="G35" s="4"/>
      <c r="H35" s="40"/>
      <c r="I35" s="4"/>
      <c r="J35" s="4"/>
      <c r="K35" s="4"/>
      <c r="N35" s="42"/>
      <c r="O35" s="43"/>
      <c r="P35" s="43"/>
      <c r="Q35" s="43"/>
      <c r="R35" s="43"/>
      <c r="S35" s="43"/>
      <c r="T35" s="43"/>
      <c r="U35" s="43"/>
      <c r="V35" s="43"/>
      <c r="W35" s="43"/>
      <c r="X35" s="43"/>
      <c r="Y35" s="43"/>
      <c r="Z35" s="43"/>
      <c r="AA35" s="43"/>
    </row>
    <row r="36" spans="1:34" ht="12.75" customHeight="1" x14ac:dyDescent="0.25">
      <c r="A36" s="30" t="s">
        <v>66</v>
      </c>
      <c r="D36" s="30"/>
      <c r="E36" s="30"/>
      <c r="F36" s="30"/>
      <c r="G36" s="30"/>
      <c r="H36" s="30"/>
      <c r="I36" s="30"/>
      <c r="J36" s="30"/>
      <c r="K36" s="30"/>
      <c r="L36" s="30"/>
      <c r="M36" s="30"/>
      <c r="N36" s="30">
        <v>0</v>
      </c>
      <c r="O36" s="30">
        <v>1</v>
      </c>
      <c r="P36" s="30">
        <v>2</v>
      </c>
      <c r="Q36" s="30">
        <v>3</v>
      </c>
      <c r="R36" s="30">
        <v>4</v>
      </c>
      <c r="S36" s="30">
        <v>5</v>
      </c>
      <c r="T36" s="30">
        <f>IF($B$12&gt;5,6,"")</f>
        <v>6</v>
      </c>
      <c r="U36" s="30">
        <f>IF($B$12&gt;6,7,"")</f>
        <v>7</v>
      </c>
      <c r="V36" s="30">
        <f>IF($B$12&gt;7,8,"")</f>
        <v>8</v>
      </c>
      <c r="W36" s="30">
        <f>IF($B$12&gt;8,9,"")</f>
        <v>9</v>
      </c>
      <c r="X36" s="30">
        <f>IF($B$12&gt;9,10,"")</f>
        <v>10</v>
      </c>
      <c r="Y36" s="30">
        <f>IF($B$12&gt;10,11,"")</f>
        <v>11</v>
      </c>
      <c r="Z36" s="30">
        <f>IF($B$12&gt;11,12,"")</f>
        <v>12</v>
      </c>
      <c r="AA36" s="30">
        <f>IF($B$12&gt;12,13,"")</f>
        <v>13</v>
      </c>
      <c r="AB36" s="30">
        <f>IF($B$12&gt;13,14,"")</f>
        <v>14</v>
      </c>
      <c r="AC36" s="30">
        <f>IF($B$12&gt;14,15,"")</f>
        <v>15</v>
      </c>
      <c r="AD36" s="30">
        <f>IF($B$12&gt;15,16,"")</f>
        <v>16</v>
      </c>
      <c r="AE36" s="30">
        <f>IF($B$12&gt;16,17,"")</f>
        <v>17</v>
      </c>
      <c r="AF36" s="30">
        <f>IF($B$12&gt;17,18,"")</f>
        <v>18</v>
      </c>
      <c r="AG36" s="30">
        <f>IF($B$12&gt;18,19,"")</f>
        <v>19</v>
      </c>
      <c r="AH36" s="30">
        <f>IF($B$12&gt;19,20,"")</f>
        <v>20</v>
      </c>
    </row>
    <row r="37" spans="1:34" ht="12.75" customHeight="1" x14ac:dyDescent="0.25">
      <c r="M37" s="161"/>
      <c r="N37" s="164"/>
      <c r="O37" s="165"/>
      <c r="P37" s="165"/>
      <c r="Q37" s="165"/>
      <c r="R37" s="165"/>
      <c r="S37" s="165"/>
      <c r="T37" s="165"/>
      <c r="U37" s="165"/>
      <c r="V37" s="165"/>
      <c r="W37" s="86"/>
      <c r="X37" s="86"/>
      <c r="Y37" s="86"/>
      <c r="Z37" s="86"/>
      <c r="AA37" s="161"/>
      <c r="AB37" s="161"/>
      <c r="AC37" s="161"/>
    </row>
    <row r="38" spans="1:34" ht="18" x14ac:dyDescent="0.25">
      <c r="A38" s="28" t="s">
        <v>67</v>
      </c>
      <c r="L38" s="491" t="s">
        <v>68</v>
      </c>
      <c r="M38" s="161"/>
      <c r="N38" s="161"/>
      <c r="O38" s="165"/>
      <c r="P38" s="165"/>
      <c r="Q38" s="165"/>
      <c r="R38" s="165"/>
      <c r="S38" s="165"/>
      <c r="T38" s="165"/>
      <c r="U38" s="165"/>
      <c r="V38" s="165"/>
      <c r="W38" s="86"/>
      <c r="X38" s="86"/>
      <c r="Y38" s="86"/>
      <c r="Z38" s="86"/>
      <c r="AA38" s="161"/>
      <c r="AB38" s="161"/>
      <c r="AC38" s="161"/>
    </row>
    <row r="39" spans="1:34" s="161" customFormat="1" ht="12.75" customHeight="1" x14ac:dyDescent="0.2">
      <c r="A39" s="30" t="s">
        <v>69</v>
      </c>
      <c r="B39" s="30"/>
      <c r="C39" s="30"/>
      <c r="E39" s="434" t="str">
        <f>"Jaarproductie ("&amp;VLOOKUP(Hulpblad_categorieën_parameters!D81,Hulpblad_categorieën_parameters!A87:AH332,26,FALSE)&amp;")"</f>
        <v>Jaarproductie (kWh)</v>
      </c>
      <c r="F39" s="493"/>
      <c r="G39" s="493"/>
      <c r="H39" s="494" t="str">
        <f>IF(E39="Jaarproductie (ton CO₂)","Marktwaarde (€/ton CO₂)","Marktwaarde (€/kWh)")</f>
        <v>Marktwaarde (€/kWh)</v>
      </c>
      <c r="I39" s="495"/>
      <c r="J39" s="495"/>
      <c r="K39" s="493"/>
      <c r="L39" s="492"/>
      <c r="O39" s="165"/>
      <c r="P39" s="165"/>
      <c r="Q39" s="165"/>
      <c r="R39" s="165"/>
      <c r="S39" s="165"/>
      <c r="T39" s="165"/>
      <c r="U39" s="165"/>
      <c r="V39" s="165"/>
      <c r="W39" s="86"/>
      <c r="X39" s="86"/>
      <c r="Y39" s="86"/>
      <c r="Z39" s="86"/>
    </row>
    <row r="40" spans="1:34" s="161" customFormat="1" ht="12.75" customHeight="1" x14ac:dyDescent="0.2">
      <c r="A40" s="12" t="str">
        <f>IF(VLOOKUP(Hulpblad_categorieën_parameters!D81,Hulpblad_categorieën_parameters!A87:AH332,18,FALSE)="Productie elektriciteit (kWh/jaar)","Hernieuwbare elektriciteit niet-netlevering (eigen gebruik)","Niet van toepassing")</f>
        <v>Hernieuwbare elektriciteit niet-netlevering (eigen gebruik)</v>
      </c>
      <c r="B40" s="30"/>
      <c r="C40" s="30"/>
      <c r="E40" s="231">
        <v>0</v>
      </c>
      <c r="H40" s="496">
        <v>0</v>
      </c>
      <c r="I40" s="497"/>
      <c r="J40" s="498"/>
      <c r="L40" s="499">
        <v>0.02</v>
      </c>
      <c r="M40" s="12"/>
      <c r="O40" s="164">
        <f>E40*H40</f>
        <v>0</v>
      </c>
      <c r="P40" s="164">
        <f>O40*(1+$L$40)</f>
        <v>0</v>
      </c>
      <c r="Q40" s="164">
        <f t="shared" ref="Q40:S40" si="0">P40*(1+$L$40)</f>
        <v>0</v>
      </c>
      <c r="R40" s="164">
        <f t="shared" si="0"/>
        <v>0</v>
      </c>
      <c r="S40" s="164">
        <f t="shared" si="0"/>
        <v>0</v>
      </c>
      <c r="T40" s="57">
        <f>IF($B$12&gt;5,S40*(1+$L$40),"")</f>
        <v>0</v>
      </c>
      <c r="U40" s="57">
        <f>IF($B$12&gt;6,T40*(1+$L$40),"")</f>
        <v>0</v>
      </c>
      <c r="V40" s="57">
        <f>IF($B$12&gt;7,U40*(1+$L$40),"")</f>
        <v>0</v>
      </c>
      <c r="W40" s="57">
        <f>IF($B$12&gt;8,V40*(1+$L$40),"")</f>
        <v>0</v>
      </c>
      <c r="X40" s="57">
        <f>IF($B$12&gt;9,W40*(1+$L$40),"")</f>
        <v>0</v>
      </c>
      <c r="Y40" s="57">
        <f>IF($B$12&gt;10,X40*(1+$L$40),"")</f>
        <v>0</v>
      </c>
      <c r="Z40" s="57">
        <f>IF($B$12&gt;11,Y40*(1+$L$40),"")</f>
        <v>0</v>
      </c>
      <c r="AA40" s="57">
        <f>IF($B$12&gt;12,Z40*(1+$L$40),"")</f>
        <v>0</v>
      </c>
      <c r="AB40" s="57">
        <f>IF($B$12&gt;13,AA40*(1+$L$40),"")</f>
        <v>0</v>
      </c>
      <c r="AC40" s="57">
        <f>IF($B$12&gt;14,AB40*(1+$L$40),"")</f>
        <v>0</v>
      </c>
      <c r="AD40" s="57">
        <f>IF($B$12&gt;15,AC40*(1+$L$40)*95%,"")</f>
        <v>0</v>
      </c>
      <c r="AE40" s="57">
        <f>IF($B$12&gt;16,AD40*(1+$L$40),"")</f>
        <v>0</v>
      </c>
      <c r="AF40" s="57">
        <f>IF($B$12&gt;17,AE40*(1+$L$40),"")</f>
        <v>0</v>
      </c>
      <c r="AG40" s="57">
        <f>IF($B$12&gt;18,AF40*(1+$L$40),"")</f>
        <v>0</v>
      </c>
      <c r="AH40" s="57">
        <f>IF($B$12&gt;19,AG40*(1+$L$40),"")</f>
        <v>0</v>
      </c>
    </row>
    <row r="41" spans="1:34" s="161" customFormat="1" ht="12.75" customHeight="1" x14ac:dyDescent="0.2">
      <c r="A41" s="12" t="str">
        <f>IF(VLOOKUP(Hulpblad_categorieën_parameters!D81,Hulpblad_categorieën_parameters!A87:AH332,18,FALSE)="Productie elektriciteit (kWh/jaar)","Niet subsidiabele netlevering tijdens negatieve prijsuren EPEX","Niet van toepassing")</f>
        <v>Niet subsidiabele netlevering tijdens negatieve prijsuren EPEX</v>
      </c>
      <c r="B41" s="30"/>
      <c r="C41" s="30"/>
      <c r="E41" s="260">
        <v>0</v>
      </c>
      <c r="H41" s="486">
        <v>0</v>
      </c>
      <c r="I41" s="487"/>
      <c r="J41" s="488"/>
      <c r="L41" s="500"/>
      <c r="M41" s="12"/>
      <c r="O41" s="164">
        <f>E41*H41</f>
        <v>0</v>
      </c>
      <c r="P41" s="164">
        <f t="shared" ref="P41:P43" si="1">O41*(1+$L$40)</f>
        <v>0</v>
      </c>
      <c r="Q41" s="164">
        <f t="shared" ref="Q41:Q43" si="2">P41*(1+$L$40)</f>
        <v>0</v>
      </c>
      <c r="R41" s="164">
        <f t="shared" ref="R41:R43" si="3">Q41*(1+$L$40)</f>
        <v>0</v>
      </c>
      <c r="S41" s="164">
        <f t="shared" ref="S41:S43" si="4">R41*(1+$L$40)</f>
        <v>0</v>
      </c>
      <c r="T41" s="57">
        <f>IF($B$12&gt;5,S41*(1+$L$40),"")</f>
        <v>0</v>
      </c>
      <c r="U41" s="57">
        <f>IF($B$12&gt;6,T41*(1+$L$40),"")</f>
        <v>0</v>
      </c>
      <c r="V41" s="57">
        <f>IF($B$12&gt;7,U41*(1+$L$40),"")</f>
        <v>0</v>
      </c>
      <c r="W41" s="57">
        <f t="shared" ref="W41:W43" si="5">IF($B$12&gt;8,V41*(1+$L$40),"")</f>
        <v>0</v>
      </c>
      <c r="X41" s="57">
        <f t="shared" ref="X41:X43" si="6">IF($B$12&gt;9,W41*(1+$L$40),"")</f>
        <v>0</v>
      </c>
      <c r="Y41" s="57">
        <f t="shared" ref="Y41:Y43" si="7">IF($B$12&gt;10,X41*(1+$L$40),"")</f>
        <v>0</v>
      </c>
      <c r="Z41" s="57">
        <f t="shared" ref="Z41:Z43" si="8">IF($B$12&gt;11,Y41*(1+$L$40),"")</f>
        <v>0</v>
      </c>
      <c r="AA41" s="57">
        <f t="shared" ref="AA41:AA43" si="9">IF($B$12&gt;12,Z41*(1+$L$40),"")</f>
        <v>0</v>
      </c>
      <c r="AB41" s="57">
        <f t="shared" ref="AB41:AB43" si="10">IF($B$12&gt;13,AA41*(1+$L$40),"")</f>
        <v>0</v>
      </c>
      <c r="AC41" s="57">
        <f t="shared" ref="AC41:AC43" si="11">IF($B$12&gt;14,AB41*(1+$L$40),"")</f>
        <v>0</v>
      </c>
      <c r="AD41" s="57">
        <f t="shared" ref="AD41:AD43" si="12">IF($B$12&gt;15,AC41*(1+$L$40)*95%,"")</f>
        <v>0</v>
      </c>
      <c r="AE41" s="57">
        <f t="shared" ref="AE41:AE43" si="13">IF($B$12&gt;16,AD41*(1+$L$40),"")</f>
        <v>0</v>
      </c>
      <c r="AF41" s="57">
        <f t="shared" ref="AF41:AF43" si="14">IF($B$12&gt;17,AE41*(1+$L$40),"")</f>
        <v>0</v>
      </c>
      <c r="AG41" s="57">
        <f t="shared" ref="AG41:AG43" si="15">IF($B$12&gt;18,AF41*(1+$L$40),"")</f>
        <v>0</v>
      </c>
      <c r="AH41" s="57">
        <f t="shared" ref="AH41:AH43" si="16">IF($B$12&gt;19,AG41*(1+$L$40),"")</f>
        <v>0</v>
      </c>
    </row>
    <row r="42" spans="1:34" s="161" customFormat="1" ht="12.75" customHeight="1" x14ac:dyDescent="0.25">
      <c r="A42" s="50" t="str">
        <f>IF(VLOOKUP(Hulpblad_categorieën_parameters!D81,Hulpblad_categorieën_parameters!A87:AH332,18,FALSE)="Productie elektriciteit (kWh/jaar)","Gemiste productie tijdens uitzetten installatie neg. prijsuren EPEX","Niet van toepassing")</f>
        <v>Gemiste productie tijdens uitzetten installatie neg. prijsuren EPEX</v>
      </c>
      <c r="B42" s="30"/>
      <c r="C42" s="30"/>
      <c r="E42" s="260">
        <v>0</v>
      </c>
      <c r="H42" s="486">
        <v>0</v>
      </c>
      <c r="I42" s="489"/>
      <c r="J42" s="490"/>
      <c r="L42" s="500"/>
      <c r="M42" s="12"/>
      <c r="O42" s="164">
        <f>E42*H42</f>
        <v>0</v>
      </c>
      <c r="P42" s="164">
        <f t="shared" si="1"/>
        <v>0</v>
      </c>
      <c r="Q42" s="164">
        <f t="shared" si="2"/>
        <v>0</v>
      </c>
      <c r="R42" s="164">
        <f t="shared" si="3"/>
        <v>0</v>
      </c>
      <c r="S42" s="164">
        <f t="shared" si="4"/>
        <v>0</v>
      </c>
      <c r="T42" s="57">
        <f>IF($B$12&gt;5,S42*(1+$L$40),"")</f>
        <v>0</v>
      </c>
      <c r="U42" s="57">
        <f>IF($B$12&gt;6,T42*(1+$L$40),"")</f>
        <v>0</v>
      </c>
      <c r="V42" s="57">
        <f>IF($B$12&gt;7,U42*(1+$L$40),"")</f>
        <v>0</v>
      </c>
      <c r="W42" s="57">
        <f t="shared" si="5"/>
        <v>0</v>
      </c>
      <c r="X42" s="57">
        <f t="shared" si="6"/>
        <v>0</v>
      </c>
      <c r="Y42" s="57">
        <f t="shared" si="7"/>
        <v>0</v>
      </c>
      <c r="Z42" s="57">
        <f t="shared" si="8"/>
        <v>0</v>
      </c>
      <c r="AA42" s="57">
        <f t="shared" si="9"/>
        <v>0</v>
      </c>
      <c r="AB42" s="57">
        <f t="shared" si="10"/>
        <v>0</v>
      </c>
      <c r="AC42" s="57">
        <f t="shared" si="11"/>
        <v>0</v>
      </c>
      <c r="AD42" s="57">
        <f t="shared" si="12"/>
        <v>0</v>
      </c>
      <c r="AE42" s="57">
        <f t="shared" si="13"/>
        <v>0</v>
      </c>
      <c r="AF42" s="57">
        <f t="shared" si="14"/>
        <v>0</v>
      </c>
      <c r="AG42" s="57">
        <f t="shared" si="15"/>
        <v>0</v>
      </c>
      <c r="AH42" s="57">
        <f t="shared" si="16"/>
        <v>0</v>
      </c>
    </row>
    <row r="43" spans="1:34" s="161" customFormat="1" ht="12.75" customHeight="1" x14ac:dyDescent="0.2">
      <c r="A43" s="12" t="str">
        <f>IF(VLOOKUP(Hulpblad_categorieën_parameters!D81,Hulpblad_categorieën_parameters!A87:AH332,18,FALSE)="Productie elektriciteit (kWh/jaar)","Hernieuwbare elektriciteit subsidiabele netlevering","Niet van toepassing")</f>
        <v>Hernieuwbare elektriciteit subsidiabele netlevering</v>
      </c>
      <c r="B43" s="30"/>
      <c r="C43" s="30"/>
      <c r="E43" s="162">
        <f>IF(VLOOKUP(Hulpblad_categorieën_parameters!D81,Hulpblad_categorieën_parameters!A87:AH332,18,FALSE)="Productie elektriciteit (kWh/jaar)",Productie_en_afzet!B18-E40-E41-E42,0)</f>
        <v>0</v>
      </c>
      <c r="H43" s="486">
        <v>0</v>
      </c>
      <c r="I43" s="487"/>
      <c r="J43" s="488"/>
      <c r="L43" s="500"/>
      <c r="M43" s="12"/>
      <c r="O43" s="164">
        <f>E43*H43</f>
        <v>0</v>
      </c>
      <c r="P43" s="164">
        <f t="shared" si="1"/>
        <v>0</v>
      </c>
      <c r="Q43" s="164">
        <f t="shared" si="2"/>
        <v>0</v>
      </c>
      <c r="R43" s="164">
        <f t="shared" si="3"/>
        <v>0</v>
      </c>
      <c r="S43" s="164">
        <f t="shared" si="4"/>
        <v>0</v>
      </c>
      <c r="T43" s="57">
        <f>IF($B$12&gt;5,S43*(1+$L$40),"")</f>
        <v>0</v>
      </c>
      <c r="U43" s="57">
        <f>IF($B$12&gt;6,T43*(1+$L$40),"")</f>
        <v>0</v>
      </c>
      <c r="V43" s="57">
        <f>IF($B$12&gt;7,U43*(1+$L$40),"")</f>
        <v>0</v>
      </c>
      <c r="W43" s="57">
        <f t="shared" si="5"/>
        <v>0</v>
      </c>
      <c r="X43" s="57">
        <f t="shared" si="6"/>
        <v>0</v>
      </c>
      <c r="Y43" s="57">
        <f t="shared" si="7"/>
        <v>0</v>
      </c>
      <c r="Z43" s="57">
        <f t="shared" si="8"/>
        <v>0</v>
      </c>
      <c r="AA43" s="57">
        <f t="shared" si="9"/>
        <v>0</v>
      </c>
      <c r="AB43" s="57">
        <f t="shared" si="10"/>
        <v>0</v>
      </c>
      <c r="AC43" s="57">
        <f t="shared" si="11"/>
        <v>0</v>
      </c>
      <c r="AD43" s="57">
        <f t="shared" si="12"/>
        <v>0</v>
      </c>
      <c r="AE43" s="57">
        <f t="shared" si="13"/>
        <v>0</v>
      </c>
      <c r="AF43" s="57">
        <f t="shared" si="14"/>
        <v>0</v>
      </c>
      <c r="AG43" s="57">
        <f t="shared" si="15"/>
        <v>0</v>
      </c>
      <c r="AH43" s="57">
        <f t="shared" si="16"/>
        <v>0</v>
      </c>
    </row>
    <row r="44" spans="1:34" s="161" customFormat="1" ht="12.75" customHeight="1" x14ac:dyDescent="0.2">
      <c r="A44" s="12" t="str">
        <f>IF(VLOOKUP(Hulpblad_categorieën_parameters!D81,Hulpblad_categorieën_parameters!A87:T332,19,FALSE)="Productie warmte (kWh/jaar)",Productie_en_afzet!A19,IF(VLOOKUP(Hulpblad_categorieën_parameters!D81,Hulpblad_categorieën_parameters!A87:T332,18,FALSE)="Productie elektriciteit (kWh/jaar)","Niet van toepassing",Productie_en_afzet!A18))</f>
        <v>Niet van toepassing</v>
      </c>
      <c r="B44" s="30"/>
      <c r="C44" s="30"/>
      <c r="E44" s="163">
        <f>IF(VLOOKUP(Hulpblad_categorieën_parameters!D81,Hulpblad_categorieën_parameters!A87:AH332,19,FALSE)="Productie warmte (kWh/jaar)",Productie_en_afzet!B19,IF(VLOOKUP(Hulpblad_categorieën_parameters!D81,Hulpblad_categorieën_parameters!A87:AH332,18,FALSE)="Productie elektriciteit (kWh/jaar)",0,Productie_en_afzet!B20))</f>
        <v>0</v>
      </c>
      <c r="H44" s="477">
        <v>0</v>
      </c>
      <c r="I44" s="478"/>
      <c r="J44" s="479"/>
      <c r="L44" s="190">
        <v>0.02</v>
      </c>
      <c r="M44" s="12"/>
      <c r="O44" s="164">
        <f>E44*H44</f>
        <v>0</v>
      </c>
      <c r="P44" s="164">
        <f t="shared" ref="P44:S44" si="17">O44*(1+$L$44)</f>
        <v>0</v>
      </c>
      <c r="Q44" s="164">
        <f t="shared" si="17"/>
        <v>0</v>
      </c>
      <c r="R44" s="164">
        <f t="shared" si="17"/>
        <v>0</v>
      </c>
      <c r="S44" s="164">
        <f t="shared" si="17"/>
        <v>0</v>
      </c>
      <c r="T44" s="57">
        <f>IF($B$12&gt;5,S44*(1+$L$44),"")</f>
        <v>0</v>
      </c>
      <c r="U44" s="57">
        <f>IF($B$12&gt;6,T44*(1+$L$44),"")</f>
        <v>0</v>
      </c>
      <c r="V44" s="57">
        <f>IF($B$12&gt;7,U44*(1+$L$44),"")</f>
        <v>0</v>
      </c>
      <c r="W44" s="57">
        <f>IF($B$12&gt;8,V44*(1+$L$44),"")</f>
        <v>0</v>
      </c>
      <c r="X44" s="57">
        <f>IF($B$12&gt;9,W44*(1+$L$44),"")</f>
        <v>0</v>
      </c>
      <c r="Y44" s="57">
        <f>IF($B$12&gt;10,X44*(1+$L$44),"")</f>
        <v>0</v>
      </c>
      <c r="Z44" s="57">
        <f>IF($B$12&gt;11,Y44*(1+$L$44),"")</f>
        <v>0</v>
      </c>
      <c r="AA44" s="57">
        <f>IF($B$12&gt;12,Z44*(1+$L$44),"")</f>
        <v>0</v>
      </c>
      <c r="AB44" s="57">
        <f>IF($B$12&gt;13,AA44*(1+$L$44),"")</f>
        <v>0</v>
      </c>
      <c r="AC44" s="57">
        <f>IF($B$12&gt;14,AB44*(1+$L$44),"")</f>
        <v>0</v>
      </c>
      <c r="AD44" s="57">
        <f>IF($B$12&gt;15,AC44*(1+$L$44),"")</f>
        <v>0</v>
      </c>
      <c r="AE44" s="57">
        <f>IF($B$12&gt;16,AD44*(1+$L$44),"")</f>
        <v>0</v>
      </c>
      <c r="AF44" s="57">
        <f>IF($B$12&gt;17,AE44*(1+$L$44),"")</f>
        <v>0</v>
      </c>
      <c r="AG44" s="57">
        <f>IF($B$12&gt;18,AF44*(1+$L$44),"")</f>
        <v>0</v>
      </c>
      <c r="AH44" s="57">
        <f>IF($B$12&gt;19,AG44*(1+$L$44),"")</f>
        <v>0</v>
      </c>
    </row>
    <row r="45" spans="1:34" s="161" customFormat="1" ht="12.75" customHeight="1" x14ac:dyDescent="0.2">
      <c r="A45" s="30" t="s">
        <v>408</v>
      </c>
      <c r="B45" s="30"/>
      <c r="C45" s="30"/>
      <c r="L45" s="172"/>
      <c r="O45" s="42">
        <f t="shared" ref="O45:S45" si="18">SUM(O40:O44)</f>
        <v>0</v>
      </c>
      <c r="P45" s="42">
        <f t="shared" si="18"/>
        <v>0</v>
      </c>
      <c r="Q45" s="42">
        <f t="shared" si="18"/>
        <v>0</v>
      </c>
      <c r="R45" s="42">
        <f t="shared" si="18"/>
        <v>0</v>
      </c>
      <c r="S45" s="42">
        <f t="shared" si="18"/>
        <v>0</v>
      </c>
      <c r="T45" s="42">
        <f>IF($B$12&gt;5,SUM(T40:T44),"")</f>
        <v>0</v>
      </c>
      <c r="U45" s="42">
        <f>IF($B$12&gt;6,SUM(U40:U44),"")</f>
        <v>0</v>
      </c>
      <c r="V45" s="42">
        <f>IF($B$12&gt;7,SUM(V40:V44),"")</f>
        <v>0</v>
      </c>
      <c r="W45" s="42">
        <f>IF($B$12&gt;8,SUM(W40:W44),"")</f>
        <v>0</v>
      </c>
      <c r="X45" s="42">
        <f>IF($B$12&gt;9,SUM(X40:X44),"")</f>
        <v>0</v>
      </c>
      <c r="Y45" s="42">
        <f>IF($B$12&gt;10,SUM(Y40:Y44),"")</f>
        <v>0</v>
      </c>
      <c r="Z45" s="42">
        <f>IF($B$12&gt;11,SUM(Z40:Z44),"")</f>
        <v>0</v>
      </c>
      <c r="AA45" s="42">
        <f>IF($B$12&gt;12,SUM(AA40:AA44),"")</f>
        <v>0</v>
      </c>
      <c r="AB45" s="42">
        <f>IF($B$12&gt;13,SUM(AB40:AB44),"")</f>
        <v>0</v>
      </c>
      <c r="AC45" s="42">
        <f>IF($B$12&gt;14,SUM(AC40:AC44),"")</f>
        <v>0</v>
      </c>
      <c r="AD45" s="42">
        <f>IF($B$12&gt;15,SUM(AD40:AD44),"")</f>
        <v>0</v>
      </c>
      <c r="AE45" s="42">
        <f>IF($B$12&gt;16,SUM(AE40:AE44),"")</f>
        <v>0</v>
      </c>
      <c r="AF45" s="42">
        <f>IF($B$12&gt;17,SUM(AF40:AF44),"")</f>
        <v>0</v>
      </c>
      <c r="AG45" s="42">
        <f>IF($B$12&gt;18,SUM(AG40:AG44),"")</f>
        <v>0</v>
      </c>
      <c r="AH45" s="42">
        <f>IF($B$12&gt;19,SUM(AH40:AH44),"")</f>
        <v>0</v>
      </c>
    </row>
    <row r="46" spans="1:34" s="161" customFormat="1" ht="12.75" customHeight="1" x14ac:dyDescent="0.2">
      <c r="A46" s="30"/>
      <c r="B46" s="30"/>
      <c r="C46" s="30"/>
      <c r="L46" s="172"/>
      <c r="O46" s="42"/>
      <c r="P46" s="42"/>
      <c r="Q46" s="42"/>
      <c r="R46" s="42"/>
      <c r="S46" s="42"/>
      <c r="T46" s="42"/>
      <c r="U46" s="42"/>
      <c r="V46" s="42"/>
      <c r="W46" s="42"/>
      <c r="X46" s="42"/>
      <c r="Y46" s="42"/>
      <c r="Z46" s="42"/>
      <c r="AA46" s="42"/>
      <c r="AB46" s="42"/>
      <c r="AC46" s="42"/>
      <c r="AD46" s="42"/>
      <c r="AE46" s="42"/>
      <c r="AF46" s="42"/>
      <c r="AG46" s="42"/>
      <c r="AH46" s="42"/>
    </row>
    <row r="47" spans="1:34" s="161" customFormat="1" ht="12.75" customHeight="1" x14ac:dyDescent="0.2">
      <c r="A47" s="30"/>
      <c r="B47" s="30"/>
      <c r="C47" s="30"/>
      <c r="L47" s="501" t="s">
        <v>70</v>
      </c>
      <c r="O47" s="42"/>
      <c r="P47" s="42"/>
      <c r="Q47" s="42"/>
      <c r="R47" s="42"/>
      <c r="S47" s="42"/>
      <c r="T47" s="42"/>
      <c r="U47" s="42"/>
      <c r="V47" s="42"/>
      <c r="W47" s="42"/>
      <c r="X47" s="42"/>
      <c r="Y47" s="42"/>
      <c r="Z47" s="42"/>
      <c r="AA47" s="42"/>
      <c r="AB47" s="42"/>
      <c r="AC47" s="42"/>
      <c r="AD47" s="42"/>
      <c r="AE47" s="42"/>
      <c r="AF47" s="42"/>
      <c r="AG47" s="42"/>
      <c r="AH47" s="42"/>
    </row>
    <row r="48" spans="1:34" s="161" customFormat="1" ht="12.75" customHeight="1" x14ac:dyDescent="0.2">
      <c r="A48" s="30" t="s">
        <v>71</v>
      </c>
      <c r="B48" s="30"/>
      <c r="C48" s="30"/>
      <c r="E48" s="161" t="str">
        <f>"Jaarproductie ("&amp;VLOOKUP(Hulpblad_categorieën_parameters!D81,Hulpblad_categorieën_parameters!A87:AH332,26,FALSE)&amp;")"</f>
        <v>Jaarproductie (kWh)</v>
      </c>
      <c r="H48" s="503" t="str">
        <f>"ETS-1 prijs (€/"&amp;VLOOKUP(Hulpblad_categorieën_parameters!D81,Hulpblad_categorieën_parameters!A87:AH332,26,FALSE)&amp;")"</f>
        <v>ETS-1 prijs (€/kWh)</v>
      </c>
      <c r="I48" s="502"/>
      <c r="J48" s="502"/>
      <c r="L48" s="502"/>
      <c r="O48" s="42"/>
      <c r="P48" s="42"/>
      <c r="Q48" s="42"/>
      <c r="R48" s="42"/>
      <c r="S48" s="42"/>
      <c r="T48" s="42"/>
      <c r="U48" s="42"/>
      <c r="V48" s="42"/>
      <c r="W48" s="42"/>
      <c r="X48" s="42"/>
      <c r="Y48" s="42"/>
      <c r="Z48" s="42"/>
      <c r="AA48" s="42"/>
      <c r="AB48" s="42"/>
      <c r="AC48" s="42"/>
      <c r="AD48" s="42"/>
      <c r="AE48" s="42"/>
      <c r="AF48" s="42"/>
      <c r="AG48" s="42"/>
      <c r="AH48" s="42"/>
    </row>
    <row r="49" spans="1:34" s="161" customFormat="1" ht="12.75" customHeight="1" x14ac:dyDescent="0.2">
      <c r="A49" s="12" t="str">
        <f>IF(B7="ETS-correctie","","Niet van toepassing")</f>
        <v>Niet van toepassing</v>
      </c>
      <c r="B49" s="30"/>
      <c r="C49" s="30"/>
      <c r="E49" s="173">
        <f>Productie_en_afzet!B20</f>
        <v>0</v>
      </c>
      <c r="H49" s="504">
        <f>H63</f>
        <v>0</v>
      </c>
      <c r="I49" s="505"/>
      <c r="J49" s="506"/>
      <c r="L49" s="190">
        <v>0.02</v>
      </c>
      <c r="O49" s="42">
        <f>E49*H49</f>
        <v>0</v>
      </c>
      <c r="P49" s="42">
        <f>O49*(1+$L$49)</f>
        <v>0</v>
      </c>
      <c r="Q49" s="42">
        <f t="shared" ref="Q49:S49" si="19">P49*(1+$L$49)</f>
        <v>0</v>
      </c>
      <c r="R49" s="42">
        <f t="shared" si="19"/>
        <v>0</v>
      </c>
      <c r="S49" s="42">
        <f t="shared" si="19"/>
        <v>0</v>
      </c>
      <c r="T49" s="42">
        <f>IF($B$12&gt;5,S49*(1+$L$49),"")</f>
        <v>0</v>
      </c>
      <c r="U49" s="42">
        <f>IF($B$12&gt;6,T49*(1+$L$49),"")</f>
        <v>0</v>
      </c>
      <c r="V49" s="42">
        <f>IF($B$12&gt;7,U49*(1+$L$49),"")</f>
        <v>0</v>
      </c>
      <c r="W49" s="42">
        <f>IF($B$12&gt;8,V49*(1+$L$49),"")</f>
        <v>0</v>
      </c>
      <c r="X49" s="42">
        <f>IF($B$12&gt;9,W49*(1+$L$49),"")</f>
        <v>0</v>
      </c>
      <c r="Y49" s="42">
        <f>IF($B$12&gt;10,X49*(1+$L$49),"")</f>
        <v>0</v>
      </c>
      <c r="Z49" s="42">
        <f>IF($B$12&gt;11,Y49*(1+$L$49),"")</f>
        <v>0</v>
      </c>
      <c r="AA49" s="42">
        <f>IF($B$12&gt;12,Z49*(1+$L$49),"")</f>
        <v>0</v>
      </c>
      <c r="AB49" s="42">
        <f>IF($B$12&gt;13,AA49*(1+$L$49),"")</f>
        <v>0</v>
      </c>
      <c r="AC49" s="42">
        <f>IF($B$12&gt;14,AB49*(1+$L$49),"")</f>
        <v>0</v>
      </c>
      <c r="AD49" s="42">
        <f>IF($B$12&gt;15,AC49*(1+$L$49),"")</f>
        <v>0</v>
      </c>
      <c r="AE49" s="42">
        <f>IF($B$12&gt;16,AD49*(1+$L$49),"")</f>
        <v>0</v>
      </c>
      <c r="AF49" s="42">
        <f>IF($B$12&gt;17,AE49*(1+$L$49),"")</f>
        <v>0</v>
      </c>
      <c r="AG49" s="42">
        <f>IF($B$12&gt;18,AF49*(1+$L$49),"")</f>
        <v>0</v>
      </c>
      <c r="AH49" s="42">
        <f>IF($B$12&gt;19,AG49*(1+$L$49),"")</f>
        <v>0</v>
      </c>
    </row>
    <row r="50" spans="1:34" s="161" customFormat="1" ht="30.75" customHeight="1" x14ac:dyDescent="0.2">
      <c r="B50" s="507"/>
      <c r="C50" s="507"/>
      <c r="E50" s="508" t="str">
        <f>"Subsidiabele productie ("&amp;VLOOKUP(Hulpblad_categorieën_parameters!D81,Hulpblad_categorieën_parameters!A87:AH332,26,FALSE)&amp;"/jaar)"</f>
        <v>Subsidiabele productie (kWh/jaar)</v>
      </c>
      <c r="H50" s="491"/>
      <c r="I50" s="508"/>
      <c r="J50" s="508"/>
      <c r="L50" s="491"/>
      <c r="O50" s="165"/>
      <c r="P50" s="165"/>
      <c r="Q50" s="165"/>
      <c r="R50" s="165"/>
      <c r="S50" s="165"/>
      <c r="T50" s="165"/>
      <c r="U50" s="165"/>
      <c r="V50" s="165"/>
      <c r="W50" s="86"/>
      <c r="X50" s="86"/>
      <c r="Y50" s="86"/>
      <c r="Z50" s="86"/>
    </row>
    <row r="51" spans="1:34" s="161" customFormat="1" ht="12.75" customHeight="1" x14ac:dyDescent="0.2">
      <c r="A51" s="30" t="s">
        <v>72</v>
      </c>
      <c r="B51" s="507"/>
      <c r="C51" s="507"/>
      <c r="E51" s="502"/>
      <c r="H51" s="508"/>
      <c r="I51" s="508"/>
      <c r="J51" s="508"/>
      <c r="L51" s="508"/>
      <c r="O51" s="165"/>
      <c r="P51" s="165"/>
      <c r="Q51" s="165"/>
      <c r="R51" s="165"/>
      <c r="S51" s="165"/>
      <c r="T51" s="165"/>
      <c r="U51" s="165"/>
      <c r="V51" s="165"/>
      <c r="W51" s="86"/>
      <c r="X51" s="86"/>
      <c r="Y51" s="86"/>
      <c r="Z51" s="86"/>
    </row>
    <row r="52" spans="1:34" s="161" customFormat="1" ht="12.75" customHeight="1" x14ac:dyDescent="0.2">
      <c r="A52" s="12" t="str">
        <f>IF(OR(Hulpblad_categorieën_parameters!D29="Zon-PV",Hulpblad_categorieën_parameters!D29="Wind"),"Elektriciteit netlevering","")</f>
        <v>Elektriciteit netlevering</v>
      </c>
      <c r="B52" s="512"/>
      <c r="C52" s="513"/>
      <c r="D52" s="166"/>
      <c r="E52" s="239">
        <f>IF(OR(Hulpblad_categorieën_parameters!D29="Zon-PV",Hulpblad_categorieën_parameters!D29="Wind"),MIN(Productie_en_afzet!B23,E43),Productie_en_afzet!B23)</f>
        <v>0</v>
      </c>
      <c r="H52" s="514"/>
      <c r="I52" s="487"/>
      <c r="J52" s="487"/>
      <c r="L52" s="174"/>
      <c r="M52" s="515"/>
      <c r="N52" s="516"/>
      <c r="O52" s="164"/>
      <c r="P52" s="164"/>
      <c r="Q52" s="164"/>
      <c r="R52" s="164"/>
      <c r="S52" s="164"/>
      <c r="T52" s="164"/>
      <c r="U52" s="164"/>
      <c r="V52" s="164"/>
      <c r="W52" s="57"/>
      <c r="X52" s="57"/>
      <c r="Y52" s="57"/>
      <c r="Z52" s="57"/>
      <c r="AA52" s="57"/>
      <c r="AB52" s="57"/>
      <c r="AC52" s="57"/>
    </row>
    <row r="53" spans="1:34" s="161" customFormat="1" ht="12.75" customHeight="1" x14ac:dyDescent="0.2">
      <c r="A53" s="12"/>
      <c r="B53" s="88"/>
      <c r="C53" s="40"/>
      <c r="D53" s="166"/>
      <c r="E53" s="53"/>
      <c r="F53" s="12"/>
      <c r="H53" s="175"/>
      <c r="I53" s="175"/>
      <c r="J53" s="175"/>
      <c r="L53" s="172"/>
      <c r="M53" s="87"/>
      <c r="N53" s="166"/>
      <c r="O53" s="57"/>
      <c r="P53" s="57"/>
      <c r="Q53" s="57"/>
      <c r="R53" s="57"/>
      <c r="S53" s="57"/>
      <c r="T53" s="57"/>
      <c r="U53" s="57"/>
      <c r="V53" s="57"/>
      <c r="W53" s="57"/>
      <c r="X53" s="57"/>
      <c r="Y53" s="57"/>
      <c r="Z53" s="57"/>
      <c r="AA53" s="57"/>
      <c r="AB53" s="57"/>
      <c r="AC53" s="57"/>
    </row>
    <row r="54" spans="1:34" s="161" customFormat="1" ht="12.75" customHeight="1" x14ac:dyDescent="0.2">
      <c r="A54" s="12" t="str">
        <f>"Basisbedrag of fasebedrag (€/"&amp;VLOOKUP(Hulpblad_categorieën_parameters!D81,Hulpblad_categorieën_parameters!A87:Z332,26,FALSE)&amp;")"</f>
        <v>Basisbedrag of fasebedrag (€/kWh)</v>
      </c>
      <c r="C54" s="12"/>
      <c r="D54" s="166"/>
      <c r="E54" s="191">
        <f>VLOOKUP(Hulpblad_categorieën_parameters!D81,Hulpblad_categorieën_parameters!A87:AH332,2,FALSE)</f>
        <v>8.43E-2</v>
      </c>
      <c r="H54" s="508" t="str">
        <f>"Voorlopig correctiebedrag productprijs (€/"&amp;VLOOKUP(Hulpblad_categorieën_parameters!D81,Hulpblad_categorieën_parameters!A87:AH332,26,FALSE)&amp;")"</f>
        <v>Voorlopig correctiebedrag productprijs (€/kWh)</v>
      </c>
      <c r="I54" s="508"/>
      <c r="J54" s="508"/>
      <c r="L54" s="491" t="s">
        <v>73</v>
      </c>
      <c r="M54" s="87"/>
      <c r="N54" s="166"/>
      <c r="O54" s="57"/>
      <c r="P54" s="57"/>
      <c r="Q54" s="57"/>
      <c r="R54" s="57"/>
      <c r="S54" s="57"/>
      <c r="T54" s="57"/>
      <c r="U54" s="57"/>
      <c r="V54" s="57"/>
      <c r="W54" s="57"/>
      <c r="X54" s="57"/>
      <c r="Y54" s="57"/>
      <c r="Z54" s="57"/>
      <c r="AA54" s="57"/>
      <c r="AB54" s="57"/>
      <c r="AC54" s="57"/>
    </row>
    <row r="55" spans="1:34" s="161" customFormat="1" ht="12.75" customHeight="1" x14ac:dyDescent="0.2">
      <c r="A55" s="12" t="str">
        <f>IF(OR(Hulpblad_categorieën_parameters!D29="Zon-PV",Hulpblad_categorieën_parameters!D29="Wind"),"Opbrengstgrensbedrag (€/kWh)","")</f>
        <v>Opbrengstgrensbedrag (€/kWh)</v>
      </c>
      <c r="C55" s="12"/>
      <c r="D55" s="166"/>
      <c r="E55" s="175">
        <f>IF(OR(Hulpblad_categorieën_parameters!D29="Zon-PV",Hulpblad_categorieën_parameters!D29="Wind"),VLOOKUP(Hulpblad_categorieën_parameters!D81,Hulpblad_categorieën_parameters!A87:AH332,2,FALSE)+0.018,"")</f>
        <v>0.1023</v>
      </c>
      <c r="H55" s="508"/>
      <c r="I55" s="508"/>
      <c r="J55" s="508"/>
      <c r="L55" s="491"/>
      <c r="M55" s="87"/>
      <c r="N55" s="166"/>
      <c r="O55" s="57"/>
      <c r="P55" s="57"/>
      <c r="Q55" s="57"/>
      <c r="R55" s="57"/>
      <c r="S55" s="57"/>
      <c r="T55" s="57"/>
      <c r="U55" s="57"/>
      <c r="V55" s="57"/>
      <c r="W55" s="57"/>
      <c r="X55" s="57"/>
      <c r="Y55" s="57"/>
      <c r="Z55" s="57"/>
      <c r="AA55" s="57"/>
      <c r="AB55" s="57"/>
      <c r="AC55" s="57"/>
    </row>
    <row r="56" spans="1:34" s="161" customFormat="1" ht="12.75" customHeight="1" x14ac:dyDescent="0.2">
      <c r="A56" s="12"/>
      <c r="C56" s="12"/>
      <c r="D56" s="166"/>
      <c r="E56" s="175"/>
      <c r="H56" s="508"/>
      <c r="I56" s="508"/>
      <c r="J56" s="508"/>
      <c r="L56" s="491"/>
      <c r="M56" s="87"/>
      <c r="N56" s="166"/>
      <c r="O56" s="57"/>
      <c r="P56" s="57"/>
      <c r="Q56" s="57"/>
      <c r="R56" s="57"/>
      <c r="S56" s="57"/>
      <c r="T56" s="57"/>
      <c r="U56" s="57"/>
      <c r="V56" s="57"/>
      <c r="W56" s="57"/>
      <c r="X56" s="57"/>
      <c r="Y56" s="57"/>
      <c r="Z56" s="57"/>
      <c r="AA56" s="57"/>
      <c r="AB56" s="57"/>
      <c r="AC56" s="57"/>
    </row>
    <row r="57" spans="1:34" s="161" customFormat="1" ht="26.25" customHeight="1" x14ac:dyDescent="0.2">
      <c r="B57" s="53"/>
      <c r="C57" s="12"/>
      <c r="D57" s="166"/>
      <c r="H57" s="502"/>
      <c r="I57" s="502"/>
      <c r="J57" s="502"/>
      <c r="L57" s="508"/>
      <c r="M57" s="87"/>
      <c r="N57" s="166"/>
      <c r="O57" s="57"/>
      <c r="P57" s="57"/>
      <c r="Q57" s="57"/>
      <c r="R57" s="57"/>
      <c r="S57" s="57"/>
      <c r="T57" s="57"/>
      <c r="U57" s="57"/>
      <c r="V57" s="57"/>
      <c r="W57" s="57"/>
      <c r="X57" s="57"/>
      <c r="Y57" s="57"/>
      <c r="Z57" s="57"/>
      <c r="AA57" s="57"/>
      <c r="AB57" s="57"/>
      <c r="AC57" s="57"/>
    </row>
    <row r="58" spans="1:34" s="161" customFormat="1" ht="12.75" customHeight="1" x14ac:dyDescent="0.2">
      <c r="A58" s="12" t="str">
        <f>IF(Hulpblad_categorieën_parameters!D29="Zon-PV","Verwacht correctiebedrag elektriciteit netlevering (€/kWh)","Verwacht correctiebedrag productprijs (€/"&amp;VLOOKUP(Hulpblad_categorieën_parameters!D81,Hulpblad_categorieën_parameters!A87:Z332,26,FALSE)&amp;")")</f>
        <v>Verwacht correctiebedrag elektriciteit netlevering (€/kWh)</v>
      </c>
      <c r="B58" s="53"/>
      <c r="C58" s="12"/>
      <c r="D58" s="166"/>
      <c r="H58" s="517">
        <f>VLOOKUP(Hulpblad_categorieën_parameters!D81,Hulpblad_categorieën_parameters!A87:AH332,29,FALSE)</f>
        <v>5.8758235234815187E-2</v>
      </c>
      <c r="I58" s="505"/>
      <c r="J58" s="506"/>
      <c r="L58" s="192">
        <v>0.02</v>
      </c>
      <c r="M58" s="87"/>
      <c r="N58" s="166"/>
      <c r="O58" s="89">
        <f>H58</f>
        <v>5.8758235234815187E-2</v>
      </c>
      <c r="P58" s="89">
        <f>O58*(1+$L$58)</f>
        <v>5.9933399939511495E-2</v>
      </c>
      <c r="Q58" s="89">
        <f t="shared" ref="Q58:S58" si="20">P58*(1+$L$58)</f>
        <v>6.1132067938301726E-2</v>
      </c>
      <c r="R58" s="89">
        <f t="shared" si="20"/>
        <v>6.235470929706776E-2</v>
      </c>
      <c r="S58" s="89">
        <f t="shared" si="20"/>
        <v>6.3601803483009117E-2</v>
      </c>
      <c r="T58" s="89">
        <f>IF($B$12&gt;5,IF($B$11&gt;5,S58*(1+$L$58),0),"")</f>
        <v>6.4873839552669302E-2</v>
      </c>
      <c r="U58" s="89">
        <f>IF($B$12&gt;6,IF($B$11&gt;6,T58*(1+$L$58),0),"")</f>
        <v>6.6171316343722683E-2</v>
      </c>
      <c r="V58" s="89">
        <f>IF($B$12&gt;7,IF($B$11&gt;7,U58*(1+$L$58),0),"")</f>
        <v>6.7494742670597144E-2</v>
      </c>
      <c r="W58" s="89">
        <f>IF($B$12&gt;8,IF($B$11&gt;8,V58*(1+$L$58),0),"")</f>
        <v>6.8844637524009086E-2</v>
      </c>
      <c r="X58" s="89">
        <f>IF($B$12&gt;9,IF($B$11&gt;9,W58*(1+$L$58),0),"")</f>
        <v>7.0221530274489269E-2</v>
      </c>
      <c r="Y58" s="89">
        <f>IF($B$12&gt;10,IF($B$11&gt;10,X58*(1+$L$58),0),"")</f>
        <v>7.162596087997905E-2</v>
      </c>
      <c r="Z58" s="89">
        <f>IF($B$12&gt;11,IF($B$11&gt;11,Y58*(1+$L$58),0),"")</f>
        <v>7.3058480097578635E-2</v>
      </c>
      <c r="AA58" s="89">
        <f>IF($B$12&gt;12,IF($B$11&gt;12,Z58*(1+$L$58),0),"")</f>
        <v>7.4519649699530205E-2</v>
      </c>
      <c r="AB58" s="89">
        <f>IF($B$12&gt;13,IF($B$11&gt;13,AA58*(1+$L$58),0),"")</f>
        <v>7.601004269352081E-2</v>
      </c>
      <c r="AC58" s="89">
        <f>IF($B$12&gt;14,IF($B$11&gt;14,AB58*(1+$L$58),0),"")</f>
        <v>7.7530243547391228E-2</v>
      </c>
      <c r="AD58" s="89">
        <f>IF($B$12&gt;15,IF($B$11&gt;15,AC58*(1+$L$58),0),"")</f>
        <v>0</v>
      </c>
      <c r="AE58" s="89">
        <f>IF($B$12&gt;16,IF($B$11&gt;16,AD58*(1+$L$58),0),"")</f>
        <v>0</v>
      </c>
      <c r="AF58" s="89">
        <f>IF($B$12&gt;17,IF($B$11&gt;17,AE58*(1+$L$58),0),"")</f>
        <v>0</v>
      </c>
      <c r="AG58" s="89">
        <f>IF($B$12&gt;18,IF($B$11&gt;18,AF58*(1+$L$58),0),"")</f>
        <v>0</v>
      </c>
      <c r="AH58" s="89">
        <f>IF($B$12&gt;19,IF($B$11&gt;19,AG58*(1+$L$58),0),"")</f>
        <v>0</v>
      </c>
    </row>
    <row r="59" spans="1:34" s="161" customFormat="1" ht="12.75" customHeight="1" x14ac:dyDescent="0.2">
      <c r="B59" s="53"/>
      <c r="C59" s="12"/>
      <c r="D59" s="166"/>
      <c r="H59" s="177"/>
      <c r="I59" s="177"/>
      <c r="J59" s="177"/>
      <c r="L59" s="176"/>
      <c r="M59" s="508"/>
      <c r="N59" s="508"/>
      <c r="O59" s="57"/>
      <c r="P59" s="57"/>
      <c r="Q59" s="57"/>
      <c r="R59" s="57"/>
      <c r="S59" s="57"/>
      <c r="T59" s="57"/>
      <c r="U59" s="57"/>
      <c r="V59" s="57"/>
      <c r="W59" s="224"/>
      <c r="X59" s="219"/>
      <c r="Y59" s="57"/>
      <c r="Z59" s="57"/>
      <c r="AA59" s="57"/>
      <c r="AB59" s="57"/>
      <c r="AC59" s="57"/>
      <c r="AD59" s="219"/>
      <c r="AE59" s="219"/>
      <c r="AF59" s="219"/>
      <c r="AG59" s="219"/>
      <c r="AH59" s="219"/>
    </row>
    <row r="60" spans="1:34" s="161" customFormat="1" ht="12.75" customHeight="1" x14ac:dyDescent="0.2">
      <c r="A60" s="12"/>
      <c r="B60" s="53"/>
      <c r="C60" s="12"/>
      <c r="D60" s="166"/>
      <c r="H60" s="518" t="str">
        <f>"Voorlopig correctiebedrag ETS-1 prijs (€/"&amp;VLOOKUP(Hulpblad_categorieën_parameters!D81,Hulpblad_categorieën_parameters!A87:AH332,26,FALSE)&amp;")"</f>
        <v>Voorlopig correctiebedrag ETS-1 prijs (€/kWh)</v>
      </c>
      <c r="I60" s="508"/>
      <c r="J60" s="508"/>
      <c r="L60" s="176"/>
      <c r="M60" s="508"/>
      <c r="N60" s="508"/>
      <c r="O60" s="57"/>
      <c r="P60" s="57"/>
      <c r="Q60" s="57"/>
      <c r="R60" s="57"/>
      <c r="S60" s="57"/>
      <c r="T60" s="57"/>
      <c r="U60" s="57"/>
      <c r="V60" s="57"/>
      <c r="W60" s="219"/>
      <c r="X60" s="219"/>
      <c r="Y60" s="57"/>
      <c r="Z60" s="57"/>
      <c r="AA60" s="57"/>
      <c r="AB60" s="57"/>
      <c r="AC60" s="57"/>
      <c r="AD60" s="219"/>
      <c r="AE60" s="219"/>
      <c r="AF60" s="219"/>
      <c r="AG60" s="219"/>
      <c r="AH60" s="219"/>
    </row>
    <row r="61" spans="1:34" s="161" customFormat="1" ht="12.75" customHeight="1" x14ac:dyDescent="0.2">
      <c r="A61" s="12"/>
      <c r="B61" s="53"/>
      <c r="C61" s="12"/>
      <c r="D61" s="166"/>
      <c r="H61" s="508"/>
      <c r="I61" s="508"/>
      <c r="J61" s="508"/>
      <c r="L61" s="501" t="s">
        <v>1018</v>
      </c>
      <c r="M61" s="87"/>
      <c r="N61" s="166"/>
      <c r="O61" s="57"/>
      <c r="P61" s="57"/>
      <c r="Q61" s="57"/>
      <c r="R61" s="57"/>
      <c r="S61" s="57"/>
      <c r="T61" s="57"/>
      <c r="U61" s="57"/>
      <c r="V61" s="57"/>
      <c r="W61" s="219"/>
      <c r="X61" s="219"/>
      <c r="Y61" s="57"/>
      <c r="Z61" s="57"/>
      <c r="AA61" s="57"/>
      <c r="AB61" s="57"/>
      <c r="AC61" s="57"/>
      <c r="AD61" s="219"/>
      <c r="AE61" s="219"/>
      <c r="AF61" s="219"/>
      <c r="AG61" s="219"/>
      <c r="AH61" s="219"/>
    </row>
    <row r="62" spans="1:34" s="161" customFormat="1" ht="12.75" customHeight="1" x14ac:dyDescent="0.2">
      <c r="B62" s="53"/>
      <c r="C62" s="12"/>
      <c r="D62" s="166"/>
      <c r="H62" s="502"/>
      <c r="I62" s="502"/>
      <c r="J62" s="502"/>
      <c r="L62" s="502"/>
      <c r="M62" s="87"/>
      <c r="N62" s="166"/>
      <c r="O62" s="57"/>
      <c r="P62" s="57"/>
      <c r="Q62" s="57"/>
      <c r="R62" s="57"/>
      <c r="S62" s="57"/>
      <c r="T62" s="57"/>
      <c r="U62" s="57"/>
      <c r="V62" s="57"/>
      <c r="W62" s="219"/>
      <c r="X62" s="219"/>
      <c r="Y62" s="57"/>
      <c r="Z62" s="57"/>
      <c r="AA62" s="57"/>
      <c r="AB62" s="57"/>
      <c r="AC62" s="57"/>
      <c r="AD62" s="219"/>
      <c r="AE62" s="219"/>
      <c r="AF62" s="219"/>
      <c r="AG62" s="219"/>
      <c r="AH62" s="219"/>
    </row>
    <row r="63" spans="1:34" s="161" customFormat="1" ht="12.75" customHeight="1" x14ac:dyDescent="0.2">
      <c r="A63" s="12" t="str">
        <f>"Verwacht correctiebedrag ETS-prijs (€/"&amp;VLOOKUP(Hulpblad_categorieën_parameters!D81,Hulpblad_categorieën_parameters!A87:Z332,26,FALSE)&amp;")"</f>
        <v>Verwacht correctiebedrag ETS-prijs (€/kWh)</v>
      </c>
      <c r="B63" s="53"/>
      <c r="C63" s="12"/>
      <c r="D63" s="166"/>
      <c r="H63" s="509">
        <f>IF(B7="geen ETS-correctie",0,IF(B7="ETS-correctie",VLOOKUP(Hulpblad_categorieën_parameters!D81,Hulpblad_categorieën_parameters!A87:AH332,30,FALSE),))</f>
        <v>0</v>
      </c>
      <c r="I63" s="510"/>
      <c r="J63" s="511"/>
      <c r="L63" s="192">
        <v>0.02</v>
      </c>
      <c r="M63" s="87"/>
      <c r="N63" s="166"/>
      <c r="O63" s="89">
        <f>H63</f>
        <v>0</v>
      </c>
      <c r="P63" s="89">
        <f>O63*(1+$L$63)</f>
        <v>0</v>
      </c>
      <c r="Q63" s="89">
        <f t="shared" ref="Q63:S63" si="21">P63*(1+$L$63)</f>
        <v>0</v>
      </c>
      <c r="R63" s="89">
        <f t="shared" si="21"/>
        <v>0</v>
      </c>
      <c r="S63" s="89">
        <f t="shared" si="21"/>
        <v>0</v>
      </c>
      <c r="T63" s="89">
        <f>IF($B$12&gt;5,IF($B$11&gt;5,S63*(1+$L$63),0),"")</f>
        <v>0</v>
      </c>
      <c r="U63" s="89">
        <f>IF($B$12&gt;6,IF($B$11&gt;6,T63*(1+$L$63),0),"")</f>
        <v>0</v>
      </c>
      <c r="V63" s="89">
        <f>IF($B$12&gt;7,IF($B$11&gt;7,U63*(1+$L$63),0),"")</f>
        <v>0</v>
      </c>
      <c r="W63" s="89">
        <f>IF($B$12&gt;8,IF($B$11&gt;8,V63*(1+$L$63),0),"")</f>
        <v>0</v>
      </c>
      <c r="X63" s="89">
        <f>IF($B$12&gt;9,IF($B$11&gt;9,W63*(1+$L$63),0),"")</f>
        <v>0</v>
      </c>
      <c r="Y63" s="89">
        <f>IF($B$12&gt;10,IF($B$11&gt;10,X63*(1+$L$63),0),"")</f>
        <v>0</v>
      </c>
      <c r="Z63" s="89">
        <f>IF($B$12&gt;11,IF($B$11&gt;11,Y63*(1+$L$63),0),"")</f>
        <v>0</v>
      </c>
      <c r="AA63" s="89">
        <f>IF($B$12&gt;12,IF($B$11&gt;12,Z63*(1+$L$63),0),"")</f>
        <v>0</v>
      </c>
      <c r="AB63" s="89">
        <f>IF($B$12&gt;13,IF($B$11&gt;13,AA63*(1+$L$63),0),"")</f>
        <v>0</v>
      </c>
      <c r="AC63" s="89">
        <f>IF($B$12&gt;14,IF($B$11&gt;14,AB63*(1+$L$63),0),"")</f>
        <v>0</v>
      </c>
      <c r="AD63" s="89">
        <f>IF($B$12&gt;15,IF($B$11&gt;15,AC63*(1+$L$63),0),"")</f>
        <v>0</v>
      </c>
      <c r="AE63" s="89">
        <f>IF($B$12&gt;16,IF($B$11&gt;16,AD63*(1+$L$63),0),"")</f>
        <v>0</v>
      </c>
      <c r="AF63" s="89">
        <f>IF($B$12&gt;17,IF($B$11&gt;17,AE63*(1+$L$63),0),"")</f>
        <v>0</v>
      </c>
      <c r="AG63" s="89">
        <f>IF($B$12&gt;18,IF($B$11&gt;18,AF63*(1+$L$63),0),"")</f>
        <v>0</v>
      </c>
      <c r="AH63" s="89">
        <f>IF($B$12&gt;19,IF($B$11&gt;19,AG63*(1+$L$63),0),"")</f>
        <v>0</v>
      </c>
    </row>
    <row r="64" spans="1:34" s="161" customFormat="1" ht="12.75" customHeight="1" x14ac:dyDescent="0.2">
      <c r="A64" s="12"/>
      <c r="B64" s="53"/>
      <c r="C64" s="12"/>
      <c r="D64" s="166"/>
      <c r="H64" s="177"/>
      <c r="I64" s="177"/>
      <c r="J64" s="177"/>
      <c r="L64" s="176"/>
      <c r="M64" s="87"/>
      <c r="N64" s="166"/>
      <c r="O64" s="89"/>
      <c r="P64" s="89"/>
      <c r="Q64" s="89"/>
      <c r="R64" s="89"/>
      <c r="S64" s="89"/>
      <c r="T64" s="89"/>
      <c r="U64" s="89"/>
      <c r="V64" s="89"/>
      <c r="W64" s="224"/>
      <c r="X64" s="224"/>
      <c r="Y64" s="224"/>
      <c r="Z64" s="224"/>
      <c r="AA64" s="224"/>
      <c r="AB64" s="224"/>
      <c r="AC64" s="224"/>
      <c r="AD64" s="224"/>
      <c r="AE64" s="224"/>
      <c r="AF64" s="224"/>
      <c r="AG64" s="224"/>
      <c r="AH64" s="224"/>
    </row>
    <row r="65" spans="1:34" s="161" customFormat="1" ht="12.75" customHeight="1" x14ac:dyDescent="0.2">
      <c r="A65" s="12" t="str">
        <f>IF(Hulpblad_categorieën_parameters!D29="Zon-PV","Verwacht subsidiebedrag elektriciteit netlevering (€/kWh)","Verwacht subsidiebedrag per eenheid product (€/"&amp;VLOOKUP(Hulpblad_categorieën_parameters!D81,Hulpblad_categorieën_parameters!A87:Z332,26,FALSE)&amp;")")</f>
        <v>Verwacht subsidiebedrag elektriciteit netlevering (€/kWh)</v>
      </c>
      <c r="B65" s="53"/>
      <c r="C65" s="12"/>
      <c r="D65" s="166"/>
      <c r="H65" s="177"/>
      <c r="I65" s="177"/>
      <c r="J65" s="177"/>
      <c r="L65" s="176"/>
      <c r="M65" s="87"/>
      <c r="N65" s="166"/>
      <c r="O65" s="89">
        <f t="shared" ref="O65:S65" si="22">IF($E$54-O58-O63&gt;0,$E$54-O58-O63,0)</f>
        <v>2.5541764765184813E-2</v>
      </c>
      <c r="P65" s="89">
        <f t="shared" si="22"/>
        <v>2.4366600060488505E-2</v>
      </c>
      <c r="Q65" s="89">
        <f t="shared" si="22"/>
        <v>2.3167932061698274E-2</v>
      </c>
      <c r="R65" s="89">
        <f t="shared" si="22"/>
        <v>2.1945290702932239E-2</v>
      </c>
      <c r="S65" s="89">
        <f t="shared" si="22"/>
        <v>2.0698196516990883E-2</v>
      </c>
      <c r="T65" s="89">
        <f>IF(AND($B$12&gt;5,$B$11&gt;5),IF($E$54-T58-T63&gt;0,$E$54-T58-T63,0),IF($B$12&gt;5,0,""))</f>
        <v>1.9426160447330698E-2</v>
      </c>
      <c r="U65" s="89">
        <f>IF(AND($B$12&gt;6,$B$11&gt;6),IF($E$54-U58-U63&gt;0,$E$54-U58-U63,0),IF($B$12&gt;6,0,""))</f>
        <v>1.8128683656277317E-2</v>
      </c>
      <c r="V65" s="89">
        <f>IF(AND($B$12&gt;7,$B$11&gt;7),IF($E$54-V58-V63&gt;0,$E$54-V58-V63,0),IF($B$12&gt;7,0,""))</f>
        <v>1.6805257329402856E-2</v>
      </c>
      <c r="W65" s="89">
        <f>IF(AND($B$12&gt;8,$B$11&gt;8),IF($E$54-W58-W63&gt;0,$E$54-W58-W63,0),IF($B$12&gt;8,0,""))</f>
        <v>1.5455362475990914E-2</v>
      </c>
      <c r="X65" s="89">
        <f>IF(AND($B$12&gt;9,$B$11&gt;9),IF($E$54-X58-X63&gt;0,$E$54-X58-X63,0),IF($B$12&gt;9,0,""))</f>
        <v>1.4078469725510731E-2</v>
      </c>
      <c r="Y65" s="89">
        <f>IF(AND($B$12&gt;10,$B$11&gt;10),IF($E$54-Y58-Y63&gt;0,$E$54-Y58-Y63,0),IF($B$12&gt;10,0,""))</f>
        <v>1.267403912002095E-2</v>
      </c>
      <c r="Z65" s="89">
        <f>IF(AND($B$12&gt;11,$B$11&gt;11),IF($E$54-Z58-Z63&gt;0,$E$54-Z58-Z63,0),IF($B$12&gt;11,0,""))</f>
        <v>1.1241519902421365E-2</v>
      </c>
      <c r="AA65" s="89">
        <f>IF(AND($B$12&gt;12,$B$11&gt;12),IF($E$54-AA58-AA63&gt;0,$E$54-AA58-AA63,0),IF($B$12&gt;12,0,""))</f>
        <v>9.780350300469795E-3</v>
      </c>
      <c r="AB65" s="89">
        <f>IF(AND($B$12&gt;13,$B$11&gt;13),IF($E$54-AB58-AB63&gt;0,$E$54-AB58-AB63,0),IF($B$12&gt;13,0,""))</f>
        <v>8.2899573064791898E-3</v>
      </c>
      <c r="AC65" s="89">
        <f>IF(AND($B$12&gt;14,$B$11&gt;14),IF($E$54-AC58-AC63&gt;0,$E$54-AC58-AC63,0),IF($B$12&gt;14,0,""))</f>
        <v>6.7697564526087717E-3</v>
      </c>
      <c r="AD65" s="89">
        <f>IF(AND($B$12&gt;15,$B$11&gt;15),IF($E$54-AD58-AD63&gt;0,$E$54-AD58-AD63,0),IF($B$12&gt;15,0,""))</f>
        <v>0</v>
      </c>
      <c r="AE65" s="89">
        <f>IF(AND($B$12&gt;16,$B$11&gt;16),IF($E$54-AE58-AE63&gt;0,$E$54-AE58-AE63,0),IF($B$12&gt;16,0,""))</f>
        <v>0</v>
      </c>
      <c r="AF65" s="89">
        <f>IF(AND($B$12&gt;17,$B$11&gt;17),IF($E$54-AF58-AF63&gt;0,$E$54-AF58-AF63,0),IF($B$12&gt;17,0,""))</f>
        <v>0</v>
      </c>
      <c r="AG65" s="89">
        <f>IF(AND($B$12&gt;18,$B$11&gt;18),IF($E$54-AG58-AG63&gt;0,$E$54-AG58-AG63,0),IF($B$12&gt;18,0,""))</f>
        <v>0</v>
      </c>
      <c r="AH65" s="89">
        <f>IF(AND($B$12&gt;19,$B$11&gt;19),IF($E$54-AH58-AH63&gt;0,$E$54-AH58-AH63,0),IF($B$12&gt;19,0,""))</f>
        <v>0</v>
      </c>
    </row>
    <row r="66" spans="1:34" s="161" customFormat="1" ht="12.75" customHeight="1" x14ac:dyDescent="0.2">
      <c r="A66" s="12" t="str">
        <f>IF(OR(Hulpblad_categorieën_parameters!D29="Zon-PV",Hulpblad_categorieën_parameters!D29="Wind"),"Te verrekenen bedrag op subsidie bij overschrijding opbrengstgrensbedrag elektriciteit (€/kWh)","")</f>
        <v>Te verrekenen bedrag op subsidie bij overschrijding opbrengstgrensbedrag elektriciteit (€/kWh)</v>
      </c>
      <c r="B66" s="53"/>
      <c r="C66" s="12"/>
      <c r="D66" s="166"/>
      <c r="H66" s="177"/>
      <c r="I66" s="177"/>
      <c r="J66" s="177"/>
      <c r="L66" s="176"/>
      <c r="M66" s="87"/>
      <c r="N66" s="166"/>
      <c r="O66" s="89">
        <f>IF(OR(Hulpblad_categorieën_parameters!$D$29="Zon-PV",Hulpblad_categorieën_parameters!$D$29="Wind"),IF(O58&gt;$E$55,$E$55-O58,0),"")</f>
        <v>0</v>
      </c>
      <c r="P66" s="89">
        <f>IF(OR(Hulpblad_categorieën_parameters!$D$29="Zon-PV",Hulpblad_categorieën_parameters!$D$29="Wind"),IF(P58&gt;$E$55,$E$55-P58,0),"")</f>
        <v>0</v>
      </c>
      <c r="Q66" s="89">
        <f>IF(OR(Hulpblad_categorieën_parameters!$D$29="Zon-PV",Hulpblad_categorieën_parameters!$D$29="Wind"),IF(Q58&gt;$E$55,$E$55-Q58,0),"")</f>
        <v>0</v>
      </c>
      <c r="R66" s="89">
        <f>IF(OR(Hulpblad_categorieën_parameters!$D$29="Zon-PV",Hulpblad_categorieën_parameters!$D$29="Wind"),IF(R58&gt;$E$55,$E$55-R58,0),"")</f>
        <v>0</v>
      </c>
      <c r="S66" s="89">
        <f>IF(OR(Hulpblad_categorieën_parameters!$D$29="Zon-PV",Hulpblad_categorieën_parameters!$D$29="Wind"),IF(S58&gt;$E$55,$E$55-S58,0),"")</f>
        <v>0</v>
      </c>
      <c r="T66" s="89">
        <f>IF(OR(Hulpblad_categorieën_parameters!$D$29="Zon-PV",Hulpblad_categorieën_parameters!$D$29="Wind"),IF(T58&gt;$E$55,$E$55-T58,0),"")</f>
        <v>0</v>
      </c>
      <c r="U66" s="89">
        <f>IF(OR(Hulpblad_categorieën_parameters!$D$29="Zon-PV",Hulpblad_categorieën_parameters!$D$29="Wind"),IF(U58&gt;$E$55,$E$55-U58,0),"")</f>
        <v>0</v>
      </c>
      <c r="V66" s="89">
        <f>IF(OR(Hulpblad_categorieën_parameters!$D$29="Zon-PV",Hulpblad_categorieën_parameters!$D$29="Wind"),IF(V58&gt;$E$55,$E$55-V58,0),"")</f>
        <v>0</v>
      </c>
      <c r="W66" s="89">
        <f>IF(OR(Hulpblad_categorieën_parameters!$D$29="Zon-PV",Hulpblad_categorieën_parameters!$D$29="Wind"),IF(W58&gt;$E$55,$E$55-W58,0),"")</f>
        <v>0</v>
      </c>
      <c r="X66" s="89">
        <f>IF(OR(Hulpblad_categorieën_parameters!$D$29="Zon-PV",Hulpblad_categorieën_parameters!$D$29="Wind"),IF(X58&gt;$E$55,$E$55-X58,0),"")</f>
        <v>0</v>
      </c>
      <c r="Y66" s="89">
        <f>IF(OR(Hulpblad_categorieën_parameters!$D$29="Zon-PV",Hulpblad_categorieën_parameters!$D$29="Wind"),IF(Y58&gt;$E$55,$E$55-Y58,0),"")</f>
        <v>0</v>
      </c>
      <c r="Z66" s="89">
        <f>IF(OR(Hulpblad_categorieën_parameters!$D$29="Zon-PV",Hulpblad_categorieën_parameters!$D$29="Wind"),IF(Z58&gt;$E$55,$E$55-Z58,0),"")</f>
        <v>0</v>
      </c>
      <c r="AA66" s="89">
        <f>IF(OR(Hulpblad_categorieën_parameters!$D$29="Zon-PV",Hulpblad_categorieën_parameters!$D$29="Wind"),IF(AA58&gt;$E$55,$E$55-AA58,0),"")</f>
        <v>0</v>
      </c>
      <c r="AB66" s="89">
        <f>IF(OR(Hulpblad_categorieën_parameters!$D$29="Zon-PV",Hulpblad_categorieën_parameters!$D$29="Wind"),IF(AB58&gt;$E$55,$E$55-AB58,0),"")</f>
        <v>0</v>
      </c>
      <c r="AC66" s="89">
        <f>IF(OR(Hulpblad_categorieën_parameters!$D$29="Zon-PV",Hulpblad_categorieën_parameters!$D$29="Wind"),IF(AC58&gt;$E$55,$E$55-AC58,0),"")</f>
        <v>0</v>
      </c>
      <c r="AD66" s="89">
        <f>IF(OR(Hulpblad_categorieën_parameters!$D$29="Zon-PV",Hulpblad_categorieën_parameters!$D$29="Wind"),IF(AD58&gt;$E$55,$E$55-AD58,0),"")</f>
        <v>0</v>
      </c>
      <c r="AE66" s="89">
        <f>IF(OR(Hulpblad_categorieën_parameters!$D$29="Zon-PV",Hulpblad_categorieën_parameters!$D$29="Wind"),IF(AE58&gt;$E$55,$E$55-AE58,0),"")</f>
        <v>0</v>
      </c>
      <c r="AF66" s="89">
        <f>IF(OR(Hulpblad_categorieën_parameters!$D$29="Zon-PV",Hulpblad_categorieën_parameters!$D$29="Wind"),IF(AF58&gt;$E$55,$E$55-AF58,0),"")</f>
        <v>0</v>
      </c>
      <c r="AG66" s="89">
        <f>IF(OR(Hulpblad_categorieën_parameters!$D$29="Zon-PV",Hulpblad_categorieën_parameters!$D$29="Wind"),IF(AG58&gt;$E$55,$E$55-AG58,0),"")</f>
        <v>0</v>
      </c>
      <c r="AH66" s="89">
        <f>IF(OR(Hulpblad_categorieën_parameters!$D$29="Zon-PV",Hulpblad_categorieën_parameters!$D$29="Wind"),IF(AH58&gt;$E$55,$E$55-AH58,0),"")</f>
        <v>0</v>
      </c>
    </row>
    <row r="67" spans="1:34" s="161" customFormat="1" ht="12.75" customHeight="1" x14ac:dyDescent="0.2">
      <c r="A67" s="30" t="s">
        <v>409</v>
      </c>
      <c r="B67" s="53"/>
      <c r="C67" s="12"/>
      <c r="D67" s="166"/>
      <c r="H67" s="177"/>
      <c r="I67" s="177"/>
      <c r="J67" s="177"/>
      <c r="L67" s="176"/>
      <c r="M67" s="87"/>
      <c r="N67" s="166"/>
      <c r="O67" s="57">
        <f>$E$52*O65</f>
        <v>0</v>
      </c>
      <c r="P67" s="57">
        <f>IF(AND(O67&gt;0,P66&lt;0),MAX(-O67,$E$52*P66),$E$52*P65)</f>
        <v>0</v>
      </c>
      <c r="Q67" s="57">
        <f>IF(AND(SUM($O$67:P67)&gt;0,Q66&lt;0),MAX(-SUM($O$67:P67),$E$52*Q66),$E$52*Q65)</f>
        <v>0</v>
      </c>
      <c r="R67" s="57">
        <f>IF(AND(SUM($O$67:Q67)&gt;0,R66&lt;0),MAX(-SUM($O$67:Q67),$E$52*R66),$E$52*R65)</f>
        <v>0</v>
      </c>
      <c r="S67" s="57">
        <f>IF(AND(SUM($O$67:R67)&gt;0,S66&lt;0),MAX(-SUM($O$67:R67),$E$52*S66),$E$52*S65)</f>
        <v>0</v>
      </c>
      <c r="T67" s="57">
        <f>IF(AND($B$12&gt;5,$B$11&gt;5),IF(AND(SUM($O$67:S67)&gt;0,T66&lt;0),MAX(-SUM($O$67:S67),$E$52*T66),$E$52*T65),"")</f>
        <v>0</v>
      </c>
      <c r="U67" s="57">
        <f>IF(AND($B$12&gt;6,$B$11&gt;6),IF(AND(SUM($O$67:T67)&gt;0,U66&lt;0),MAX(-SUM($O$67:T67),$E$52*U66),$E$52*U65),"")</f>
        <v>0</v>
      </c>
      <c r="V67" s="57">
        <f>IF(AND($B$12&gt;7,$B$11&gt;7),IF(AND(SUM($O$67:U67)&gt;0,V66&lt;0),MAX(-SUM($O$67:U67),$E$52*V66),$E$52*V65),"")</f>
        <v>0</v>
      </c>
      <c r="W67" s="57">
        <f>IF(AND($B$12&gt;8,$B$11&gt;8),IF(AND(SUM($O$67:V67)&gt;0,W66&lt;0),MAX(-SUM($O$67:V67),$E$52*W66),$E$52*W65),"")</f>
        <v>0</v>
      </c>
      <c r="X67" s="57">
        <f>IF(AND($B$12&gt;9,$B$11&gt;9),IF(AND(SUM($O$67:W67)&gt;0,X66&lt;0),MAX(-SUM($O$67:W67),$E$52*X66),$E$52*X65),"")</f>
        <v>0</v>
      </c>
      <c r="Y67" s="57">
        <f>IF(AND($B$12&gt;10,$B$11&gt;10),IF(AND(SUM($O$67:X67)&gt;0,Y66&lt;0),MAX(-SUM($O$67:X67),$E$52*Y66),$E$52*Y65),"")</f>
        <v>0</v>
      </c>
      <c r="Z67" s="57">
        <f>IF(AND($B$12&gt;11,$B$11&gt;11),IF(AND(SUM($O$67:Y67)&gt;0,Z66&lt;0),MAX(-SUM($O$67:Y67),$E$52*Z66),$E$52*Z65),"")</f>
        <v>0</v>
      </c>
      <c r="AA67" s="57">
        <f>IF(AND($B$12&gt;12,$B$11&gt;12),IF(AND(SUM($O$67:Z67)&gt;0,AA66&lt;0),MAX(-SUM($O$67:Z67),$E$52*AA66),$E$52*AA65),"")</f>
        <v>0</v>
      </c>
      <c r="AB67" s="57">
        <f>IF(AND($B$12&gt;13,$B$11&gt;13),IF(AND(SUM($O$67:AA67)&gt;0,AB66&lt;0),MAX(-SUM($O$67:AA67),$E$52*AB66),$E$52*AB65),"")</f>
        <v>0</v>
      </c>
      <c r="AC67" s="57">
        <f>IF(AND($B$12&gt;14,$B$11&gt;14),IF(AND(SUM($O$67:AB67)&gt;0,AC66&lt;0),MAX(-SUM($O$67:AB67),$E$52*AC66),$E$52*AC65),"")</f>
        <v>0</v>
      </c>
      <c r="AD67" s="57">
        <f>IF($B$12&gt;15,IF($B$11&gt;15,$E$52*AD65,0),"")</f>
        <v>0</v>
      </c>
      <c r="AE67" s="57">
        <f>IF($B$12&gt;16,IF($B$11&gt;16,$E$52*AE65,0),"")</f>
        <v>0</v>
      </c>
      <c r="AF67" s="57">
        <f>IF($B$12&gt;17,IF($B$11&gt;17,$E$52*AF65,0),"")</f>
        <v>0</v>
      </c>
      <c r="AG67" s="57">
        <f>IF($B$12&gt;18,IF($B$11&gt;18,$E$52*AG65,0),"")</f>
        <v>0</v>
      </c>
      <c r="AH67" s="57">
        <f>IF($B$12&gt;19,IF($B$11&gt;19,$E$52*AH65,0),"")</f>
        <v>0</v>
      </c>
    </row>
    <row r="68" spans="1:34" s="161" customFormat="1" ht="12.75" customHeight="1" x14ac:dyDescent="0.2">
      <c r="A68" s="30"/>
      <c r="B68" s="30"/>
      <c r="C68" s="30"/>
      <c r="L68" s="172"/>
      <c r="M68" s="166"/>
      <c r="N68" s="166"/>
      <c r="O68" s="42"/>
      <c r="P68" s="42"/>
      <c r="Q68" s="42"/>
      <c r="R68" s="42"/>
      <c r="S68" s="42"/>
      <c r="T68" s="42"/>
      <c r="U68" s="42"/>
      <c r="V68" s="42"/>
      <c r="W68" s="155"/>
      <c r="X68" s="155"/>
      <c r="Y68" s="155"/>
      <c r="Z68" s="155"/>
    </row>
    <row r="69" spans="1:34" s="161" customFormat="1" ht="12.75" x14ac:dyDescent="0.2">
      <c r="A69" s="30" t="s">
        <v>74</v>
      </c>
      <c r="B69" s="30"/>
      <c r="C69" s="30"/>
      <c r="O69" s="165"/>
      <c r="P69" s="165"/>
      <c r="Q69" s="165"/>
      <c r="R69" s="165"/>
      <c r="S69" s="165"/>
      <c r="T69" s="165"/>
      <c r="U69" s="165"/>
      <c r="V69" s="165"/>
      <c r="W69" s="86"/>
      <c r="X69" s="86"/>
      <c r="Y69" s="86"/>
      <c r="Z69" s="86"/>
    </row>
    <row r="70" spans="1:34" s="161" customFormat="1" ht="12.75" x14ac:dyDescent="0.2">
      <c r="A70" s="161" t="s">
        <v>75</v>
      </c>
      <c r="B70" s="522"/>
      <c r="C70" s="523"/>
      <c r="D70" s="523"/>
      <c r="E70" s="523"/>
      <c r="F70" s="523"/>
      <c r="G70" s="523"/>
      <c r="H70" s="523"/>
      <c r="I70" s="523"/>
      <c r="J70" s="523"/>
      <c r="K70" s="523"/>
      <c r="L70" s="524"/>
      <c r="N70" s="165"/>
      <c r="O70" s="180">
        <v>0</v>
      </c>
      <c r="P70" s="181">
        <v>0</v>
      </c>
      <c r="Q70" s="181">
        <v>0</v>
      </c>
      <c r="R70" s="181">
        <v>0</v>
      </c>
      <c r="S70" s="181">
        <v>0</v>
      </c>
      <c r="T70" s="375">
        <v>0</v>
      </c>
      <c r="U70" s="375">
        <v>0</v>
      </c>
      <c r="V70" s="375">
        <v>0</v>
      </c>
      <c r="W70" s="227">
        <f>IF($B$12&gt;8,0,"")</f>
        <v>0</v>
      </c>
      <c r="X70" s="227">
        <f>IF($B$12&gt;9,0,"")</f>
        <v>0</v>
      </c>
      <c r="Y70" s="227">
        <f>IF($B$12&gt;10,0,"")</f>
        <v>0</v>
      </c>
      <c r="Z70" s="227">
        <f>IF($B$12&gt;11,0,"")</f>
        <v>0</v>
      </c>
      <c r="AA70" s="227">
        <f t="shared" ref="AA70:AA71" si="23">IF($B$12&gt;12,0,"")</f>
        <v>0</v>
      </c>
      <c r="AB70" s="227">
        <f>IF($B$12&gt;13,0,"")</f>
        <v>0</v>
      </c>
      <c r="AC70" s="227">
        <f>IF($B$12&gt;14,0,"")</f>
        <v>0</v>
      </c>
      <c r="AD70" s="227">
        <f>IF($B$12&gt;15,0,"")</f>
        <v>0</v>
      </c>
      <c r="AE70" s="227">
        <f>IF($B$12&gt;16,0,"")</f>
        <v>0</v>
      </c>
      <c r="AF70" s="227">
        <f>IF($B$12&gt;17,0,"")</f>
        <v>0</v>
      </c>
      <c r="AG70" s="227">
        <f>IF($B$12&gt;18,0,"")</f>
        <v>0</v>
      </c>
      <c r="AH70" s="227">
        <f>IF($B$12&gt;19,0,"")</f>
        <v>0</v>
      </c>
    </row>
    <row r="71" spans="1:34" s="161" customFormat="1" ht="12.75" x14ac:dyDescent="0.2">
      <c r="A71" s="161" t="s">
        <v>76</v>
      </c>
      <c r="B71" s="525"/>
      <c r="C71" s="419"/>
      <c r="D71" s="419"/>
      <c r="E71" s="419"/>
      <c r="F71" s="419"/>
      <c r="G71" s="419"/>
      <c r="H71" s="419"/>
      <c r="I71" s="419"/>
      <c r="J71" s="419"/>
      <c r="K71" s="419"/>
      <c r="L71" s="420"/>
      <c r="N71" s="165"/>
      <c r="O71" s="225">
        <v>0</v>
      </c>
      <c r="P71" s="226">
        <v>0</v>
      </c>
      <c r="Q71" s="226">
        <v>0</v>
      </c>
      <c r="R71" s="226">
        <v>0</v>
      </c>
      <c r="S71" s="226">
        <v>0</v>
      </c>
      <c r="T71" s="375">
        <v>0</v>
      </c>
      <c r="U71" s="375">
        <v>0</v>
      </c>
      <c r="V71" s="375">
        <v>0</v>
      </c>
      <c r="W71" s="227">
        <f>IF($B$12&gt;8,0,"")</f>
        <v>0</v>
      </c>
      <c r="X71" s="227">
        <f>IF($B$12&gt;9,0,"")</f>
        <v>0</v>
      </c>
      <c r="Y71" s="227">
        <f>IF($B$12&gt;10,0,"")</f>
        <v>0</v>
      </c>
      <c r="Z71" s="227">
        <f>IF($B$12&gt;11,0,"")</f>
        <v>0</v>
      </c>
      <c r="AA71" s="227">
        <f t="shared" si="23"/>
        <v>0</v>
      </c>
      <c r="AB71" s="227">
        <f>IF($B$12&gt;13,0,"")</f>
        <v>0</v>
      </c>
      <c r="AC71" s="227">
        <f>IF($B$12&gt;14,0,"")</f>
        <v>0</v>
      </c>
      <c r="AD71" s="227">
        <f>IF($B$12&gt;15,0,"")</f>
        <v>0</v>
      </c>
      <c r="AE71" s="227">
        <f>IF($B$12&gt;16,0,"")</f>
        <v>0</v>
      </c>
      <c r="AF71" s="227">
        <f>IF($B$12&gt;17,0,"")</f>
        <v>0</v>
      </c>
      <c r="AG71" s="227">
        <f>IF($B$12&gt;18,0,"")</f>
        <v>0</v>
      </c>
      <c r="AH71" s="227">
        <f>IF($B$12&gt;19,0,"")</f>
        <v>0</v>
      </c>
    </row>
    <row r="72" spans="1:34" s="161" customFormat="1" ht="12.75" x14ac:dyDescent="0.2">
      <c r="A72" s="30" t="s">
        <v>77</v>
      </c>
      <c r="B72" s="30"/>
      <c r="C72" s="30"/>
      <c r="N72" s="165"/>
      <c r="O72" s="42">
        <f>SUM(O70:O71)</f>
        <v>0</v>
      </c>
      <c r="P72" s="42">
        <f t="shared" ref="P72:S72" si="24">SUM(P70:P71)</f>
        <v>0</v>
      </c>
      <c r="Q72" s="42">
        <f t="shared" si="24"/>
        <v>0</v>
      </c>
      <c r="R72" s="42">
        <f t="shared" si="24"/>
        <v>0</v>
      </c>
      <c r="S72" s="42">
        <f t="shared" si="24"/>
        <v>0</v>
      </c>
      <c r="T72" s="42">
        <f>IF($B$12&gt;5,SUM(T70:T71),"")</f>
        <v>0</v>
      </c>
      <c r="U72" s="42">
        <f>IF($B$12&gt;6,SUM(U70:U71),"")</f>
        <v>0</v>
      </c>
      <c r="V72" s="42">
        <f>IF($B$12&gt;7,SUM(V70:V71),"")</f>
        <v>0</v>
      </c>
      <c r="W72" s="42">
        <f>IF($B$12&gt;8,SUM(W70:W71),"")</f>
        <v>0</v>
      </c>
      <c r="X72" s="42">
        <f>IF($B$12&gt;9,SUM(X70:X71),"")</f>
        <v>0</v>
      </c>
      <c r="Y72" s="42">
        <f>IF($B$12&gt;10,SUM(Y70:Y71),"")</f>
        <v>0</v>
      </c>
      <c r="Z72" s="42">
        <f>IF($B$12&gt;11,SUM(Z70:Z71),"")</f>
        <v>0</v>
      </c>
      <c r="AA72" s="42">
        <f>IF($B$12&gt;12,SUM(AA70:AA71),"")</f>
        <v>0</v>
      </c>
      <c r="AB72" s="42">
        <f>IF($B$12&gt;13,SUM(AB70:AB71),"")</f>
        <v>0</v>
      </c>
      <c r="AC72" s="42">
        <f>IF($B$12&gt;14,SUM(AC70:AC71),"")</f>
        <v>0</v>
      </c>
      <c r="AD72" s="42">
        <f>IF($B$12&gt;15,SUM(AD70:AD71),"")</f>
        <v>0</v>
      </c>
      <c r="AE72" s="42">
        <f>IF($B$12&gt;16,SUM(AE70:AE71),"")</f>
        <v>0</v>
      </c>
      <c r="AF72" s="42">
        <f>IF($B$12&gt;17,SUM(AF70:AF71),"")</f>
        <v>0</v>
      </c>
      <c r="AG72" s="42">
        <f>IF($B$12&gt;18,SUM(AG70:AG71),"")</f>
        <v>0</v>
      </c>
      <c r="AH72" s="42">
        <f>IF($B$12&gt;19,SUM(AH70:AH71),"")</f>
        <v>0</v>
      </c>
    </row>
    <row r="73" spans="1:34" s="161" customFormat="1" ht="12.75" x14ac:dyDescent="0.2">
      <c r="B73" s="30"/>
      <c r="C73" s="30"/>
      <c r="E73" s="164"/>
      <c r="N73" s="165"/>
      <c r="O73" s="164"/>
      <c r="P73" s="164"/>
      <c r="Q73" s="164"/>
      <c r="R73" s="164"/>
      <c r="S73" s="164"/>
      <c r="T73" s="164"/>
      <c r="U73" s="164"/>
      <c r="V73" s="164"/>
      <c r="W73" s="57"/>
      <c r="X73" s="57"/>
      <c r="Y73" s="57"/>
      <c r="Z73" s="57"/>
      <c r="AA73" s="12"/>
      <c r="AB73" s="12"/>
      <c r="AC73" s="12"/>
      <c r="AD73" s="12"/>
      <c r="AE73" s="12"/>
      <c r="AF73" s="12"/>
      <c r="AG73" s="12"/>
      <c r="AH73" s="12"/>
    </row>
    <row r="74" spans="1:34" s="30" customFormat="1" ht="12.75" x14ac:dyDescent="0.2">
      <c r="A74" s="66" t="s">
        <v>78</v>
      </c>
      <c r="N74" s="43"/>
      <c r="O74" s="42">
        <f t="shared" ref="O74:S74" si="25">O67+O45+O72+O49</f>
        <v>0</v>
      </c>
      <c r="P74" s="42">
        <f t="shared" si="25"/>
        <v>0</v>
      </c>
      <c r="Q74" s="42">
        <f t="shared" si="25"/>
        <v>0</v>
      </c>
      <c r="R74" s="42">
        <f t="shared" si="25"/>
        <v>0</v>
      </c>
      <c r="S74" s="42">
        <f t="shared" si="25"/>
        <v>0</v>
      </c>
      <c r="T74" s="42">
        <f>IF($B$12&gt;5,T67+T45+T72+T49,"")</f>
        <v>0</v>
      </c>
      <c r="U74" s="42">
        <f>IF($B$12&gt;6,U67+U45+U72+U49,"")</f>
        <v>0</v>
      </c>
      <c r="V74" s="42">
        <f>IF($B$12&gt;7,V67+V45+V72+V49,"")</f>
        <v>0</v>
      </c>
      <c r="W74" s="42">
        <f>IF($B$12&gt;8,W67+W45+W72+W49,"")</f>
        <v>0</v>
      </c>
      <c r="X74" s="42">
        <f>IF($B$12&gt;9,X67+X45+X72+X49,"")</f>
        <v>0</v>
      </c>
      <c r="Y74" s="42">
        <f>IF($B$12&gt;10,Y67+Y45+Y72+Y49,"")</f>
        <v>0</v>
      </c>
      <c r="Z74" s="42">
        <f>IF($B$12&gt;11,Z67+Z45+Z72+Z49,"")</f>
        <v>0</v>
      </c>
      <c r="AA74" s="42">
        <f>IF($B$12&gt;12,AA67+AA45+AA72+AA49,"")</f>
        <v>0</v>
      </c>
      <c r="AB74" s="42">
        <f>IF($B$12&gt;13,AB67+AB45+AB72+AB49,"")</f>
        <v>0</v>
      </c>
      <c r="AC74" s="42">
        <f>IF($B$12&gt;14,AC67+AC45+AC72+AC49,"")</f>
        <v>0</v>
      </c>
      <c r="AD74" s="42">
        <f>IF($B$12&gt;15,AD67+AD45+AD72+AD49,"")</f>
        <v>0</v>
      </c>
      <c r="AE74" s="42">
        <f>IF($B$12&gt;16,AE67+AE45+AE72+AE49,"")</f>
        <v>0</v>
      </c>
      <c r="AF74" s="42">
        <f>IF($B$12&gt;17,AF67+AF45+AF72+AF49,"")</f>
        <v>0</v>
      </c>
      <c r="AG74" s="42">
        <f>IF($B$12&gt;18,AG67+AG45+AG72+AG49,"")</f>
        <v>0</v>
      </c>
      <c r="AH74" s="42">
        <f>IF($B$12&gt;19,AH67+AH45+AH72+AH49,"")</f>
        <v>0</v>
      </c>
    </row>
    <row r="75" spans="1:34" x14ac:dyDescent="0.25">
      <c r="M75" s="161"/>
      <c r="N75" s="161"/>
      <c r="O75" s="164"/>
      <c r="P75" s="164"/>
      <c r="Q75" s="164"/>
      <c r="R75" s="164"/>
      <c r="S75" s="164"/>
      <c r="T75" s="164"/>
      <c r="U75" s="164"/>
      <c r="V75" s="164"/>
      <c r="W75" s="219"/>
      <c r="X75" s="219"/>
      <c r="Y75" s="219"/>
      <c r="Z75" s="219"/>
      <c r="AA75" s="40"/>
      <c r="AB75" s="40"/>
      <c r="AC75" s="40"/>
    </row>
    <row r="76" spans="1:34" ht="18" x14ac:dyDescent="0.25">
      <c r="A76" s="28" t="s">
        <v>79</v>
      </c>
      <c r="M76" s="161"/>
      <c r="N76" s="161"/>
      <c r="O76" s="165"/>
      <c r="P76" s="165"/>
      <c r="Q76" s="165"/>
      <c r="R76" s="165"/>
      <c r="S76" s="165"/>
      <c r="T76" s="165"/>
      <c r="U76" s="165"/>
      <c r="V76" s="165"/>
      <c r="W76" s="86"/>
      <c r="X76" s="86"/>
      <c r="Y76" s="86"/>
      <c r="Z76" s="86"/>
      <c r="AA76" s="40"/>
      <c r="AB76" s="40"/>
      <c r="AC76" s="40"/>
    </row>
    <row r="77" spans="1:34" ht="12.75" customHeight="1" x14ac:dyDescent="0.25">
      <c r="A77" s="30" t="s">
        <v>80</v>
      </c>
      <c r="M77" s="161"/>
      <c r="N77" s="161"/>
      <c r="O77" s="165"/>
      <c r="P77" s="165"/>
      <c r="Q77" s="165"/>
      <c r="R77" s="165"/>
      <c r="S77" s="165"/>
      <c r="T77" s="165"/>
      <c r="U77" s="165"/>
      <c r="V77" s="165"/>
      <c r="W77" s="86"/>
      <c r="X77" s="86"/>
      <c r="Y77" s="86"/>
      <c r="Z77" s="86"/>
      <c r="AA77" s="40"/>
      <c r="AB77" s="40"/>
      <c r="AC77" s="40"/>
    </row>
    <row r="78" spans="1:34" ht="12.75" customHeight="1" x14ac:dyDescent="0.25">
      <c r="B78" s="522" t="s">
        <v>81</v>
      </c>
      <c r="C78" s="523"/>
      <c r="D78" s="523"/>
      <c r="E78" s="523"/>
      <c r="F78" s="523"/>
      <c r="G78" s="523"/>
      <c r="H78" s="523"/>
      <c r="I78" s="523"/>
      <c r="J78" s="523"/>
      <c r="K78" s="523"/>
      <c r="L78" s="524"/>
      <c r="M78" s="161"/>
      <c r="N78" s="180">
        <v>0</v>
      </c>
      <c r="O78" s="181">
        <v>0</v>
      </c>
      <c r="P78" s="181">
        <v>0</v>
      </c>
      <c r="Q78" s="181">
        <v>0</v>
      </c>
      <c r="R78" s="181">
        <v>0</v>
      </c>
      <c r="S78" s="181">
        <v>0</v>
      </c>
      <c r="T78" s="375">
        <v>0</v>
      </c>
      <c r="U78" s="375">
        <v>0</v>
      </c>
      <c r="V78" s="375">
        <v>0</v>
      </c>
      <c r="W78" s="227">
        <f t="shared" ref="W78:W89" si="26">IF($B$12&gt;8,0,"")</f>
        <v>0</v>
      </c>
      <c r="X78" s="227">
        <f t="shared" ref="X78:X89" si="27">IF($B$12&gt;9,0,"")</f>
        <v>0</v>
      </c>
      <c r="Y78" s="227">
        <f t="shared" ref="Y78:Y89" si="28">IF($B$12&gt;10,0,"")</f>
        <v>0</v>
      </c>
      <c r="Z78" s="227">
        <f t="shared" ref="Z78:Z89" si="29">IF($B$12&gt;11,0,"")</f>
        <v>0</v>
      </c>
      <c r="AA78" s="227">
        <f t="shared" ref="AA78:AA89" si="30">IF($B$12&gt;12,0,"")</f>
        <v>0</v>
      </c>
      <c r="AB78" s="227">
        <f t="shared" ref="AB78:AB89" si="31">IF($B$12&gt;13,0,"")</f>
        <v>0</v>
      </c>
      <c r="AC78" s="227">
        <f t="shared" ref="AC78:AC89" si="32">IF($B$12&gt;14,0,"")</f>
        <v>0</v>
      </c>
      <c r="AD78" s="227">
        <f t="shared" ref="AD78:AD89" si="33">IF($B$12&gt;15,0,"")</f>
        <v>0</v>
      </c>
      <c r="AE78" s="227">
        <f t="shared" ref="AE78:AE89" si="34">IF($B$12&gt;16,0,"")</f>
        <v>0</v>
      </c>
      <c r="AF78" s="227">
        <f t="shared" ref="AF78:AF89" si="35">IF($B$12&gt;17,0,"")</f>
        <v>0</v>
      </c>
      <c r="AG78" s="227">
        <f t="shared" ref="AG78:AG89" si="36">IF($B$12&gt;18,0,"")</f>
        <v>0</v>
      </c>
      <c r="AH78" s="227">
        <f t="shared" ref="AH78:AH89" si="37">IF($B$12&gt;19,0,"")</f>
        <v>0</v>
      </c>
    </row>
    <row r="79" spans="1:34" ht="12.75" customHeight="1" x14ac:dyDescent="0.25">
      <c r="B79" s="519" t="s">
        <v>82</v>
      </c>
      <c r="C79" s="520"/>
      <c r="D79" s="520"/>
      <c r="E79" s="520"/>
      <c r="F79" s="520"/>
      <c r="G79" s="520"/>
      <c r="H79" s="520"/>
      <c r="I79" s="520"/>
      <c r="J79" s="520"/>
      <c r="K79" s="520"/>
      <c r="L79" s="521"/>
      <c r="M79" s="161"/>
      <c r="N79" s="182">
        <v>0</v>
      </c>
      <c r="O79" s="183">
        <v>0</v>
      </c>
      <c r="P79" s="183">
        <v>0</v>
      </c>
      <c r="Q79" s="183">
        <v>0</v>
      </c>
      <c r="R79" s="183">
        <v>0</v>
      </c>
      <c r="S79" s="183">
        <v>0</v>
      </c>
      <c r="T79" s="375">
        <v>0</v>
      </c>
      <c r="U79" s="375">
        <v>0</v>
      </c>
      <c r="V79" s="375">
        <v>0</v>
      </c>
      <c r="W79" s="227">
        <f t="shared" si="26"/>
        <v>0</v>
      </c>
      <c r="X79" s="227">
        <f t="shared" si="27"/>
        <v>0</v>
      </c>
      <c r="Y79" s="227">
        <f t="shared" si="28"/>
        <v>0</v>
      </c>
      <c r="Z79" s="227">
        <f t="shared" si="29"/>
        <v>0</v>
      </c>
      <c r="AA79" s="227">
        <f t="shared" si="30"/>
        <v>0</v>
      </c>
      <c r="AB79" s="227">
        <f t="shared" si="31"/>
        <v>0</v>
      </c>
      <c r="AC79" s="227">
        <f t="shared" si="32"/>
        <v>0</v>
      </c>
      <c r="AD79" s="227">
        <f t="shared" si="33"/>
        <v>0</v>
      </c>
      <c r="AE79" s="227">
        <f t="shared" si="34"/>
        <v>0</v>
      </c>
      <c r="AF79" s="227">
        <f t="shared" si="35"/>
        <v>0</v>
      </c>
      <c r="AG79" s="227">
        <f t="shared" si="36"/>
        <v>0</v>
      </c>
      <c r="AH79" s="227">
        <f t="shared" si="37"/>
        <v>0</v>
      </c>
    </row>
    <row r="80" spans="1:34" ht="12.75" customHeight="1" x14ac:dyDescent="0.25">
      <c r="B80" s="526" t="s">
        <v>83</v>
      </c>
      <c r="C80" s="527"/>
      <c r="D80" s="527"/>
      <c r="E80" s="527"/>
      <c r="F80" s="527"/>
      <c r="G80" s="527"/>
      <c r="H80" s="527"/>
      <c r="I80" s="527"/>
      <c r="J80" s="527"/>
      <c r="K80" s="527"/>
      <c r="L80" s="528"/>
      <c r="M80" s="161"/>
      <c r="N80" s="182">
        <v>0</v>
      </c>
      <c r="O80" s="183">
        <v>0</v>
      </c>
      <c r="P80" s="183">
        <v>0</v>
      </c>
      <c r="Q80" s="183">
        <v>0</v>
      </c>
      <c r="R80" s="183">
        <v>0</v>
      </c>
      <c r="S80" s="183">
        <v>0</v>
      </c>
      <c r="T80" s="375">
        <v>0</v>
      </c>
      <c r="U80" s="375">
        <v>0</v>
      </c>
      <c r="V80" s="375">
        <v>0</v>
      </c>
      <c r="W80" s="227">
        <f t="shared" si="26"/>
        <v>0</v>
      </c>
      <c r="X80" s="227">
        <f t="shared" si="27"/>
        <v>0</v>
      </c>
      <c r="Y80" s="227">
        <f t="shared" si="28"/>
        <v>0</v>
      </c>
      <c r="Z80" s="227">
        <f t="shared" si="29"/>
        <v>0</v>
      </c>
      <c r="AA80" s="227">
        <f t="shared" si="30"/>
        <v>0</v>
      </c>
      <c r="AB80" s="227">
        <f t="shared" si="31"/>
        <v>0</v>
      </c>
      <c r="AC80" s="227">
        <f t="shared" si="32"/>
        <v>0</v>
      </c>
      <c r="AD80" s="227">
        <f t="shared" si="33"/>
        <v>0</v>
      </c>
      <c r="AE80" s="227">
        <f t="shared" si="34"/>
        <v>0</v>
      </c>
      <c r="AF80" s="227">
        <f t="shared" si="35"/>
        <v>0</v>
      </c>
      <c r="AG80" s="227">
        <f t="shared" si="36"/>
        <v>0</v>
      </c>
      <c r="AH80" s="227">
        <f t="shared" si="37"/>
        <v>0</v>
      </c>
    </row>
    <row r="81" spans="1:34" ht="12.75" customHeight="1" x14ac:dyDescent="0.25">
      <c r="B81" s="526" t="s">
        <v>84</v>
      </c>
      <c r="C81" s="529"/>
      <c r="D81" s="529"/>
      <c r="E81" s="529"/>
      <c r="F81" s="529"/>
      <c r="G81" s="529"/>
      <c r="H81" s="529"/>
      <c r="I81" s="529"/>
      <c r="J81" s="529"/>
      <c r="K81" s="529"/>
      <c r="L81" s="530"/>
      <c r="M81" s="161"/>
      <c r="N81" s="182">
        <v>0</v>
      </c>
      <c r="O81" s="183">
        <v>0</v>
      </c>
      <c r="P81" s="183">
        <v>0</v>
      </c>
      <c r="Q81" s="183">
        <v>0</v>
      </c>
      <c r="R81" s="183">
        <v>0</v>
      </c>
      <c r="S81" s="183">
        <v>0</v>
      </c>
      <c r="T81" s="375">
        <v>0</v>
      </c>
      <c r="U81" s="375">
        <v>0</v>
      </c>
      <c r="V81" s="375">
        <v>0</v>
      </c>
      <c r="W81" s="227">
        <f t="shared" si="26"/>
        <v>0</v>
      </c>
      <c r="X81" s="227">
        <f t="shared" si="27"/>
        <v>0</v>
      </c>
      <c r="Y81" s="227">
        <f t="shared" si="28"/>
        <v>0</v>
      </c>
      <c r="Z81" s="227">
        <f t="shared" si="29"/>
        <v>0</v>
      </c>
      <c r="AA81" s="227">
        <f t="shared" si="30"/>
        <v>0</v>
      </c>
      <c r="AB81" s="227">
        <f t="shared" si="31"/>
        <v>0</v>
      </c>
      <c r="AC81" s="227">
        <f t="shared" si="32"/>
        <v>0</v>
      </c>
      <c r="AD81" s="227">
        <f t="shared" si="33"/>
        <v>0</v>
      </c>
      <c r="AE81" s="227">
        <f t="shared" si="34"/>
        <v>0</v>
      </c>
      <c r="AF81" s="227">
        <f t="shared" si="35"/>
        <v>0</v>
      </c>
      <c r="AG81" s="227">
        <f t="shared" si="36"/>
        <v>0</v>
      </c>
      <c r="AH81" s="227">
        <f t="shared" si="37"/>
        <v>0</v>
      </c>
    </row>
    <row r="82" spans="1:34" ht="12.75" customHeight="1" x14ac:dyDescent="0.25">
      <c r="A82" s="6"/>
      <c r="B82" s="526" t="s">
        <v>85</v>
      </c>
      <c r="C82" s="527"/>
      <c r="D82" s="527"/>
      <c r="E82" s="527"/>
      <c r="F82" s="527"/>
      <c r="G82" s="527"/>
      <c r="H82" s="527"/>
      <c r="I82" s="527"/>
      <c r="J82" s="527"/>
      <c r="K82" s="527"/>
      <c r="L82" s="528"/>
      <c r="M82" s="161"/>
      <c r="N82" s="182">
        <v>0</v>
      </c>
      <c r="O82" s="183">
        <f>0.0292</f>
        <v>2.92E-2</v>
      </c>
      <c r="P82" s="183">
        <f t="shared" ref="P82:S82" si="38">O82*1.02</f>
        <v>2.9784000000000001E-2</v>
      </c>
      <c r="Q82" s="183">
        <f t="shared" si="38"/>
        <v>3.0379680000000003E-2</v>
      </c>
      <c r="R82" s="183">
        <f t="shared" si="38"/>
        <v>3.0987273600000004E-2</v>
      </c>
      <c r="S82" s="183">
        <f t="shared" si="38"/>
        <v>3.1607019072000003E-2</v>
      </c>
      <c r="T82" s="375">
        <v>0</v>
      </c>
      <c r="U82" s="375">
        <v>0</v>
      </c>
      <c r="V82" s="375">
        <v>0</v>
      </c>
      <c r="W82" s="227">
        <f t="shared" si="26"/>
        <v>0</v>
      </c>
      <c r="X82" s="227">
        <f t="shared" si="27"/>
        <v>0</v>
      </c>
      <c r="Y82" s="227">
        <f t="shared" si="28"/>
        <v>0</v>
      </c>
      <c r="Z82" s="227">
        <f t="shared" si="29"/>
        <v>0</v>
      </c>
      <c r="AA82" s="227">
        <f t="shared" si="30"/>
        <v>0</v>
      </c>
      <c r="AB82" s="227">
        <f t="shared" si="31"/>
        <v>0</v>
      </c>
      <c r="AC82" s="227">
        <f t="shared" si="32"/>
        <v>0</v>
      </c>
      <c r="AD82" s="227">
        <f t="shared" si="33"/>
        <v>0</v>
      </c>
      <c r="AE82" s="227">
        <f t="shared" si="34"/>
        <v>0</v>
      </c>
      <c r="AF82" s="227">
        <f t="shared" si="35"/>
        <v>0</v>
      </c>
      <c r="AG82" s="227">
        <f t="shared" si="36"/>
        <v>0</v>
      </c>
      <c r="AH82" s="227">
        <f t="shared" si="37"/>
        <v>0</v>
      </c>
    </row>
    <row r="83" spans="1:34" ht="12.75" customHeight="1" x14ac:dyDescent="0.25">
      <c r="B83" s="526" t="s">
        <v>86</v>
      </c>
      <c r="C83" s="527"/>
      <c r="D83" s="527"/>
      <c r="E83" s="527"/>
      <c r="F83" s="527"/>
      <c r="G83" s="527"/>
      <c r="H83" s="527"/>
      <c r="I83" s="527"/>
      <c r="J83" s="527"/>
      <c r="K83" s="527"/>
      <c r="L83" s="528"/>
      <c r="M83" s="161"/>
      <c r="N83" s="182">
        <v>0</v>
      </c>
      <c r="O83" s="183">
        <v>0</v>
      </c>
      <c r="P83" s="183">
        <v>0</v>
      </c>
      <c r="Q83" s="183">
        <v>0</v>
      </c>
      <c r="R83" s="183">
        <v>0</v>
      </c>
      <c r="S83" s="183">
        <v>0</v>
      </c>
      <c r="T83" s="375">
        <v>0</v>
      </c>
      <c r="U83" s="375">
        <v>0</v>
      </c>
      <c r="V83" s="375">
        <v>0</v>
      </c>
      <c r="W83" s="227">
        <f t="shared" si="26"/>
        <v>0</v>
      </c>
      <c r="X83" s="227">
        <f t="shared" si="27"/>
        <v>0</v>
      </c>
      <c r="Y83" s="227">
        <f t="shared" si="28"/>
        <v>0</v>
      </c>
      <c r="Z83" s="227">
        <f t="shared" si="29"/>
        <v>0</v>
      </c>
      <c r="AA83" s="227">
        <f t="shared" si="30"/>
        <v>0</v>
      </c>
      <c r="AB83" s="227">
        <f t="shared" si="31"/>
        <v>0</v>
      </c>
      <c r="AC83" s="227">
        <f t="shared" si="32"/>
        <v>0</v>
      </c>
      <c r="AD83" s="227">
        <f t="shared" si="33"/>
        <v>0</v>
      </c>
      <c r="AE83" s="227">
        <f t="shared" si="34"/>
        <v>0</v>
      </c>
      <c r="AF83" s="227">
        <f t="shared" si="35"/>
        <v>0</v>
      </c>
      <c r="AG83" s="227">
        <f t="shared" si="36"/>
        <v>0</v>
      </c>
      <c r="AH83" s="227">
        <f t="shared" si="37"/>
        <v>0</v>
      </c>
    </row>
    <row r="84" spans="1:34" ht="12.75" customHeight="1" x14ac:dyDescent="0.25">
      <c r="B84" s="519" t="s">
        <v>87</v>
      </c>
      <c r="C84" s="520"/>
      <c r="D84" s="520"/>
      <c r="E84" s="520"/>
      <c r="F84" s="520"/>
      <c r="G84" s="520"/>
      <c r="H84" s="520"/>
      <c r="I84" s="520"/>
      <c r="J84" s="520"/>
      <c r="K84" s="520"/>
      <c r="L84" s="521"/>
      <c r="M84" s="161"/>
      <c r="N84" s="182">
        <v>0</v>
      </c>
      <c r="O84" s="183">
        <v>0</v>
      </c>
      <c r="P84" s="183">
        <v>0</v>
      </c>
      <c r="Q84" s="183">
        <v>0</v>
      </c>
      <c r="R84" s="183">
        <v>0</v>
      </c>
      <c r="S84" s="183">
        <v>0</v>
      </c>
      <c r="T84" s="375">
        <v>0</v>
      </c>
      <c r="U84" s="375">
        <v>0</v>
      </c>
      <c r="V84" s="375">
        <v>0</v>
      </c>
      <c r="W84" s="227">
        <f t="shared" si="26"/>
        <v>0</v>
      </c>
      <c r="X84" s="227">
        <f t="shared" si="27"/>
        <v>0</v>
      </c>
      <c r="Y84" s="227">
        <f t="shared" si="28"/>
        <v>0</v>
      </c>
      <c r="Z84" s="227">
        <f t="shared" si="29"/>
        <v>0</v>
      </c>
      <c r="AA84" s="227">
        <f t="shared" si="30"/>
        <v>0</v>
      </c>
      <c r="AB84" s="227">
        <f t="shared" si="31"/>
        <v>0</v>
      </c>
      <c r="AC84" s="227">
        <f t="shared" si="32"/>
        <v>0</v>
      </c>
      <c r="AD84" s="227">
        <f t="shared" si="33"/>
        <v>0</v>
      </c>
      <c r="AE84" s="227">
        <f t="shared" si="34"/>
        <v>0</v>
      </c>
      <c r="AF84" s="227">
        <f t="shared" si="35"/>
        <v>0</v>
      </c>
      <c r="AG84" s="227">
        <f t="shared" si="36"/>
        <v>0</v>
      </c>
      <c r="AH84" s="227">
        <f t="shared" si="37"/>
        <v>0</v>
      </c>
    </row>
    <row r="85" spans="1:34" ht="12.75" customHeight="1" x14ac:dyDescent="0.25">
      <c r="B85" s="519" t="s">
        <v>88</v>
      </c>
      <c r="C85" s="529"/>
      <c r="D85" s="529"/>
      <c r="E85" s="529"/>
      <c r="F85" s="529"/>
      <c r="G85" s="529"/>
      <c r="H85" s="529"/>
      <c r="I85" s="529"/>
      <c r="J85" s="529"/>
      <c r="K85" s="529"/>
      <c r="L85" s="530"/>
      <c r="M85" s="161"/>
      <c r="N85" s="182">
        <v>0</v>
      </c>
      <c r="O85" s="183">
        <v>0</v>
      </c>
      <c r="P85" s="183">
        <v>0</v>
      </c>
      <c r="Q85" s="183">
        <v>0</v>
      </c>
      <c r="R85" s="183">
        <v>0</v>
      </c>
      <c r="S85" s="183">
        <v>0</v>
      </c>
      <c r="T85" s="375">
        <v>0</v>
      </c>
      <c r="U85" s="375">
        <v>0</v>
      </c>
      <c r="V85" s="375">
        <v>0</v>
      </c>
      <c r="W85" s="227">
        <f t="shared" si="26"/>
        <v>0</v>
      </c>
      <c r="X85" s="227">
        <f t="shared" si="27"/>
        <v>0</v>
      </c>
      <c r="Y85" s="227">
        <f t="shared" si="28"/>
        <v>0</v>
      </c>
      <c r="Z85" s="227">
        <f t="shared" si="29"/>
        <v>0</v>
      </c>
      <c r="AA85" s="227">
        <f t="shared" si="30"/>
        <v>0</v>
      </c>
      <c r="AB85" s="227">
        <f t="shared" si="31"/>
        <v>0</v>
      </c>
      <c r="AC85" s="227">
        <f t="shared" si="32"/>
        <v>0</v>
      </c>
      <c r="AD85" s="227">
        <f t="shared" si="33"/>
        <v>0</v>
      </c>
      <c r="AE85" s="227">
        <f t="shared" si="34"/>
        <v>0</v>
      </c>
      <c r="AF85" s="227">
        <f t="shared" si="35"/>
        <v>0</v>
      </c>
      <c r="AG85" s="227">
        <f t="shared" si="36"/>
        <v>0</v>
      </c>
      <c r="AH85" s="227">
        <f t="shared" si="37"/>
        <v>0</v>
      </c>
    </row>
    <row r="86" spans="1:34" ht="12.75" customHeight="1" x14ac:dyDescent="0.25">
      <c r="B86" s="519" t="s">
        <v>89</v>
      </c>
      <c r="C86" s="520"/>
      <c r="D86" s="520"/>
      <c r="E86" s="520"/>
      <c r="F86" s="520"/>
      <c r="G86" s="520"/>
      <c r="H86" s="520"/>
      <c r="I86" s="520"/>
      <c r="J86" s="520"/>
      <c r="K86" s="520"/>
      <c r="L86" s="521"/>
      <c r="M86" s="161"/>
      <c r="N86" s="182">
        <v>0</v>
      </c>
      <c r="O86" s="183">
        <v>0</v>
      </c>
      <c r="P86" s="183">
        <v>0</v>
      </c>
      <c r="Q86" s="183">
        <v>0</v>
      </c>
      <c r="R86" s="183">
        <v>0</v>
      </c>
      <c r="S86" s="183">
        <v>0</v>
      </c>
      <c r="T86" s="375">
        <v>0</v>
      </c>
      <c r="U86" s="375">
        <v>0</v>
      </c>
      <c r="V86" s="375">
        <v>0</v>
      </c>
      <c r="W86" s="227">
        <f t="shared" si="26"/>
        <v>0</v>
      </c>
      <c r="X86" s="227">
        <f t="shared" si="27"/>
        <v>0</v>
      </c>
      <c r="Y86" s="227">
        <f t="shared" si="28"/>
        <v>0</v>
      </c>
      <c r="Z86" s="227">
        <f t="shared" si="29"/>
        <v>0</v>
      </c>
      <c r="AA86" s="227">
        <f t="shared" si="30"/>
        <v>0</v>
      </c>
      <c r="AB86" s="227">
        <f t="shared" si="31"/>
        <v>0</v>
      </c>
      <c r="AC86" s="227">
        <f t="shared" si="32"/>
        <v>0</v>
      </c>
      <c r="AD86" s="227">
        <f t="shared" si="33"/>
        <v>0</v>
      </c>
      <c r="AE86" s="227">
        <f t="shared" si="34"/>
        <v>0</v>
      </c>
      <c r="AF86" s="227">
        <f t="shared" si="35"/>
        <v>0</v>
      </c>
      <c r="AG86" s="227">
        <f t="shared" si="36"/>
        <v>0</v>
      </c>
      <c r="AH86" s="227">
        <f t="shared" si="37"/>
        <v>0</v>
      </c>
    </row>
    <row r="87" spans="1:34" ht="12.75" customHeight="1" x14ac:dyDescent="0.25">
      <c r="B87" s="519" t="s">
        <v>90</v>
      </c>
      <c r="C87" s="520"/>
      <c r="D87" s="520"/>
      <c r="E87" s="520"/>
      <c r="F87" s="520"/>
      <c r="G87" s="520"/>
      <c r="H87" s="520"/>
      <c r="I87" s="520"/>
      <c r="J87" s="520"/>
      <c r="K87" s="520"/>
      <c r="L87" s="521"/>
      <c r="M87" s="161"/>
      <c r="N87" s="182">
        <v>0</v>
      </c>
      <c r="O87" s="183">
        <v>0</v>
      </c>
      <c r="P87" s="183">
        <v>0</v>
      </c>
      <c r="Q87" s="183">
        <v>0</v>
      </c>
      <c r="R87" s="183">
        <v>0</v>
      </c>
      <c r="S87" s="183">
        <v>0</v>
      </c>
      <c r="T87" s="375">
        <v>0</v>
      </c>
      <c r="U87" s="375">
        <v>0</v>
      </c>
      <c r="V87" s="375">
        <v>0</v>
      </c>
      <c r="W87" s="227">
        <f t="shared" si="26"/>
        <v>0</v>
      </c>
      <c r="X87" s="227">
        <f t="shared" si="27"/>
        <v>0</v>
      </c>
      <c r="Y87" s="227">
        <f t="shared" si="28"/>
        <v>0</v>
      </c>
      <c r="Z87" s="227">
        <f t="shared" si="29"/>
        <v>0</v>
      </c>
      <c r="AA87" s="227">
        <f t="shared" si="30"/>
        <v>0</v>
      </c>
      <c r="AB87" s="227">
        <f t="shared" si="31"/>
        <v>0</v>
      </c>
      <c r="AC87" s="227">
        <f t="shared" si="32"/>
        <v>0</v>
      </c>
      <c r="AD87" s="227">
        <f t="shared" si="33"/>
        <v>0</v>
      </c>
      <c r="AE87" s="227">
        <f t="shared" si="34"/>
        <v>0</v>
      </c>
      <c r="AF87" s="227">
        <f t="shared" si="35"/>
        <v>0</v>
      </c>
      <c r="AG87" s="227">
        <f t="shared" si="36"/>
        <v>0</v>
      </c>
      <c r="AH87" s="227">
        <f t="shared" si="37"/>
        <v>0</v>
      </c>
    </row>
    <row r="88" spans="1:34" ht="12.75" customHeight="1" x14ac:dyDescent="0.25">
      <c r="B88" s="526" t="s">
        <v>91</v>
      </c>
      <c r="C88" s="527"/>
      <c r="D88" s="527"/>
      <c r="E88" s="527"/>
      <c r="F88" s="527"/>
      <c r="G88" s="527"/>
      <c r="H88" s="527"/>
      <c r="I88" s="527"/>
      <c r="J88" s="527"/>
      <c r="K88" s="527"/>
      <c r="L88" s="528"/>
      <c r="M88" s="161"/>
      <c r="N88" s="182">
        <v>0</v>
      </c>
      <c r="O88" s="183">
        <v>0</v>
      </c>
      <c r="P88" s="183">
        <v>0</v>
      </c>
      <c r="Q88" s="183">
        <v>0</v>
      </c>
      <c r="R88" s="183">
        <v>0</v>
      </c>
      <c r="S88" s="183">
        <v>0</v>
      </c>
      <c r="T88" s="375">
        <v>0</v>
      </c>
      <c r="U88" s="375">
        <v>0</v>
      </c>
      <c r="V88" s="375">
        <v>0</v>
      </c>
      <c r="W88" s="227">
        <f t="shared" si="26"/>
        <v>0</v>
      </c>
      <c r="X88" s="227">
        <f t="shared" si="27"/>
        <v>0</v>
      </c>
      <c r="Y88" s="227">
        <f t="shared" si="28"/>
        <v>0</v>
      </c>
      <c r="Z88" s="227">
        <f t="shared" si="29"/>
        <v>0</v>
      </c>
      <c r="AA88" s="227">
        <f t="shared" si="30"/>
        <v>0</v>
      </c>
      <c r="AB88" s="227">
        <f t="shared" si="31"/>
        <v>0</v>
      </c>
      <c r="AC88" s="227">
        <f t="shared" si="32"/>
        <v>0</v>
      </c>
      <c r="AD88" s="227">
        <f t="shared" si="33"/>
        <v>0</v>
      </c>
      <c r="AE88" s="227">
        <f t="shared" si="34"/>
        <v>0</v>
      </c>
      <c r="AF88" s="227">
        <f t="shared" si="35"/>
        <v>0</v>
      </c>
      <c r="AG88" s="227">
        <f t="shared" si="36"/>
        <v>0</v>
      </c>
      <c r="AH88" s="227">
        <f t="shared" si="37"/>
        <v>0</v>
      </c>
    </row>
    <row r="89" spans="1:34" ht="12.75" customHeight="1" x14ac:dyDescent="0.25">
      <c r="B89" s="519" t="s">
        <v>92</v>
      </c>
      <c r="C89" s="520"/>
      <c r="D89" s="520"/>
      <c r="E89" s="520"/>
      <c r="F89" s="520"/>
      <c r="G89" s="520"/>
      <c r="H89" s="520"/>
      <c r="I89" s="520"/>
      <c r="J89" s="520"/>
      <c r="K89" s="520"/>
      <c r="L89" s="521"/>
      <c r="M89" s="161"/>
      <c r="N89" s="182">
        <v>0</v>
      </c>
      <c r="O89" s="183">
        <v>0</v>
      </c>
      <c r="P89" s="183">
        <v>0</v>
      </c>
      <c r="Q89" s="183">
        <v>0</v>
      </c>
      <c r="R89" s="183">
        <v>0</v>
      </c>
      <c r="S89" s="183">
        <v>0</v>
      </c>
      <c r="T89" s="375">
        <v>0</v>
      </c>
      <c r="U89" s="375">
        <v>0</v>
      </c>
      <c r="V89" s="375">
        <v>0</v>
      </c>
      <c r="W89" s="227">
        <f t="shared" si="26"/>
        <v>0</v>
      </c>
      <c r="X89" s="227">
        <f t="shared" si="27"/>
        <v>0</v>
      </c>
      <c r="Y89" s="227">
        <f t="shared" si="28"/>
        <v>0</v>
      </c>
      <c r="Z89" s="227">
        <f t="shared" si="29"/>
        <v>0</v>
      </c>
      <c r="AA89" s="227">
        <f t="shared" si="30"/>
        <v>0</v>
      </c>
      <c r="AB89" s="227">
        <f t="shared" si="31"/>
        <v>0</v>
      </c>
      <c r="AC89" s="227">
        <f t="shared" si="32"/>
        <v>0</v>
      </c>
      <c r="AD89" s="227">
        <f t="shared" si="33"/>
        <v>0</v>
      </c>
      <c r="AE89" s="227">
        <f t="shared" si="34"/>
        <v>0</v>
      </c>
      <c r="AF89" s="227">
        <f t="shared" si="35"/>
        <v>0</v>
      </c>
      <c r="AG89" s="227">
        <f t="shared" si="36"/>
        <v>0</v>
      </c>
      <c r="AH89" s="227">
        <f t="shared" si="37"/>
        <v>0</v>
      </c>
    </row>
    <row r="90" spans="1:34" ht="12.75" customHeight="1" x14ac:dyDescent="0.25">
      <c r="B90" s="531" t="s">
        <v>93</v>
      </c>
      <c r="C90" s="532"/>
      <c r="D90" s="532"/>
      <c r="E90" s="532"/>
      <c r="F90" s="532"/>
      <c r="G90" s="532"/>
      <c r="H90" s="532"/>
      <c r="I90" s="532"/>
      <c r="J90" s="532"/>
      <c r="K90" s="532"/>
      <c r="L90" s="533"/>
      <c r="M90" s="6"/>
      <c r="N90" s="90">
        <v>0</v>
      </c>
      <c r="O90" s="91">
        <v>0</v>
      </c>
      <c r="P90" s="91">
        <v>0</v>
      </c>
      <c r="Q90" s="91">
        <v>0</v>
      </c>
      <c r="R90" s="91">
        <v>0</v>
      </c>
      <c r="S90" s="91">
        <v>0</v>
      </c>
      <c r="T90" s="375">
        <v>0</v>
      </c>
      <c r="U90" s="375">
        <v>0</v>
      </c>
      <c r="V90" s="375">
        <v>0</v>
      </c>
      <c r="W90" s="375">
        <v>0</v>
      </c>
      <c r="X90" s="375">
        <v>0</v>
      </c>
      <c r="Y90" s="375">
        <v>0</v>
      </c>
      <c r="Z90" s="375">
        <v>0</v>
      </c>
      <c r="AA90" s="375">
        <v>0</v>
      </c>
      <c r="AB90" s="375">
        <v>0</v>
      </c>
      <c r="AC90" s="375">
        <v>0</v>
      </c>
      <c r="AD90" s="375">
        <v>0</v>
      </c>
      <c r="AE90" s="375">
        <v>0</v>
      </c>
      <c r="AF90" s="375">
        <v>0</v>
      </c>
      <c r="AG90" s="375">
        <v>0</v>
      </c>
      <c r="AH90" s="375">
        <v>0</v>
      </c>
    </row>
    <row r="91" spans="1:34" s="30" customFormat="1" ht="12.75" customHeight="1" x14ac:dyDescent="0.2">
      <c r="B91" s="30" t="s">
        <v>80</v>
      </c>
      <c r="C91" s="43"/>
      <c r="D91" s="43"/>
      <c r="E91" s="43"/>
      <c r="F91" s="43"/>
      <c r="G91" s="43"/>
      <c r="H91" s="43"/>
      <c r="I91" s="43"/>
      <c r="J91" s="43"/>
      <c r="K91" s="43"/>
      <c r="L91" s="43"/>
      <c r="N91" s="42">
        <f t="shared" ref="N91:S91" si="39">SUM(N78:N90)</f>
        <v>0</v>
      </c>
      <c r="O91" s="42">
        <f t="shared" si="39"/>
        <v>2.92E-2</v>
      </c>
      <c r="P91" s="42">
        <f t="shared" si="39"/>
        <v>2.9784000000000001E-2</v>
      </c>
      <c r="Q91" s="42">
        <f t="shared" si="39"/>
        <v>3.0379680000000003E-2</v>
      </c>
      <c r="R91" s="42">
        <f t="shared" si="39"/>
        <v>3.0987273600000004E-2</v>
      </c>
      <c r="S91" s="42">
        <f t="shared" si="39"/>
        <v>3.1607019072000003E-2</v>
      </c>
      <c r="T91" s="42">
        <f>IF($B$12&gt;5,SUM(T78:T90),"")</f>
        <v>0</v>
      </c>
      <c r="U91" s="42">
        <f>IF($B$12&gt;6,SUM(U78:U90),"")</f>
        <v>0</v>
      </c>
      <c r="V91" s="42">
        <f>IF($B$12&gt;7,SUM(V78:V90),"")</f>
        <v>0</v>
      </c>
      <c r="W91" s="42">
        <f>IF($B$12&gt;8,SUM(W78:W90),"")</f>
        <v>0</v>
      </c>
      <c r="X91" s="42">
        <f>IF($B$12&gt;9,SUM(X78:X90),"")</f>
        <v>0</v>
      </c>
      <c r="Y91" s="42">
        <f>IF($B$12&gt;10,SUM(Y78:Y90),"")</f>
        <v>0</v>
      </c>
      <c r="Z91" s="42">
        <f>IF($B$12&gt;11,SUM(Z78:Z90),"")</f>
        <v>0</v>
      </c>
      <c r="AA91" s="42">
        <f>IF($B$12&gt;12,SUM(AA78:AA90),"")</f>
        <v>0</v>
      </c>
      <c r="AB91" s="42">
        <f>IF($B$12&gt;13,SUM(AB78:AB90),"")</f>
        <v>0</v>
      </c>
      <c r="AC91" s="42">
        <f>IF($B$12&gt;14,SUM(AC78:AC90),"")</f>
        <v>0</v>
      </c>
      <c r="AD91" s="42">
        <f>IF($B$12&gt;15,SUM(AD78:AD90),"")</f>
        <v>0</v>
      </c>
      <c r="AE91" s="42">
        <f>IF($B$12&gt;16,SUM(AE78:AE90),"")</f>
        <v>0</v>
      </c>
      <c r="AF91" s="42">
        <f>IF($B$12&gt;17,SUM(AF78:AF90),"")</f>
        <v>0</v>
      </c>
      <c r="AG91" s="42">
        <f>IF($B$12&gt;18,SUM(AG78:AG90),"")</f>
        <v>0</v>
      </c>
      <c r="AH91" s="42">
        <f>IF($B$12&gt;19,SUM(AH78:AH90),"")</f>
        <v>0</v>
      </c>
    </row>
    <row r="92" spans="1:34" s="30" customFormat="1" ht="12.75" customHeight="1" x14ac:dyDescent="0.2">
      <c r="B92" s="43"/>
      <c r="C92" s="43"/>
      <c r="D92" s="43"/>
      <c r="E92" s="43"/>
      <c r="F92" s="43"/>
      <c r="G92" s="43"/>
      <c r="H92" s="43"/>
      <c r="I92" s="43"/>
      <c r="J92" s="43"/>
      <c r="K92" s="43"/>
      <c r="L92" s="43"/>
      <c r="N92" s="42"/>
      <c r="O92" s="42"/>
      <c r="P92" s="42"/>
      <c r="Q92" s="42"/>
      <c r="R92" s="42"/>
      <c r="S92" s="42"/>
      <c r="T92" s="42"/>
      <c r="U92" s="42"/>
      <c r="V92" s="42"/>
      <c r="W92" s="155"/>
      <c r="X92" s="155"/>
      <c r="Y92" s="155"/>
      <c r="Z92" s="155"/>
      <c r="AA92" s="6"/>
      <c r="AB92" s="6"/>
      <c r="AC92" s="6"/>
    </row>
    <row r="93" spans="1:34" s="30" customFormat="1" ht="12.75" customHeight="1" x14ac:dyDescent="0.2">
      <c r="A93" s="30" t="str">
        <f>IF(Hulpblad_overig!B42=0,"Verwachte kosten (+) en opbrengsten (-) biomassa en bijproducten (€)","U vraagt niet aan voor biomassa, regels 94 t/m 106 kunt u overslaan!")</f>
        <v>U vraagt niet aan voor biomassa, regels 94 t/m 106 kunt u overslaan!</v>
      </c>
      <c r="B93" s="43"/>
      <c r="C93" s="43"/>
      <c r="D93" s="43"/>
      <c r="E93" s="43"/>
      <c r="F93" s="43"/>
      <c r="G93" s="43"/>
      <c r="H93" s="43"/>
      <c r="I93" s="43"/>
      <c r="J93" s="43"/>
      <c r="K93" s="43"/>
      <c r="L93" s="43"/>
      <c r="N93" s="43"/>
      <c r="O93" s="43"/>
      <c r="P93" s="43"/>
      <c r="Q93" s="43"/>
      <c r="R93" s="43"/>
      <c r="S93" s="43"/>
      <c r="T93" s="43"/>
      <c r="U93" s="43"/>
      <c r="V93" s="43"/>
      <c r="W93" s="11"/>
      <c r="X93" s="11"/>
      <c r="Y93" s="11"/>
      <c r="Z93" s="11"/>
      <c r="AA93" s="6"/>
      <c r="AB93" s="6"/>
      <c r="AC93" s="6"/>
    </row>
    <row r="94" spans="1:34" s="30" customFormat="1" ht="12.75" customHeight="1" x14ac:dyDescent="0.2">
      <c r="B94" s="43"/>
      <c r="C94" s="43"/>
      <c r="D94" s="43"/>
      <c r="E94" s="43"/>
      <c r="F94" s="43"/>
      <c r="G94" s="43"/>
      <c r="H94" s="43"/>
      <c r="I94" s="43"/>
      <c r="J94" s="43"/>
      <c r="K94" s="43"/>
      <c r="L94" s="43"/>
      <c r="N94" s="43"/>
      <c r="O94" s="43"/>
      <c r="P94" s="43"/>
      <c r="Q94" s="43"/>
      <c r="R94" s="43"/>
      <c r="S94" s="43"/>
      <c r="T94" s="43"/>
      <c r="U94" s="43"/>
      <c r="V94" s="43"/>
      <c r="W94" s="11"/>
      <c r="X94" s="11"/>
      <c r="Y94" s="11"/>
      <c r="Z94" s="11"/>
      <c r="AA94" s="6"/>
      <c r="AB94" s="6"/>
      <c r="AC94" s="6"/>
    </row>
    <row r="95" spans="1:34" s="30" customFormat="1" ht="12.75" customHeight="1" x14ac:dyDescent="0.2">
      <c r="B95" s="534" t="s">
        <v>94</v>
      </c>
      <c r="C95" s="534"/>
      <c r="D95" s="43"/>
      <c r="E95" s="43"/>
      <c r="F95" s="43"/>
      <c r="G95" s="43"/>
      <c r="H95" s="43"/>
      <c r="I95" s="43"/>
      <c r="J95" s="43"/>
      <c r="K95" s="43"/>
      <c r="L95" s="43"/>
      <c r="N95" s="43"/>
      <c r="O95" s="43"/>
      <c r="P95" s="43"/>
      <c r="Q95" s="43"/>
      <c r="R95" s="43"/>
      <c r="S95" s="43"/>
      <c r="T95" s="43"/>
      <c r="U95" s="43"/>
      <c r="V95" s="43"/>
      <c r="W95" s="11"/>
      <c r="X95" s="11"/>
      <c r="Y95" s="11"/>
      <c r="Z95" s="11"/>
      <c r="AA95" s="6"/>
      <c r="AB95" s="6"/>
      <c r="AC95" s="6"/>
    </row>
    <row r="96" spans="1:34" s="30" customFormat="1" ht="12.75" customHeight="1" x14ac:dyDescent="0.2">
      <c r="A96" s="12"/>
      <c r="B96" s="535"/>
      <c r="C96" s="535"/>
      <c r="D96" s="43"/>
      <c r="E96" s="12" t="s">
        <v>95</v>
      </c>
      <c r="F96" s="16"/>
      <c r="G96" s="43"/>
      <c r="H96" s="536" t="s">
        <v>96</v>
      </c>
      <c r="I96" s="536"/>
      <c r="J96" s="536"/>
      <c r="K96" s="12"/>
      <c r="L96" s="12" t="s">
        <v>97</v>
      </c>
      <c r="W96" s="6"/>
      <c r="X96" s="6"/>
      <c r="Y96" s="6"/>
      <c r="Z96" s="6"/>
      <c r="AA96" s="6"/>
      <c r="AB96" s="6"/>
      <c r="AC96" s="6"/>
    </row>
    <row r="97" spans="1:34" s="30" customFormat="1" ht="12.75" customHeight="1" x14ac:dyDescent="0.2">
      <c r="A97" s="156">
        <f>Hulpblad_overig!B42</f>
        <v>1</v>
      </c>
      <c r="B97" s="413"/>
      <c r="C97" s="415"/>
      <c r="D97" s="43"/>
      <c r="E97" s="195">
        <v>0</v>
      </c>
      <c r="F97" s="43"/>
      <c r="G97" s="43"/>
      <c r="H97" s="537">
        <v>0</v>
      </c>
      <c r="I97" s="538"/>
      <c r="J97" s="539"/>
      <c r="K97" s="43"/>
      <c r="L97" s="193">
        <v>0.02</v>
      </c>
      <c r="M97" s="68"/>
      <c r="N97" s="42"/>
      <c r="O97" s="57">
        <f>IF($A$97=0,(E97*H97),0)</f>
        <v>0</v>
      </c>
      <c r="P97" s="57">
        <f>O97*(1+$L97)</f>
        <v>0</v>
      </c>
      <c r="Q97" s="57">
        <f t="shared" ref="Q97:S97" si="40">P97*(1+$L97)</f>
        <v>0</v>
      </c>
      <c r="R97" s="57">
        <f t="shared" si="40"/>
        <v>0</v>
      </c>
      <c r="S97" s="57">
        <f t="shared" si="40"/>
        <v>0</v>
      </c>
      <c r="T97" s="57">
        <f t="shared" ref="T97:T106" si="41">IF($B$12&gt;5,S97*(1+$L97),"")</f>
        <v>0</v>
      </c>
      <c r="U97" s="57">
        <f t="shared" ref="U97:U106" si="42">IF($B$12&gt;6,T97*(1+$L97),"")</f>
        <v>0</v>
      </c>
      <c r="V97" s="57">
        <f t="shared" ref="V97:V106" si="43">IF($B$12&gt;7,U97*(1+$L97),"")</f>
        <v>0</v>
      </c>
      <c r="W97" s="57">
        <f t="shared" ref="W97:W106" si="44">IF($B$12&gt;8,V97*(1+$L97),"")</f>
        <v>0</v>
      </c>
      <c r="X97" s="57">
        <f>IF($B$12&gt;9,W97*(1+$L97),"")</f>
        <v>0</v>
      </c>
      <c r="Y97" s="57">
        <f>IF($B$12&gt;10,X97*(1+$L97),"")</f>
        <v>0</v>
      </c>
      <c r="Z97" s="57">
        <f>IF($B$12&gt;11,Y97*(1+$L97),"")</f>
        <v>0</v>
      </c>
      <c r="AA97" s="57">
        <f t="shared" ref="AA97" si="45">IF($B$12&gt;12,Z97*(1+$L97),"")</f>
        <v>0</v>
      </c>
      <c r="AB97" s="57">
        <f>IF($B$12&gt;13,AA97*(1+$L97),"")</f>
        <v>0</v>
      </c>
      <c r="AC97" s="57">
        <f>IF($B$12&gt;14,AB97*(1+$L97),"")</f>
        <v>0</v>
      </c>
      <c r="AD97" s="57">
        <f>IF($B$12&gt;15,AC97*(1+$L97),"")</f>
        <v>0</v>
      </c>
      <c r="AE97" s="57">
        <f>IF($B$12&gt;16,AD97*(1+$L97),"")</f>
        <v>0</v>
      </c>
      <c r="AF97" s="57">
        <f>IF($B$12&gt;17,AE97*(1+$L97),"")</f>
        <v>0</v>
      </c>
      <c r="AG97" s="57">
        <f>IF($B$12&gt;18,AF97*(1+$L97),"")</f>
        <v>0</v>
      </c>
      <c r="AH97" s="57">
        <f>IF($B$12&gt;19,AG97*(1+$L97),"")</f>
        <v>0</v>
      </c>
    </row>
    <row r="98" spans="1:34" s="30" customFormat="1" ht="12.75" customHeight="1" x14ac:dyDescent="0.2">
      <c r="B98" s="397"/>
      <c r="C98" s="399"/>
      <c r="D98" s="43"/>
      <c r="E98" s="10">
        <v>0</v>
      </c>
      <c r="F98" s="43"/>
      <c r="G98" s="43"/>
      <c r="H98" s="540">
        <v>0</v>
      </c>
      <c r="I98" s="541"/>
      <c r="J98" s="542"/>
      <c r="K98" s="43"/>
      <c r="L98" s="197">
        <v>0.02</v>
      </c>
      <c r="M98" s="68"/>
      <c r="N98" s="42"/>
      <c r="O98" s="57">
        <f t="shared" ref="O98:O106" si="46">IF($A$97=0,(E98*H98),0)</f>
        <v>0</v>
      </c>
      <c r="P98" s="57">
        <f t="shared" ref="P98:S106" si="47">O98*(1+$L98)</f>
        <v>0</v>
      </c>
      <c r="Q98" s="57">
        <f t="shared" si="47"/>
        <v>0</v>
      </c>
      <c r="R98" s="57">
        <f t="shared" si="47"/>
        <v>0</v>
      </c>
      <c r="S98" s="57">
        <f t="shared" si="47"/>
        <v>0</v>
      </c>
      <c r="T98" s="57">
        <f t="shared" si="41"/>
        <v>0</v>
      </c>
      <c r="U98" s="57">
        <f t="shared" si="42"/>
        <v>0</v>
      </c>
      <c r="V98" s="57">
        <f t="shared" si="43"/>
        <v>0</v>
      </c>
      <c r="W98" s="57">
        <f t="shared" si="44"/>
        <v>0</v>
      </c>
      <c r="X98" s="57">
        <f t="shared" ref="X98:X106" si="48">IF($B$12&gt;9,W98*(1+$L98),"")</f>
        <v>0</v>
      </c>
      <c r="Y98" s="57">
        <f t="shared" ref="Y98:Y106" si="49">IF($B$12&gt;10,X98*(1+$L98),"")</f>
        <v>0</v>
      </c>
      <c r="Z98" s="57">
        <f t="shared" ref="Z98:Z106" si="50">IF($B$12&gt;11,Y98*(1+$L98),"")</f>
        <v>0</v>
      </c>
      <c r="AA98" s="57">
        <f t="shared" ref="AA98:AA106" si="51">IF($B$12&gt;12,Z98*(1+$L98),"")</f>
        <v>0</v>
      </c>
      <c r="AB98" s="57">
        <f t="shared" ref="AB98:AB106" si="52">IF($B$12&gt;13,AA98*(1+$L98),"")</f>
        <v>0</v>
      </c>
      <c r="AC98" s="57">
        <f t="shared" ref="AC98:AC106" si="53">IF($B$12&gt;14,AB98*(1+$L98),"")</f>
        <v>0</v>
      </c>
      <c r="AD98" s="57">
        <f t="shared" ref="AD98:AD106" si="54">IF($B$12&gt;15,AC98*(1+$L98),"")</f>
        <v>0</v>
      </c>
      <c r="AE98" s="57">
        <f t="shared" ref="AE98:AE106" si="55">IF($B$12&gt;16,AD98*(1+$L98),"")</f>
        <v>0</v>
      </c>
      <c r="AF98" s="57">
        <f t="shared" ref="AF98:AF106" si="56">IF($B$12&gt;17,AE98*(1+$L98),"")</f>
        <v>0</v>
      </c>
      <c r="AG98" s="57">
        <f t="shared" ref="AG98:AG106" si="57">IF($B$12&gt;18,AF98*(1+$L98),"")</f>
        <v>0</v>
      </c>
      <c r="AH98" s="57">
        <f t="shared" ref="AH98:AH106" si="58">IF($B$12&gt;19,AG98*(1+$L98),"")</f>
        <v>0</v>
      </c>
    </row>
    <row r="99" spans="1:34" s="30" customFormat="1" ht="12.75" customHeight="1" x14ac:dyDescent="0.25">
      <c r="B99" s="397"/>
      <c r="C99" s="399"/>
      <c r="D99" s="43"/>
      <c r="E99" s="10">
        <v>0</v>
      </c>
      <c r="F99" s="43"/>
      <c r="G99" s="43"/>
      <c r="H99" s="543">
        <v>0</v>
      </c>
      <c r="I99" s="544"/>
      <c r="J99" s="545"/>
      <c r="K99" s="43"/>
      <c r="L99" s="197">
        <v>0.02</v>
      </c>
      <c r="M99" s="68"/>
      <c r="N99" s="42"/>
      <c r="O99" s="57">
        <f t="shared" si="46"/>
        <v>0</v>
      </c>
      <c r="P99" s="57">
        <f t="shared" si="47"/>
        <v>0</v>
      </c>
      <c r="Q99" s="57">
        <f t="shared" si="47"/>
        <v>0</v>
      </c>
      <c r="R99" s="57">
        <f t="shared" si="47"/>
        <v>0</v>
      </c>
      <c r="S99" s="57">
        <f t="shared" si="47"/>
        <v>0</v>
      </c>
      <c r="T99" s="57">
        <f t="shared" si="41"/>
        <v>0</v>
      </c>
      <c r="U99" s="57">
        <f t="shared" si="42"/>
        <v>0</v>
      </c>
      <c r="V99" s="57">
        <f t="shared" si="43"/>
        <v>0</v>
      </c>
      <c r="W99" s="57">
        <f t="shared" si="44"/>
        <v>0</v>
      </c>
      <c r="X99" s="57">
        <f t="shared" si="48"/>
        <v>0</v>
      </c>
      <c r="Y99" s="57">
        <f t="shared" si="49"/>
        <v>0</v>
      </c>
      <c r="Z99" s="57">
        <f t="shared" si="50"/>
        <v>0</v>
      </c>
      <c r="AA99" s="57">
        <f t="shared" si="51"/>
        <v>0</v>
      </c>
      <c r="AB99" s="57">
        <f t="shared" si="52"/>
        <v>0</v>
      </c>
      <c r="AC99" s="57">
        <f t="shared" si="53"/>
        <v>0</v>
      </c>
      <c r="AD99" s="57">
        <f t="shared" si="54"/>
        <v>0</v>
      </c>
      <c r="AE99" s="57">
        <f t="shared" si="55"/>
        <v>0</v>
      </c>
      <c r="AF99" s="57">
        <f t="shared" si="56"/>
        <v>0</v>
      </c>
      <c r="AG99" s="57">
        <f t="shared" si="57"/>
        <v>0</v>
      </c>
      <c r="AH99" s="57">
        <f t="shared" si="58"/>
        <v>0</v>
      </c>
    </row>
    <row r="100" spans="1:34" s="30" customFormat="1" ht="12.75" customHeight="1" x14ac:dyDescent="0.25">
      <c r="B100" s="397"/>
      <c r="C100" s="399"/>
      <c r="D100" s="43"/>
      <c r="E100" s="10">
        <v>0</v>
      </c>
      <c r="F100" s="43"/>
      <c r="G100" s="43"/>
      <c r="H100" s="543">
        <v>0</v>
      </c>
      <c r="I100" s="544"/>
      <c r="J100" s="545"/>
      <c r="K100" s="43"/>
      <c r="L100" s="197">
        <v>0.02</v>
      </c>
      <c r="M100" s="68"/>
      <c r="N100" s="42"/>
      <c r="O100" s="57">
        <f t="shared" si="46"/>
        <v>0</v>
      </c>
      <c r="P100" s="57">
        <f t="shared" si="47"/>
        <v>0</v>
      </c>
      <c r="Q100" s="57">
        <f t="shared" si="47"/>
        <v>0</v>
      </c>
      <c r="R100" s="57">
        <f t="shared" si="47"/>
        <v>0</v>
      </c>
      <c r="S100" s="57">
        <f t="shared" si="47"/>
        <v>0</v>
      </c>
      <c r="T100" s="57">
        <f t="shared" si="41"/>
        <v>0</v>
      </c>
      <c r="U100" s="57">
        <f t="shared" si="42"/>
        <v>0</v>
      </c>
      <c r="V100" s="57">
        <f t="shared" si="43"/>
        <v>0</v>
      </c>
      <c r="W100" s="57">
        <f t="shared" si="44"/>
        <v>0</v>
      </c>
      <c r="X100" s="57">
        <f t="shared" si="48"/>
        <v>0</v>
      </c>
      <c r="Y100" s="57">
        <f t="shared" si="49"/>
        <v>0</v>
      </c>
      <c r="Z100" s="57">
        <f t="shared" si="50"/>
        <v>0</v>
      </c>
      <c r="AA100" s="57">
        <f t="shared" si="51"/>
        <v>0</v>
      </c>
      <c r="AB100" s="57">
        <f t="shared" si="52"/>
        <v>0</v>
      </c>
      <c r="AC100" s="57">
        <f t="shared" si="53"/>
        <v>0</v>
      </c>
      <c r="AD100" s="57">
        <f t="shared" si="54"/>
        <v>0</v>
      </c>
      <c r="AE100" s="57">
        <f t="shared" si="55"/>
        <v>0</v>
      </c>
      <c r="AF100" s="57">
        <f t="shared" si="56"/>
        <v>0</v>
      </c>
      <c r="AG100" s="57">
        <f t="shared" si="57"/>
        <v>0</v>
      </c>
      <c r="AH100" s="57">
        <f t="shared" si="58"/>
        <v>0</v>
      </c>
    </row>
    <row r="101" spans="1:34" s="30" customFormat="1" ht="12.75" customHeight="1" x14ac:dyDescent="0.25">
      <c r="B101" s="397"/>
      <c r="C101" s="399"/>
      <c r="D101" s="43"/>
      <c r="E101" s="10">
        <v>0</v>
      </c>
      <c r="F101" s="43"/>
      <c r="G101" s="43"/>
      <c r="H101" s="543">
        <v>0</v>
      </c>
      <c r="I101" s="544"/>
      <c r="J101" s="545"/>
      <c r="K101" s="43"/>
      <c r="L101" s="197">
        <v>0.02</v>
      </c>
      <c r="M101" s="68"/>
      <c r="N101" s="42"/>
      <c r="O101" s="57">
        <f t="shared" si="46"/>
        <v>0</v>
      </c>
      <c r="P101" s="57">
        <f t="shared" si="47"/>
        <v>0</v>
      </c>
      <c r="Q101" s="57">
        <f t="shared" si="47"/>
        <v>0</v>
      </c>
      <c r="R101" s="57">
        <f t="shared" si="47"/>
        <v>0</v>
      </c>
      <c r="S101" s="57">
        <f t="shared" si="47"/>
        <v>0</v>
      </c>
      <c r="T101" s="57">
        <f t="shared" si="41"/>
        <v>0</v>
      </c>
      <c r="U101" s="57">
        <f t="shared" si="42"/>
        <v>0</v>
      </c>
      <c r="V101" s="57">
        <f t="shared" si="43"/>
        <v>0</v>
      </c>
      <c r="W101" s="57">
        <f t="shared" si="44"/>
        <v>0</v>
      </c>
      <c r="X101" s="57">
        <f t="shared" si="48"/>
        <v>0</v>
      </c>
      <c r="Y101" s="57">
        <f t="shared" si="49"/>
        <v>0</v>
      </c>
      <c r="Z101" s="57">
        <f t="shared" si="50"/>
        <v>0</v>
      </c>
      <c r="AA101" s="57">
        <f t="shared" si="51"/>
        <v>0</v>
      </c>
      <c r="AB101" s="57">
        <f t="shared" si="52"/>
        <v>0</v>
      </c>
      <c r="AC101" s="57">
        <f t="shared" si="53"/>
        <v>0</v>
      </c>
      <c r="AD101" s="57">
        <f t="shared" si="54"/>
        <v>0</v>
      </c>
      <c r="AE101" s="57">
        <f t="shared" si="55"/>
        <v>0</v>
      </c>
      <c r="AF101" s="57">
        <f t="shared" si="56"/>
        <v>0</v>
      </c>
      <c r="AG101" s="57">
        <f t="shared" si="57"/>
        <v>0</v>
      </c>
      <c r="AH101" s="57">
        <f t="shared" si="58"/>
        <v>0</v>
      </c>
    </row>
    <row r="102" spans="1:34" s="30" customFormat="1" ht="12.75" customHeight="1" x14ac:dyDescent="0.25">
      <c r="B102" s="397"/>
      <c r="C102" s="399"/>
      <c r="D102" s="43"/>
      <c r="E102" s="10">
        <v>0</v>
      </c>
      <c r="F102" s="43"/>
      <c r="G102" s="43"/>
      <c r="H102" s="543">
        <v>0</v>
      </c>
      <c r="I102" s="544"/>
      <c r="J102" s="545"/>
      <c r="K102" s="43"/>
      <c r="L102" s="197">
        <v>0.02</v>
      </c>
      <c r="M102" s="68"/>
      <c r="N102" s="42"/>
      <c r="O102" s="57">
        <f t="shared" si="46"/>
        <v>0</v>
      </c>
      <c r="P102" s="57">
        <f t="shared" si="47"/>
        <v>0</v>
      </c>
      <c r="Q102" s="57">
        <f t="shared" si="47"/>
        <v>0</v>
      </c>
      <c r="R102" s="57">
        <f t="shared" si="47"/>
        <v>0</v>
      </c>
      <c r="S102" s="57">
        <f t="shared" si="47"/>
        <v>0</v>
      </c>
      <c r="T102" s="57">
        <f t="shared" si="41"/>
        <v>0</v>
      </c>
      <c r="U102" s="57">
        <f t="shared" si="42"/>
        <v>0</v>
      </c>
      <c r="V102" s="57">
        <f t="shared" si="43"/>
        <v>0</v>
      </c>
      <c r="W102" s="57">
        <f t="shared" si="44"/>
        <v>0</v>
      </c>
      <c r="X102" s="57">
        <f t="shared" si="48"/>
        <v>0</v>
      </c>
      <c r="Y102" s="57">
        <f t="shared" si="49"/>
        <v>0</v>
      </c>
      <c r="Z102" s="57">
        <f t="shared" si="50"/>
        <v>0</v>
      </c>
      <c r="AA102" s="57">
        <f t="shared" si="51"/>
        <v>0</v>
      </c>
      <c r="AB102" s="57">
        <f t="shared" si="52"/>
        <v>0</v>
      </c>
      <c r="AC102" s="57">
        <f t="shared" si="53"/>
        <v>0</v>
      </c>
      <c r="AD102" s="57">
        <f t="shared" si="54"/>
        <v>0</v>
      </c>
      <c r="AE102" s="57">
        <f t="shared" si="55"/>
        <v>0</v>
      </c>
      <c r="AF102" s="57">
        <f t="shared" si="56"/>
        <v>0</v>
      </c>
      <c r="AG102" s="57">
        <f t="shared" si="57"/>
        <v>0</v>
      </c>
      <c r="AH102" s="57">
        <f t="shared" si="58"/>
        <v>0</v>
      </c>
    </row>
    <row r="103" spans="1:34" s="30" customFormat="1" ht="12.75" customHeight="1" x14ac:dyDescent="0.2">
      <c r="B103" s="397"/>
      <c r="C103" s="399"/>
      <c r="D103" s="43"/>
      <c r="E103" s="10">
        <v>0</v>
      </c>
      <c r="F103" s="43"/>
      <c r="G103" s="43"/>
      <c r="H103" s="540">
        <v>0</v>
      </c>
      <c r="I103" s="541"/>
      <c r="J103" s="542"/>
      <c r="K103" s="43"/>
      <c r="L103" s="197">
        <v>0.02</v>
      </c>
      <c r="M103" s="68"/>
      <c r="N103" s="42"/>
      <c r="O103" s="57">
        <f t="shared" si="46"/>
        <v>0</v>
      </c>
      <c r="P103" s="57">
        <f t="shared" si="47"/>
        <v>0</v>
      </c>
      <c r="Q103" s="57">
        <f t="shared" si="47"/>
        <v>0</v>
      </c>
      <c r="R103" s="57">
        <f t="shared" si="47"/>
        <v>0</v>
      </c>
      <c r="S103" s="57">
        <f t="shared" si="47"/>
        <v>0</v>
      </c>
      <c r="T103" s="57">
        <f t="shared" si="41"/>
        <v>0</v>
      </c>
      <c r="U103" s="57">
        <f t="shared" si="42"/>
        <v>0</v>
      </c>
      <c r="V103" s="57">
        <f t="shared" si="43"/>
        <v>0</v>
      </c>
      <c r="W103" s="57">
        <f t="shared" si="44"/>
        <v>0</v>
      </c>
      <c r="X103" s="57">
        <f t="shared" si="48"/>
        <v>0</v>
      </c>
      <c r="Y103" s="57">
        <f t="shared" si="49"/>
        <v>0</v>
      </c>
      <c r="Z103" s="57">
        <f t="shared" si="50"/>
        <v>0</v>
      </c>
      <c r="AA103" s="57">
        <f t="shared" si="51"/>
        <v>0</v>
      </c>
      <c r="AB103" s="57">
        <f t="shared" si="52"/>
        <v>0</v>
      </c>
      <c r="AC103" s="57">
        <f t="shared" si="53"/>
        <v>0</v>
      </c>
      <c r="AD103" s="57">
        <f t="shared" si="54"/>
        <v>0</v>
      </c>
      <c r="AE103" s="57">
        <f t="shared" si="55"/>
        <v>0</v>
      </c>
      <c r="AF103" s="57">
        <f t="shared" si="56"/>
        <v>0</v>
      </c>
      <c r="AG103" s="57">
        <f t="shared" si="57"/>
        <v>0</v>
      </c>
      <c r="AH103" s="57">
        <f t="shared" si="58"/>
        <v>0</v>
      </c>
    </row>
    <row r="104" spans="1:34" s="30" customFormat="1" ht="12.75" customHeight="1" x14ac:dyDescent="0.2">
      <c r="B104" s="397"/>
      <c r="C104" s="399"/>
      <c r="D104" s="43"/>
      <c r="E104" s="10">
        <v>0</v>
      </c>
      <c r="F104" s="43"/>
      <c r="G104" s="43"/>
      <c r="H104" s="540">
        <v>0</v>
      </c>
      <c r="I104" s="541"/>
      <c r="J104" s="542"/>
      <c r="K104" s="43"/>
      <c r="L104" s="197">
        <v>0.02</v>
      </c>
      <c r="M104" s="68"/>
      <c r="N104" s="42"/>
      <c r="O104" s="57">
        <f t="shared" si="46"/>
        <v>0</v>
      </c>
      <c r="P104" s="57">
        <f t="shared" si="47"/>
        <v>0</v>
      </c>
      <c r="Q104" s="57">
        <f t="shared" si="47"/>
        <v>0</v>
      </c>
      <c r="R104" s="57">
        <f t="shared" si="47"/>
        <v>0</v>
      </c>
      <c r="S104" s="57">
        <f t="shared" si="47"/>
        <v>0</v>
      </c>
      <c r="T104" s="57">
        <f t="shared" si="41"/>
        <v>0</v>
      </c>
      <c r="U104" s="57">
        <f t="shared" si="42"/>
        <v>0</v>
      </c>
      <c r="V104" s="57">
        <f t="shared" si="43"/>
        <v>0</v>
      </c>
      <c r="W104" s="57">
        <f t="shared" si="44"/>
        <v>0</v>
      </c>
      <c r="X104" s="57">
        <f t="shared" si="48"/>
        <v>0</v>
      </c>
      <c r="Y104" s="57">
        <f t="shared" si="49"/>
        <v>0</v>
      </c>
      <c r="Z104" s="57">
        <f t="shared" si="50"/>
        <v>0</v>
      </c>
      <c r="AA104" s="57">
        <f t="shared" si="51"/>
        <v>0</v>
      </c>
      <c r="AB104" s="57">
        <f t="shared" si="52"/>
        <v>0</v>
      </c>
      <c r="AC104" s="57">
        <f t="shared" si="53"/>
        <v>0</v>
      </c>
      <c r="AD104" s="57">
        <f t="shared" si="54"/>
        <v>0</v>
      </c>
      <c r="AE104" s="57">
        <f t="shared" si="55"/>
        <v>0</v>
      </c>
      <c r="AF104" s="57">
        <f t="shared" si="56"/>
        <v>0</v>
      </c>
      <c r="AG104" s="57">
        <f t="shared" si="57"/>
        <v>0</v>
      </c>
      <c r="AH104" s="57">
        <f t="shared" si="58"/>
        <v>0</v>
      </c>
    </row>
    <row r="105" spans="1:34" s="30" customFormat="1" ht="12.75" customHeight="1" x14ac:dyDescent="0.2">
      <c r="B105" s="397"/>
      <c r="C105" s="399"/>
      <c r="D105" s="43"/>
      <c r="E105" s="10">
        <v>0</v>
      </c>
      <c r="F105" s="43"/>
      <c r="G105" s="43"/>
      <c r="H105" s="540">
        <v>0</v>
      </c>
      <c r="I105" s="541"/>
      <c r="J105" s="542"/>
      <c r="K105" s="43"/>
      <c r="L105" s="197">
        <v>0.02</v>
      </c>
      <c r="M105" s="68"/>
      <c r="N105" s="42"/>
      <c r="O105" s="57">
        <f t="shared" si="46"/>
        <v>0</v>
      </c>
      <c r="P105" s="57">
        <f t="shared" si="47"/>
        <v>0</v>
      </c>
      <c r="Q105" s="57">
        <f t="shared" si="47"/>
        <v>0</v>
      </c>
      <c r="R105" s="57">
        <f t="shared" si="47"/>
        <v>0</v>
      </c>
      <c r="S105" s="57">
        <f t="shared" si="47"/>
        <v>0</v>
      </c>
      <c r="T105" s="57">
        <f t="shared" si="41"/>
        <v>0</v>
      </c>
      <c r="U105" s="57">
        <f t="shared" si="42"/>
        <v>0</v>
      </c>
      <c r="V105" s="57">
        <f t="shared" si="43"/>
        <v>0</v>
      </c>
      <c r="W105" s="57">
        <f t="shared" si="44"/>
        <v>0</v>
      </c>
      <c r="X105" s="57">
        <f t="shared" si="48"/>
        <v>0</v>
      </c>
      <c r="Y105" s="57">
        <f t="shared" si="49"/>
        <v>0</v>
      </c>
      <c r="Z105" s="57">
        <f t="shared" si="50"/>
        <v>0</v>
      </c>
      <c r="AA105" s="57">
        <f t="shared" si="51"/>
        <v>0</v>
      </c>
      <c r="AB105" s="57">
        <f t="shared" si="52"/>
        <v>0</v>
      </c>
      <c r="AC105" s="57">
        <f t="shared" si="53"/>
        <v>0</v>
      </c>
      <c r="AD105" s="57">
        <f t="shared" si="54"/>
        <v>0</v>
      </c>
      <c r="AE105" s="57">
        <f t="shared" si="55"/>
        <v>0</v>
      </c>
      <c r="AF105" s="57">
        <f t="shared" si="56"/>
        <v>0</v>
      </c>
      <c r="AG105" s="57">
        <f t="shared" si="57"/>
        <v>0</v>
      </c>
      <c r="AH105" s="57">
        <f t="shared" si="58"/>
        <v>0</v>
      </c>
    </row>
    <row r="106" spans="1:34" s="30" customFormat="1" ht="12.75" customHeight="1" x14ac:dyDescent="0.2">
      <c r="B106" s="418"/>
      <c r="C106" s="546"/>
      <c r="D106" s="43"/>
      <c r="E106" s="196">
        <v>0</v>
      </c>
      <c r="F106" s="43"/>
      <c r="G106" s="43"/>
      <c r="H106" s="547">
        <v>0</v>
      </c>
      <c r="I106" s="548"/>
      <c r="J106" s="549"/>
      <c r="K106" s="43"/>
      <c r="L106" s="194">
        <v>0.02</v>
      </c>
      <c r="N106" s="42"/>
      <c r="O106" s="57">
        <f t="shared" si="46"/>
        <v>0</v>
      </c>
      <c r="P106" s="57">
        <f t="shared" si="47"/>
        <v>0</v>
      </c>
      <c r="Q106" s="57">
        <f t="shared" si="47"/>
        <v>0</v>
      </c>
      <c r="R106" s="57">
        <f t="shared" si="47"/>
        <v>0</v>
      </c>
      <c r="S106" s="57">
        <f t="shared" si="47"/>
        <v>0</v>
      </c>
      <c r="T106" s="57">
        <f t="shared" si="41"/>
        <v>0</v>
      </c>
      <c r="U106" s="57">
        <f t="shared" si="42"/>
        <v>0</v>
      </c>
      <c r="V106" s="57">
        <f t="shared" si="43"/>
        <v>0</v>
      </c>
      <c r="W106" s="57">
        <f t="shared" si="44"/>
        <v>0</v>
      </c>
      <c r="X106" s="57">
        <f t="shared" si="48"/>
        <v>0</v>
      </c>
      <c r="Y106" s="57">
        <f t="shared" si="49"/>
        <v>0</v>
      </c>
      <c r="Z106" s="57">
        <f t="shared" si="50"/>
        <v>0</v>
      </c>
      <c r="AA106" s="57">
        <f t="shared" si="51"/>
        <v>0</v>
      </c>
      <c r="AB106" s="57">
        <f t="shared" si="52"/>
        <v>0</v>
      </c>
      <c r="AC106" s="57">
        <f t="shared" si="53"/>
        <v>0</v>
      </c>
      <c r="AD106" s="57">
        <f t="shared" si="54"/>
        <v>0</v>
      </c>
      <c r="AE106" s="57">
        <f t="shared" si="55"/>
        <v>0</v>
      </c>
      <c r="AF106" s="57">
        <f t="shared" si="56"/>
        <v>0</v>
      </c>
      <c r="AG106" s="57">
        <f t="shared" si="57"/>
        <v>0</v>
      </c>
      <c r="AH106" s="57">
        <f t="shared" si="58"/>
        <v>0</v>
      </c>
    </row>
    <row r="107" spans="1:34" s="30" customFormat="1" ht="12.75" customHeight="1" x14ac:dyDescent="0.2">
      <c r="B107" s="30" t="s">
        <v>98</v>
      </c>
      <c r="C107" s="43"/>
      <c r="D107" s="43"/>
      <c r="E107" s="43"/>
      <c r="F107" s="43"/>
      <c r="G107" s="43"/>
      <c r="H107" s="43"/>
      <c r="I107" s="43"/>
      <c r="L107" s="43"/>
      <c r="N107" s="42"/>
      <c r="O107" s="9">
        <f t="shared" ref="O107:S107" si="59">SUM(O97:O106)</f>
        <v>0</v>
      </c>
      <c r="P107" s="42">
        <f t="shared" si="59"/>
        <v>0</v>
      </c>
      <c r="Q107" s="42">
        <f t="shared" si="59"/>
        <v>0</v>
      </c>
      <c r="R107" s="42">
        <f t="shared" si="59"/>
        <v>0</v>
      </c>
      <c r="S107" s="42">
        <f t="shared" si="59"/>
        <v>0</v>
      </c>
      <c r="T107" s="42">
        <f>IF($B$12&gt;5,SUM(T97:T106),"")</f>
        <v>0</v>
      </c>
      <c r="U107" s="42">
        <f>IF($B$12&gt;6,SUM(U97:U106),"")</f>
        <v>0</v>
      </c>
      <c r="V107" s="42">
        <f>IF($B$12&gt;7,SUM(V97:V106),"")</f>
        <v>0</v>
      </c>
      <c r="W107" s="42">
        <f>IF($B$12&gt;8,SUM(W97:W106),"")</f>
        <v>0</v>
      </c>
      <c r="X107" s="42">
        <f>IF($B$12&gt;9,SUM(X97:X106),"")</f>
        <v>0</v>
      </c>
      <c r="Y107" s="42">
        <f>IF($B$12&gt;10,SUM(Y97:Y106),"")</f>
        <v>0</v>
      </c>
      <c r="Z107" s="42">
        <f>IF($B$12&gt;11,SUM(Z97:Z106),"")</f>
        <v>0</v>
      </c>
      <c r="AA107" s="42">
        <f>IF($B$12&gt;12,SUM(AA97:AA106),"")</f>
        <v>0</v>
      </c>
      <c r="AB107" s="42">
        <f>IF($B$12&gt;13,SUM(AB97:AB106),"")</f>
        <v>0</v>
      </c>
      <c r="AC107" s="42">
        <f>IF($B$12&gt;14,SUM(AC97:AC106),"")</f>
        <v>0</v>
      </c>
      <c r="AD107" s="42">
        <f>IF($B$12&gt;15,SUM(AD97:AD106),"")</f>
        <v>0</v>
      </c>
      <c r="AE107" s="42">
        <f>IF($B$12&gt;16,SUM(AE97:AE106),"")</f>
        <v>0</v>
      </c>
      <c r="AF107" s="42">
        <f>IF($B$12&gt;17,SUM(AF97:AF106),"")</f>
        <v>0</v>
      </c>
      <c r="AG107" s="42">
        <f>IF($B$12&gt;18,SUM(AG97:AG106),"")</f>
        <v>0</v>
      </c>
      <c r="AH107" s="42">
        <f>IF($B$12&gt;19,SUM(AH97:AH106),"")</f>
        <v>0</v>
      </c>
    </row>
    <row r="108" spans="1:34" s="30" customFormat="1" ht="12.75" customHeight="1" x14ac:dyDescent="0.2">
      <c r="C108" s="43"/>
      <c r="D108" s="43"/>
      <c r="E108" s="43"/>
      <c r="F108" s="43"/>
      <c r="G108" s="43"/>
      <c r="H108" s="43"/>
      <c r="I108" s="43"/>
      <c r="L108" s="43"/>
      <c r="N108" s="42"/>
      <c r="O108" s="9"/>
      <c r="P108" s="42"/>
      <c r="Q108" s="42"/>
      <c r="R108" s="42"/>
      <c r="S108" s="42"/>
      <c r="T108" s="42"/>
      <c r="U108" s="42"/>
      <c r="V108" s="42"/>
      <c r="W108" s="155"/>
      <c r="X108" s="155"/>
      <c r="Y108" s="155"/>
      <c r="Z108" s="155"/>
      <c r="AA108" s="155"/>
      <c r="AB108" s="155"/>
      <c r="AC108" s="155"/>
    </row>
    <row r="109" spans="1:34" s="30" customFormat="1" ht="12.75" customHeight="1" x14ac:dyDescent="0.2">
      <c r="A109" s="30" t="str">
        <f>IF(Hulpblad_overig!B45=0,"Verwachte kosten (+) en opbrengsten (-) CO₂ transport en opslag (€)","U vraagt niet aan voor CO₂ afvang- en opslag, regels 110 t/m 113 kunt u overslaan!")</f>
        <v>U vraagt niet aan voor CO₂ afvang- en opslag, regels 110 t/m 113 kunt u overslaan!</v>
      </c>
      <c r="C109" s="43"/>
      <c r="D109" s="43"/>
      <c r="E109" s="43"/>
      <c r="F109" s="43"/>
      <c r="G109" s="43"/>
      <c r="H109" s="43"/>
      <c r="I109" s="43"/>
      <c r="L109" s="43"/>
      <c r="N109" s="42"/>
      <c r="O109" s="9"/>
      <c r="P109" s="42"/>
      <c r="Q109" s="42"/>
      <c r="R109" s="42"/>
      <c r="S109" s="42"/>
      <c r="T109" s="42"/>
      <c r="U109" s="42"/>
      <c r="V109" s="42"/>
      <c r="W109" s="155"/>
      <c r="X109" s="155"/>
      <c r="Y109" s="155"/>
      <c r="Z109" s="155"/>
      <c r="AA109" s="155"/>
      <c r="AB109" s="155"/>
      <c r="AC109" s="155"/>
    </row>
    <row r="110" spans="1:34" s="30" customFormat="1" ht="12.75" customHeight="1" x14ac:dyDescent="0.2">
      <c r="B110" s="491" t="s">
        <v>99</v>
      </c>
      <c r="C110" s="491"/>
      <c r="D110" s="43"/>
      <c r="E110" s="43"/>
      <c r="F110" s="43"/>
      <c r="G110" s="43"/>
      <c r="H110" s="43"/>
      <c r="I110" s="43"/>
      <c r="L110" s="43"/>
      <c r="N110" s="42"/>
      <c r="O110" s="9"/>
      <c r="P110" s="42"/>
      <c r="Q110" s="42"/>
      <c r="R110" s="42"/>
      <c r="S110" s="42"/>
      <c r="T110" s="42"/>
      <c r="U110" s="42"/>
      <c r="V110" s="42"/>
      <c r="W110" s="155"/>
      <c r="X110" s="155"/>
      <c r="Y110" s="155"/>
      <c r="Z110" s="155"/>
      <c r="AA110" s="155"/>
      <c r="AB110" s="155"/>
      <c r="AC110" s="155"/>
    </row>
    <row r="111" spans="1:34" s="30" customFormat="1" ht="12.75" customHeight="1" x14ac:dyDescent="0.2">
      <c r="B111" s="503"/>
      <c r="C111" s="503"/>
      <c r="D111" s="43"/>
      <c r="E111" s="12" t="s">
        <v>95</v>
      </c>
      <c r="F111" s="43"/>
      <c r="G111" s="43"/>
      <c r="H111" s="494" t="s">
        <v>96</v>
      </c>
      <c r="I111" s="494"/>
      <c r="J111" s="494"/>
      <c r="L111" s="12" t="s">
        <v>97</v>
      </c>
      <c r="N111" s="42"/>
      <c r="O111" s="9"/>
      <c r="P111" s="42"/>
      <c r="Q111" s="42"/>
      <c r="R111" s="42"/>
      <c r="S111" s="42"/>
      <c r="T111" s="42"/>
      <c r="U111" s="42"/>
      <c r="V111" s="42"/>
      <c r="W111" s="155"/>
      <c r="X111" s="155"/>
      <c r="Y111" s="155"/>
      <c r="Z111" s="155"/>
      <c r="AA111" s="155"/>
      <c r="AB111" s="155"/>
      <c r="AC111" s="155"/>
    </row>
    <row r="112" spans="1:34" s="30" customFormat="1" ht="12.75" customHeight="1" x14ac:dyDescent="0.2">
      <c r="A112" s="157">
        <f>Hulpblad_overig!B45</f>
        <v>1</v>
      </c>
      <c r="B112" s="413" t="s">
        <v>100</v>
      </c>
      <c r="C112" s="415"/>
      <c r="D112" s="43"/>
      <c r="E112" s="195">
        <v>0</v>
      </c>
      <c r="F112" s="43"/>
      <c r="G112" s="43"/>
      <c r="H112" s="537">
        <v>0</v>
      </c>
      <c r="I112" s="538"/>
      <c r="J112" s="539"/>
      <c r="L112" s="193">
        <v>0.02</v>
      </c>
      <c r="N112" s="42"/>
      <c r="O112" s="53">
        <f>IF($A$112=0,(E112*H112),0)</f>
        <v>0</v>
      </c>
      <c r="P112" s="57">
        <f t="shared" ref="P112:S113" si="60">O112*(1+$L112)</f>
        <v>0</v>
      </c>
      <c r="Q112" s="57">
        <f t="shared" si="60"/>
        <v>0</v>
      </c>
      <c r="R112" s="57">
        <f t="shared" si="60"/>
        <v>0</v>
      </c>
      <c r="S112" s="57">
        <f t="shared" si="60"/>
        <v>0</v>
      </c>
      <c r="T112" s="57">
        <f>IF($B$12&gt;5,S112*(1+$L112),"")</f>
        <v>0</v>
      </c>
      <c r="U112" s="57">
        <f>IF($B$12&gt;6,T112*(1+$L112),"")</f>
        <v>0</v>
      </c>
      <c r="V112" s="57">
        <f>IF($B$12&gt;7,U112*(1+$L112),"")</f>
        <v>0</v>
      </c>
      <c r="W112" s="57">
        <f t="shared" ref="W112:W113" si="61">IF($B$12&gt;8,V112*(1+$L112),"")</f>
        <v>0</v>
      </c>
      <c r="X112" s="57">
        <f>IF($B$12&gt;9,W112*(1+$L112),"")</f>
        <v>0</v>
      </c>
      <c r="Y112" s="57">
        <f>IF($B$12&gt;10,X112*(1+$L112),"")</f>
        <v>0</v>
      </c>
      <c r="Z112" s="57">
        <f>IF($B$12&gt;11,Y112*(1+$L112),"")</f>
        <v>0</v>
      </c>
      <c r="AA112" s="57">
        <f>IF($B$12&gt;12,Z112*(1+$L112),"")</f>
        <v>0</v>
      </c>
      <c r="AB112" s="57">
        <f>IF($B$12&gt;13,AA112*(1+$L112),"")</f>
        <v>0</v>
      </c>
      <c r="AC112" s="57">
        <f>IF($B$12&gt;14,AB112*(1+$L112),"")</f>
        <v>0</v>
      </c>
      <c r="AD112" s="57">
        <f>IF($B$12&gt;15,AC112*(1+$L112),"")</f>
        <v>0</v>
      </c>
      <c r="AE112" s="57">
        <f>IF($B$12&gt;16,AD112*(1+$L112),"")</f>
        <v>0</v>
      </c>
      <c r="AF112" s="57">
        <f>IF($B$12&gt;17,AE112*(1+$L112),"")</f>
        <v>0</v>
      </c>
      <c r="AG112" s="57">
        <f>IF($B$12&gt;18,AF112*(1+$L112),"")</f>
        <v>0</v>
      </c>
      <c r="AH112" s="57">
        <f>IF($B$12&gt;19,AG112*(1+$L112),"")</f>
        <v>0</v>
      </c>
    </row>
    <row r="113" spans="1:34" s="30" customFormat="1" ht="12.75" customHeight="1" x14ac:dyDescent="0.2">
      <c r="B113" s="418" t="s">
        <v>101</v>
      </c>
      <c r="C113" s="546"/>
      <c r="D113" s="43"/>
      <c r="E113" s="196">
        <v>0</v>
      </c>
      <c r="F113" s="43"/>
      <c r="G113" s="43"/>
      <c r="H113" s="547">
        <v>0</v>
      </c>
      <c r="I113" s="548"/>
      <c r="J113" s="549"/>
      <c r="L113" s="194">
        <v>0.02</v>
      </c>
      <c r="N113" s="42"/>
      <c r="O113" s="53">
        <f>IF($A$112=0,(E113*H113),0)</f>
        <v>0</v>
      </c>
      <c r="P113" s="57">
        <f t="shared" si="60"/>
        <v>0</v>
      </c>
      <c r="Q113" s="57">
        <f t="shared" si="60"/>
        <v>0</v>
      </c>
      <c r="R113" s="57">
        <f t="shared" si="60"/>
        <v>0</v>
      </c>
      <c r="S113" s="57">
        <f t="shared" si="60"/>
        <v>0</v>
      </c>
      <c r="T113" s="57">
        <f>IF($B$12&gt;5,S113*(1+$L113),"")</f>
        <v>0</v>
      </c>
      <c r="U113" s="57">
        <f>IF($B$12&gt;6,T113*(1+$L113),"")</f>
        <v>0</v>
      </c>
      <c r="V113" s="57">
        <f>IF($B$12&gt;7,U113*(1+$L113),"")</f>
        <v>0</v>
      </c>
      <c r="W113" s="57">
        <f t="shared" si="61"/>
        <v>0</v>
      </c>
      <c r="X113" s="57">
        <f>IF($B$12&gt;9,W113*(1+$L113),"")</f>
        <v>0</v>
      </c>
      <c r="Y113" s="57">
        <f>IF($B$12&gt;10,X113*(1+$L113),"")</f>
        <v>0</v>
      </c>
      <c r="Z113" s="57">
        <f>IF($B$12&gt;11,Y113*(1+$L113),"")</f>
        <v>0</v>
      </c>
      <c r="AA113" s="57">
        <f>IF($B$12&gt;12,Z113*(1+$L113),"")</f>
        <v>0</v>
      </c>
      <c r="AB113" s="57">
        <f>IF($B$12&gt;13,AA113*(1+$L113),"")</f>
        <v>0</v>
      </c>
      <c r="AC113" s="57">
        <f>IF($B$12&gt;14,AB113*(1+$L113),"")</f>
        <v>0</v>
      </c>
      <c r="AD113" s="57">
        <f>IF($B$12&gt;15,AC113*(1+$L113),"")</f>
        <v>0</v>
      </c>
      <c r="AE113" s="57">
        <f>IF($B$12&gt;16,AD113*(1+$L113),"")</f>
        <v>0</v>
      </c>
      <c r="AF113" s="57">
        <f>IF($B$12&gt;17,AE113*(1+$L113),"")</f>
        <v>0</v>
      </c>
      <c r="AG113" s="57">
        <f>IF($B$12&gt;18,AF113*(1+$L113),"")</f>
        <v>0</v>
      </c>
      <c r="AH113" s="57">
        <f>IF($B$12&gt;19,AG113*(1+$L113),"")</f>
        <v>0</v>
      </c>
    </row>
    <row r="114" spans="1:34" s="30" customFormat="1" ht="12.75" customHeight="1" x14ac:dyDescent="0.2">
      <c r="A114" s="12"/>
      <c r="B114" s="30" t="s">
        <v>102</v>
      </c>
      <c r="C114" s="43"/>
      <c r="D114" s="43"/>
      <c r="E114" s="43"/>
      <c r="F114" s="43"/>
      <c r="G114" s="43"/>
      <c r="H114" s="158"/>
      <c r="I114" s="43"/>
      <c r="J114" s="43"/>
      <c r="K114" s="43"/>
      <c r="L114" s="43"/>
      <c r="N114" s="42"/>
      <c r="O114" s="42">
        <f>SUM(O112:O113)</f>
        <v>0</v>
      </c>
      <c r="P114" s="42">
        <f t="shared" ref="P114:S114" si="62">SUM(P112:P113)</f>
        <v>0</v>
      </c>
      <c r="Q114" s="42">
        <f t="shared" si="62"/>
        <v>0</v>
      </c>
      <c r="R114" s="42">
        <f t="shared" si="62"/>
        <v>0</v>
      </c>
      <c r="S114" s="42">
        <f t="shared" si="62"/>
        <v>0</v>
      </c>
      <c r="T114" s="42">
        <f>IF($B$12&gt;5,SUM(T112:T113),"")</f>
        <v>0</v>
      </c>
      <c r="U114" s="42">
        <f>IF($B$12&gt;6,SUM(U112:U113),"")</f>
        <v>0</v>
      </c>
      <c r="V114" s="42">
        <f>IF($B$12&gt;7,SUM(V112:V113),"")</f>
        <v>0</v>
      </c>
      <c r="W114" s="42">
        <f>IF($B$12&gt;8,SUM(W112:W113),"")</f>
        <v>0</v>
      </c>
      <c r="X114" s="42">
        <f>IF($B$12&gt;9,SUM(X112:X113),"")</f>
        <v>0</v>
      </c>
      <c r="Y114" s="42">
        <f>IF($B$12&gt;10,SUM(Y112:Y113),"")</f>
        <v>0</v>
      </c>
      <c r="Z114" s="42">
        <f>IF($B$12&gt;11,SUM(Z112:Z113),"")</f>
        <v>0</v>
      </c>
      <c r="AA114" s="42">
        <f>IF($B$12&gt;12,SUM(AA112:AA113),"")</f>
        <v>0</v>
      </c>
      <c r="AB114" s="42">
        <f>IF($B$12&gt;13,SUM(AB112:AB113),"")</f>
        <v>0</v>
      </c>
      <c r="AC114" s="42">
        <f>IF($B$12&gt;14,SUM(AC112:AC113),"")</f>
        <v>0</v>
      </c>
      <c r="AD114" s="42">
        <f>IF($B$12&gt;15,SUM(AD112:AD113),"")</f>
        <v>0</v>
      </c>
      <c r="AE114" s="42">
        <f>IF($B$12&gt;16,SUM(AE112:AE113),"")</f>
        <v>0</v>
      </c>
      <c r="AF114" s="42">
        <f>IF($B$12&gt;17,SUM(AF112:AF113),"")</f>
        <v>0</v>
      </c>
      <c r="AG114" s="42">
        <f>IF($B$12&gt;18,SUM(AG112:AG113),"")</f>
        <v>0</v>
      </c>
      <c r="AH114" s="42">
        <f>IF($B$12&gt;19,SUM(AH112:AH113),"")</f>
        <v>0</v>
      </c>
    </row>
    <row r="115" spans="1:34" s="30" customFormat="1" ht="12.75" customHeight="1" x14ac:dyDescent="0.2">
      <c r="A115" s="12"/>
      <c r="B115" s="43"/>
      <c r="C115" s="43"/>
      <c r="D115" s="43"/>
      <c r="E115" s="43"/>
      <c r="F115" s="43"/>
      <c r="G115" s="43"/>
      <c r="H115" s="158"/>
      <c r="I115" s="43"/>
      <c r="J115" s="43"/>
      <c r="K115" s="43"/>
      <c r="L115" s="43"/>
      <c r="N115" s="42"/>
      <c r="O115" s="42"/>
      <c r="P115" s="42"/>
      <c r="Q115" s="42"/>
      <c r="R115" s="42"/>
      <c r="S115" s="42"/>
      <c r="T115" s="42"/>
      <c r="U115" s="42"/>
      <c r="V115" s="42"/>
      <c r="W115" s="42"/>
      <c r="X115" s="155"/>
      <c r="Y115" s="155"/>
      <c r="Z115" s="155"/>
      <c r="AA115" s="155"/>
      <c r="AB115" s="155"/>
      <c r="AC115" s="155"/>
    </row>
    <row r="116" spans="1:34" s="30" customFormat="1" ht="12.75" customHeight="1" x14ac:dyDescent="0.2">
      <c r="A116" s="30" t="s">
        <v>103</v>
      </c>
      <c r="B116" s="43"/>
      <c r="C116" s="43"/>
      <c r="D116" s="43"/>
      <c r="E116" s="43"/>
      <c r="F116" s="43"/>
      <c r="G116" s="43"/>
      <c r="H116" s="43"/>
      <c r="I116" s="43"/>
      <c r="J116" s="43"/>
      <c r="K116" s="43"/>
      <c r="L116" s="158"/>
      <c r="N116" s="42">
        <f>N91</f>
        <v>0</v>
      </c>
      <c r="O116" s="42">
        <f t="shared" ref="O116:S116" si="63">O91+O107+O114</f>
        <v>2.92E-2</v>
      </c>
      <c r="P116" s="42">
        <f t="shared" si="63"/>
        <v>2.9784000000000001E-2</v>
      </c>
      <c r="Q116" s="42">
        <f t="shared" si="63"/>
        <v>3.0379680000000003E-2</v>
      </c>
      <c r="R116" s="42">
        <f t="shared" si="63"/>
        <v>3.0987273600000004E-2</v>
      </c>
      <c r="S116" s="42">
        <f t="shared" si="63"/>
        <v>3.1607019072000003E-2</v>
      </c>
      <c r="T116" s="42">
        <f>IF($B$12&gt;5,T91+T107+T114,"")</f>
        <v>0</v>
      </c>
      <c r="U116" s="42">
        <f>IF($B$12&gt;6,U91+U107+U114,"")</f>
        <v>0</v>
      </c>
      <c r="V116" s="42">
        <f>IF($B$12&gt;7,V91+V107+V114,"")</f>
        <v>0</v>
      </c>
      <c r="W116" s="42">
        <f>IF($B$12&gt;8,W91+W107+W114,"")</f>
        <v>0</v>
      </c>
      <c r="X116" s="42">
        <f>IF($B$12&gt;9,X91+X107+X114,"")</f>
        <v>0</v>
      </c>
      <c r="Y116" s="42">
        <f>IF($B$12&gt;10,Y91+Y107+Y114,"")</f>
        <v>0</v>
      </c>
      <c r="Z116" s="42">
        <f>IF($B$12&gt;11,Z91+Z107+Z114,"")</f>
        <v>0</v>
      </c>
      <c r="AA116" s="42">
        <f>IF($B$12&gt;12,AA91+AA107+AA114,"")</f>
        <v>0</v>
      </c>
      <c r="AB116" s="42">
        <f>IF($B$12&gt;13,AB91+AB107+AB114,"")</f>
        <v>0</v>
      </c>
      <c r="AC116" s="42">
        <f>IF($B$12&gt;14,AC91+AC107+AC114,"")</f>
        <v>0</v>
      </c>
      <c r="AD116" s="42">
        <f>IF($B$12&gt;15,AD91+AD107+AD114,"")</f>
        <v>0</v>
      </c>
      <c r="AE116" s="42">
        <f>IF($B$12&gt;16,AE91+AE107+AE114,"")</f>
        <v>0</v>
      </c>
      <c r="AF116" s="42">
        <f>IF($B$12&gt;17,AF91+AF107+AF114,"")</f>
        <v>0</v>
      </c>
      <c r="AG116" s="42">
        <f>IF($B$12&gt;18,AG91+AG107+AG114,"")</f>
        <v>0</v>
      </c>
      <c r="AH116" s="42">
        <f>IF($B$12&gt;19,AH91+AH107+AH114,"")</f>
        <v>0</v>
      </c>
    </row>
    <row r="117" spans="1:34" s="30" customFormat="1" ht="12.75" customHeight="1" x14ac:dyDescent="0.25">
      <c r="B117" s="16" t="s">
        <v>426</v>
      </c>
      <c r="C117" s="43"/>
      <c r="D117" s="43"/>
      <c r="E117" s="16"/>
      <c r="F117" s="43"/>
      <c r="G117" s="43"/>
      <c r="H117" s="43"/>
      <c r="I117" s="43"/>
      <c r="J117" s="159"/>
      <c r="K117" s="43"/>
      <c r="L117" s="43"/>
      <c r="N117" s="43"/>
      <c r="O117" s="43"/>
      <c r="P117" s="43"/>
      <c r="Q117" s="43"/>
      <c r="R117" s="43"/>
      <c r="S117" s="43"/>
      <c r="T117" s="43"/>
      <c r="U117" s="43"/>
      <c r="V117" s="43"/>
      <c r="W117" s="11"/>
      <c r="X117" s="11"/>
      <c r="Y117" s="11"/>
      <c r="Z117" s="11"/>
      <c r="AA117" s="155"/>
      <c r="AB117" s="155"/>
      <c r="AC117" s="155"/>
    </row>
    <row r="118" spans="1:34" ht="12.75" customHeight="1" x14ac:dyDescent="0.25">
      <c r="A118" s="12" t="s">
        <v>104</v>
      </c>
      <c r="B118" s="550">
        <f>B12</f>
        <v>20</v>
      </c>
      <c r="C118" s="551"/>
      <c r="M118" s="165"/>
      <c r="N118" s="164"/>
      <c r="O118" s="57">
        <f t="shared" ref="O118:S118" si="64">$N$27/$B$118</f>
        <v>0</v>
      </c>
      <c r="P118" s="57">
        <f t="shared" si="64"/>
        <v>0</v>
      </c>
      <c r="Q118" s="57">
        <f t="shared" si="64"/>
        <v>0</v>
      </c>
      <c r="R118" s="57">
        <f t="shared" si="64"/>
        <v>0</v>
      </c>
      <c r="S118" s="57">
        <f t="shared" si="64"/>
        <v>0</v>
      </c>
      <c r="T118" s="57">
        <f>IF($B$12&gt;5,IF($B$118&gt;=T36,$N$27/$B$118,0),"")</f>
        <v>0</v>
      </c>
      <c r="U118" s="57">
        <f>IF($B$12&gt;6,IF($B$118&gt;=U36,$N$27/$B$118,0),"")</f>
        <v>0</v>
      </c>
      <c r="V118" s="57">
        <f>IF($B$12&gt;7,IF($B$118&gt;=V36,$N$27/$B$118,0),"")</f>
        <v>0</v>
      </c>
      <c r="W118" s="57">
        <f>IF($B$12&gt;8,IF($B$118&gt;=W36,$N$27/$B$118,0),"")</f>
        <v>0</v>
      </c>
      <c r="X118" s="57">
        <f>IF($B$12&gt;9,IF($B$118&gt;=X36,$N$27/$B$118,0),"")</f>
        <v>0</v>
      </c>
      <c r="Y118" s="57">
        <f>IF($B$12&gt;10,IF($B$118&gt;=Y36,$N$27/$B$118,0),"")</f>
        <v>0</v>
      </c>
      <c r="Z118" s="57">
        <f>IF($B$12&gt;11,IF($B$118&gt;=Z36,$N$27/$B$118,0),"")</f>
        <v>0</v>
      </c>
      <c r="AA118" s="57">
        <f>IF($B$12&gt;12,IF($B$118&gt;=AA36,$N$27/$B$118,0),"")</f>
        <v>0</v>
      </c>
      <c r="AB118" s="57">
        <f>IF($B$12&gt;13,IF($B$118&gt;=AB36,$N$27/$B$118,0),"")</f>
        <v>0</v>
      </c>
      <c r="AC118" s="57">
        <f>IF($B$12&gt;14,IF($B$118&gt;=AC36,$N$27/$B$118,0),"")</f>
        <v>0</v>
      </c>
      <c r="AD118" s="57">
        <f>IF($B$12&gt;15,IF($B$118&gt;=AD36,$N$27/$B$118,0),"")</f>
        <v>0</v>
      </c>
      <c r="AE118" s="57">
        <f>IF($B$12&gt;16,IF($B$118&gt;=AE36,$N$27/$B$118,0),"")</f>
        <v>0</v>
      </c>
      <c r="AF118" s="57">
        <f>IF($B$12&gt;17,IF($B$118&gt;=AF36,$N$27/$B$118,0),"")</f>
        <v>0</v>
      </c>
      <c r="AG118" s="57">
        <f>IF($B$12&gt;18,IF($B$118&gt;=AG36,$N$27/$B$118,0),"")</f>
        <v>0</v>
      </c>
      <c r="AH118" s="57">
        <f>IF($B$12&gt;19,IF($B$118&gt;=AH36,$N$27/$B$118,0),"")</f>
        <v>0</v>
      </c>
    </row>
    <row r="119" spans="1:34" ht="12.75" hidden="1" customHeight="1" x14ac:dyDescent="0.25">
      <c r="A119" s="12" t="s">
        <v>105</v>
      </c>
      <c r="L119" s="12"/>
      <c r="M119" s="161"/>
      <c r="N119" s="164"/>
      <c r="O119" s="57">
        <f t="shared" ref="O119:V119" si="65">IF(O36&gt;$E$34,0,IPMT($L$34,O36,$E$34,$L$31))*-1</f>
        <v>0</v>
      </c>
      <c r="P119" s="57">
        <f t="shared" si="65"/>
        <v>0</v>
      </c>
      <c r="Q119" s="57">
        <f t="shared" si="65"/>
        <v>0</v>
      </c>
      <c r="R119" s="57">
        <f t="shared" si="65"/>
        <v>0</v>
      </c>
      <c r="S119" s="57">
        <f t="shared" si="65"/>
        <v>0</v>
      </c>
      <c r="T119" s="57">
        <f t="shared" si="65"/>
        <v>0</v>
      </c>
      <c r="U119" s="57">
        <f t="shared" si="65"/>
        <v>0</v>
      </c>
      <c r="V119" s="57">
        <f t="shared" si="65"/>
        <v>0</v>
      </c>
      <c r="W119" s="57">
        <f>IF($B$12&gt;8,IF(W36&gt;$E$34,0,IPMT($L$34,W36,$E$34,$L$31))*-1,"")</f>
        <v>0</v>
      </c>
      <c r="X119" s="57">
        <f>IF($B$12&gt;9,IF(X36&gt;$E$34,0,IPMT($L$34,X36,$E$34,$L$31))*-1,"")</f>
        <v>0</v>
      </c>
      <c r="Y119" s="57">
        <f>IF($B$12&gt;10,IF(Y36&gt;$E$34,0,IPMT($L$34,Y36,$E$34,$L$31))*-1,"")</f>
        <v>0</v>
      </c>
      <c r="Z119" s="57">
        <f>IF($B$12&gt;11,IF(Z36&gt;$E$34,0,IPMT($L$34,Z36,$E$34,$L$31))*-1,"")</f>
        <v>0</v>
      </c>
      <c r="AA119" s="57">
        <f>IF($B$12&gt;12,IF(AA36&gt;$E$34,0,IPMT($L$34,AA36,$E$34,$L$31))*-1,"")</f>
        <v>0</v>
      </c>
      <c r="AB119" s="57">
        <f>IF($B$12&gt;13,IF(AB36&gt;$E$34,0,IPMT($L$34,AB36,$E$34,$L$31))*-1,"")</f>
        <v>0</v>
      </c>
      <c r="AC119" s="57">
        <f>IF($B$12&gt;14,IF(AC36&gt;$E$34,0,IPMT($L$34,AC36,$E$34,$L$31))*-1,"")</f>
        <v>0</v>
      </c>
      <c r="AD119" s="57">
        <f>IF($B$12&gt;15,IF(AD36&gt;$E$34,0,IPMT($L$34,AD36,$E$34,$L$31))*-1,"")</f>
        <v>0</v>
      </c>
      <c r="AE119" s="57">
        <f>IF($B$12&gt;16,IF(AE36&gt;$E$34,0,IPMT($L$34,AE36,$E$34,$L$31))*-1,"")</f>
        <v>0</v>
      </c>
      <c r="AF119" s="57">
        <f>IF($B$12&gt;17,IF(AF36&gt;$E$34,0,IPMT($L$34,AF36,$E$34,$L$31))*-1,"")</f>
        <v>0</v>
      </c>
      <c r="AG119" s="57">
        <f>IF($B$12&gt;18,IF(AG36&gt;$E$34,0,IPMT($L$34,AG36,$E$34,$L$31))*-1,"")</f>
        <v>0</v>
      </c>
      <c r="AH119" s="57">
        <f>IF($B$12&gt;19,IF(AH36&gt;$E$34,0,IPMT($L$34,AH36,$E$34,$L$31))*-1,"")</f>
        <v>0</v>
      </c>
    </row>
    <row r="120" spans="1:34" ht="12.75" hidden="1" customHeight="1" x14ac:dyDescent="0.25">
      <c r="A120" s="12" t="s">
        <v>106</v>
      </c>
      <c r="M120" s="161"/>
      <c r="N120" s="164"/>
      <c r="O120" s="57">
        <f t="shared" ref="O120:V120" si="66">IF(O36&gt;$E$34,0,PPMT($L$34,O36,$E$34,$L$31))*-1</f>
        <v>0</v>
      </c>
      <c r="P120" s="57">
        <f t="shared" si="66"/>
        <v>0</v>
      </c>
      <c r="Q120" s="57">
        <f t="shared" si="66"/>
        <v>0</v>
      </c>
      <c r="R120" s="57">
        <f t="shared" si="66"/>
        <v>0</v>
      </c>
      <c r="S120" s="57">
        <f t="shared" si="66"/>
        <v>0</v>
      </c>
      <c r="T120" s="57">
        <f t="shared" si="66"/>
        <v>0</v>
      </c>
      <c r="U120" s="57">
        <f t="shared" si="66"/>
        <v>0</v>
      </c>
      <c r="V120" s="57">
        <f t="shared" si="66"/>
        <v>0</v>
      </c>
      <c r="W120" s="57">
        <f>IF($B$12&gt;8,IF(W36&gt;$E$34,0,PPMT($L$34,W36,$E$34,$L$31))*-1,"")</f>
        <v>0</v>
      </c>
      <c r="X120" s="57">
        <f>IF($B$12&gt;9,IF(X36&gt;$E$34,0,PPMT($L$34,X36,$E$34,$L$31))*-1,"")</f>
        <v>0</v>
      </c>
      <c r="Y120" s="57">
        <f>IF($B$12&gt;10,IF(Y36&gt;$E$34,0,PPMT($L$34,Y36,$E$34,$L$31))*-1,"")</f>
        <v>0</v>
      </c>
      <c r="Z120" s="57">
        <f>IF($B$12&gt;11,IF(Z36&gt;$E$34,0,PPMT($L$34,Z36,$E$34,$L$31))*-1,"")</f>
        <v>0</v>
      </c>
      <c r="AA120" s="57">
        <f>IF($B$12&gt;12,IF(AA36&gt;$E$34,0,PPMT($L$34,AA36,$E$34,$L$31))*-1,"")</f>
        <v>0</v>
      </c>
      <c r="AB120" s="57">
        <f>IF($B$12&gt;13,IF(AB36&gt;$E$34,0,PPMT($L$34,AB36,$E$34,$L$31))*-1,"")</f>
        <v>0</v>
      </c>
      <c r="AC120" s="57">
        <f>IF($B$12&gt;14,IF(AC36&gt;$E$34,0,PPMT($L$34,AC36,$E$34,$L$31))*-1,"")</f>
        <v>0</v>
      </c>
      <c r="AD120" s="57">
        <f>IF($B$12&gt;15,IF(AD36&gt;$E$34,0,PPMT($L$34,AD36,$E$34,$L$31))*-1,"")</f>
        <v>0</v>
      </c>
      <c r="AE120" s="57">
        <f>IF($B$12&gt;16,IF(AE36&gt;$E$34,0,PPMT($L$34,AE36,$E$34,$L$31))*-1,"")</f>
        <v>0</v>
      </c>
      <c r="AF120" s="57">
        <f>IF($B$12&gt;17,IF(AF36&gt;$E$34,0,PPMT($L$34,AF36,$E$34,$L$31))*-1,"")</f>
        <v>0</v>
      </c>
      <c r="AG120" s="57">
        <f>IF($B$12&gt;18,IF(AG36&gt;$E$34,0,PPMT($L$34,AG36,$E$34,$L$31))*-1,"")</f>
        <v>0</v>
      </c>
      <c r="AH120" s="57">
        <f>IF($B$12&gt;19,IF(AH36&gt;$E$34,0,PPMT($L$34,AH36,$E$34,$L$31))*-1,"")</f>
        <v>0</v>
      </c>
    </row>
    <row r="121" spans="1:34" ht="12.75" hidden="1" customHeight="1" x14ac:dyDescent="0.25">
      <c r="A121" s="12" t="s">
        <v>107</v>
      </c>
      <c r="M121" s="161"/>
      <c r="N121" s="164"/>
      <c r="O121" s="57" t="e">
        <f>$L$31*$L$34</f>
        <v>#DIV/0!</v>
      </c>
      <c r="P121" s="57" t="e">
        <f t="shared" ref="P121:V121" si="67">O123*$L$34</f>
        <v>#DIV/0!</v>
      </c>
      <c r="Q121" s="57" t="e">
        <f t="shared" si="67"/>
        <v>#DIV/0!</v>
      </c>
      <c r="R121" s="57" t="e">
        <f t="shared" si="67"/>
        <v>#DIV/0!</v>
      </c>
      <c r="S121" s="57" t="e">
        <f t="shared" si="67"/>
        <v>#DIV/0!</v>
      </c>
      <c r="T121" s="57" t="e">
        <f t="shared" si="67"/>
        <v>#DIV/0!</v>
      </c>
      <c r="U121" s="57" t="e">
        <f t="shared" si="67"/>
        <v>#DIV/0!</v>
      </c>
      <c r="V121" s="57" t="e">
        <f t="shared" si="67"/>
        <v>#DIV/0!</v>
      </c>
      <c r="W121" s="57" t="e">
        <f>IF($B$12&gt;8,V123*$L$34,"")</f>
        <v>#DIV/0!</v>
      </c>
      <c r="X121" s="57" t="e">
        <f>IF($B$12&gt;9,W123*$L$34,"")</f>
        <v>#DIV/0!</v>
      </c>
      <c r="Y121" s="57" t="e">
        <f>IF($B$12&gt;10,X123*$L$34,"")</f>
        <v>#DIV/0!</v>
      </c>
      <c r="Z121" s="57" t="e">
        <f>IF($B$12&gt;11,Y123*$L$34,"")</f>
        <v>#DIV/0!</v>
      </c>
      <c r="AA121" s="57" t="e">
        <f>IF($B$12&gt;12,Z123*$L$34,"")</f>
        <v>#DIV/0!</v>
      </c>
      <c r="AB121" s="57" t="e">
        <f>IF($B$12&gt;13,AA123*$L$34,"")</f>
        <v>#DIV/0!</v>
      </c>
      <c r="AC121" s="57" t="e">
        <f>IF($B$12&gt;14,AB123*$L$34,"")</f>
        <v>#DIV/0!</v>
      </c>
      <c r="AD121" s="57" t="e">
        <f>IF($B$12&gt;15,AC123*$L$34,"")</f>
        <v>#DIV/0!</v>
      </c>
      <c r="AE121" s="57" t="e">
        <f>IF($B$12&gt;16,AD123*$L$34,"")</f>
        <v>#DIV/0!</v>
      </c>
      <c r="AF121" s="57" t="e">
        <f>IF($B$12&gt;17,AE123*$L$34,"")</f>
        <v>#DIV/0!</v>
      </c>
      <c r="AG121" s="57" t="e">
        <f>IF($B$12&gt;18,AF123*$L$34,"")</f>
        <v>#DIV/0!</v>
      </c>
      <c r="AH121" s="57" t="e">
        <f>IF($B$12&gt;19,AG123*$L$34,"")</f>
        <v>#DIV/0!</v>
      </c>
    </row>
    <row r="122" spans="1:34" ht="12.75" hidden="1" customHeight="1" x14ac:dyDescent="0.25">
      <c r="A122" s="12" t="s">
        <v>108</v>
      </c>
      <c r="M122" s="161"/>
      <c r="N122" s="164"/>
      <c r="O122" s="57">
        <f t="shared" ref="O122:V122" si="68">IF(O36&gt;$E$34,0,$L$31/$E34)</f>
        <v>0</v>
      </c>
      <c r="P122" s="57">
        <f t="shared" si="68"/>
        <v>0</v>
      </c>
      <c r="Q122" s="57">
        <f t="shared" si="68"/>
        <v>0</v>
      </c>
      <c r="R122" s="57">
        <f t="shared" si="68"/>
        <v>0</v>
      </c>
      <c r="S122" s="57">
        <f t="shared" si="68"/>
        <v>0</v>
      </c>
      <c r="T122" s="57">
        <f t="shared" si="68"/>
        <v>0</v>
      </c>
      <c r="U122" s="57">
        <f t="shared" si="68"/>
        <v>0</v>
      </c>
      <c r="V122" s="57">
        <f t="shared" si="68"/>
        <v>0</v>
      </c>
      <c r="W122" s="57">
        <f>IF($B$12&gt;8,IF(W36&gt;$E$34,0,$L$31/$E34),"")</f>
        <v>0</v>
      </c>
      <c r="X122" s="57">
        <f>IF($B$12&gt;9,IF(X36&gt;$E$34,0,$L$31/$E34),"")</f>
        <v>0</v>
      </c>
      <c r="Y122" s="57">
        <f>IF($B$12&gt;10,IF(Y36&gt;$E$34,0,$L$31/$E34),"")</f>
        <v>0</v>
      </c>
      <c r="Z122" s="57">
        <f>IF($B$12&gt;11,IF(Z36&gt;$E$34,0,$L$31/$E34),"")</f>
        <v>0</v>
      </c>
      <c r="AA122" s="57">
        <f>IF($B$12&gt;12,IF(AA36&gt;$E$34,0,$L$31/$E34),"")</f>
        <v>0</v>
      </c>
      <c r="AB122" s="57">
        <f>IF($B$12&gt;13,IF(AB36&gt;$E$34,0,$L$31/$E34),"")</f>
        <v>0</v>
      </c>
      <c r="AC122" s="57">
        <f>IF($B$12&gt;14,IF(AC36&gt;$E$34,0,$L$31/$E34),"")</f>
        <v>0</v>
      </c>
      <c r="AD122" s="57">
        <f>IF($B$12&gt;15,IF(AD36&gt;$E$34,0,$L$31/$E34),"")</f>
        <v>0</v>
      </c>
      <c r="AE122" s="57">
        <f>IF($B$12&gt;16,IF(AE36&gt;$E$34,0,$L$31/$E34),"")</f>
        <v>0</v>
      </c>
      <c r="AF122" s="57">
        <f>IF($B$12&gt;17,IF(AF36&gt;$E$34,0,$L$31/$E34),"")</f>
        <v>0</v>
      </c>
      <c r="AG122" s="57">
        <f>IF($B$12&gt;18,IF(AG36&gt;$E$34,0,$L$31/$E34),"")</f>
        <v>0</v>
      </c>
      <c r="AH122" s="57">
        <f>IF($B$12&gt;19,IF(AH36&gt;$E$34,0,$L$31/$E34),"")</f>
        <v>0</v>
      </c>
    </row>
    <row r="123" spans="1:34" ht="12.75" hidden="1" customHeight="1" x14ac:dyDescent="0.25">
      <c r="A123" s="12" t="s">
        <v>109</v>
      </c>
      <c r="M123" s="161"/>
      <c r="N123" s="164"/>
      <c r="O123" s="57" t="e">
        <f>$L$31-O122</f>
        <v>#DIV/0!</v>
      </c>
      <c r="P123" s="57" t="e">
        <f>O123-P122</f>
        <v>#DIV/0!</v>
      </c>
      <c r="Q123" s="57" t="e">
        <f t="shared" ref="Q123:V123" si="69">P123-Q122</f>
        <v>#DIV/0!</v>
      </c>
      <c r="R123" s="57" t="e">
        <f t="shared" si="69"/>
        <v>#DIV/0!</v>
      </c>
      <c r="S123" s="57" t="e">
        <f t="shared" si="69"/>
        <v>#DIV/0!</v>
      </c>
      <c r="T123" s="57" t="e">
        <f t="shared" si="69"/>
        <v>#DIV/0!</v>
      </c>
      <c r="U123" s="57" t="e">
        <f t="shared" si="69"/>
        <v>#DIV/0!</v>
      </c>
      <c r="V123" s="57" t="e">
        <f t="shared" si="69"/>
        <v>#DIV/0!</v>
      </c>
      <c r="W123" s="57" t="e">
        <f>IF($B$12&gt;8,V123-W122,"")</f>
        <v>#DIV/0!</v>
      </c>
      <c r="X123" s="57" t="e">
        <f>IF($B$12&gt;9,W123-X122,"")</f>
        <v>#DIV/0!</v>
      </c>
      <c r="Y123" s="57" t="e">
        <f>IF($B$12&gt;10,X123-Y122,"")</f>
        <v>#DIV/0!</v>
      </c>
      <c r="Z123" s="57" t="e">
        <f>IF($B$12&gt;11,Y123-Z122,"")</f>
        <v>#DIV/0!</v>
      </c>
      <c r="AA123" s="57" t="e">
        <f>IF($B$12&gt;12,Z123-AA122,"")</f>
        <v>#DIV/0!</v>
      </c>
      <c r="AB123" s="57" t="e">
        <f>IF($B$12&gt;13,AA123-AB122,"")</f>
        <v>#DIV/0!</v>
      </c>
      <c r="AC123" s="57" t="e">
        <f>IF($B$12&gt;14,AB123-AC122,"")</f>
        <v>#DIV/0!</v>
      </c>
      <c r="AD123" s="57" t="e">
        <f>IF($B$12&gt;15,AC123-AD122,"")</f>
        <v>#DIV/0!</v>
      </c>
      <c r="AE123" s="57" t="e">
        <f>IF($B$12&gt;16,AD123-AE122,"")</f>
        <v>#DIV/0!</v>
      </c>
      <c r="AF123" s="57" t="e">
        <f>IF($B$12&gt;17,AE123-AF122,"")</f>
        <v>#DIV/0!</v>
      </c>
      <c r="AG123" s="57" t="e">
        <f>IF($B$12&gt;18,AF123-AG122,"")</f>
        <v>#DIV/0!</v>
      </c>
      <c r="AH123" s="57" t="e">
        <f>IF($B$12&gt;19,AG123-AH122,"")</f>
        <v>#DIV/0!</v>
      </c>
    </row>
    <row r="124" spans="1:34" ht="12.75" hidden="1" customHeight="1" x14ac:dyDescent="0.25">
      <c r="A124" s="12"/>
      <c r="M124" s="161"/>
      <c r="N124" s="164"/>
      <c r="O124" s="57"/>
      <c r="P124" s="57"/>
      <c r="Q124" s="57"/>
      <c r="R124" s="57"/>
      <c r="S124" s="57"/>
      <c r="T124" s="57"/>
      <c r="U124" s="57"/>
      <c r="V124" s="57"/>
      <c r="W124" s="219"/>
      <c r="X124" s="219"/>
      <c r="Y124" s="219"/>
      <c r="Z124" s="219"/>
      <c r="AA124" s="219"/>
      <c r="AB124" s="219"/>
      <c r="AC124" s="219"/>
    </row>
    <row r="125" spans="1:34" ht="12.75" customHeight="1" x14ac:dyDescent="0.25">
      <c r="A125" s="12" t="str">
        <f>IF(Hulpblad_overig!$A$32=1,A119,IF(Hulpblad_overig!$A$32=2,A121,0))</f>
        <v>Rentelasten annuïteitenlening</v>
      </c>
      <c r="B125" s="62">
        <f>E34</f>
        <v>0</v>
      </c>
      <c r="C125" s="70" t="s">
        <v>110</v>
      </c>
      <c r="D125" s="70"/>
      <c r="E125" s="70"/>
      <c r="F125" s="70"/>
      <c r="G125" s="70"/>
      <c r="H125" s="70"/>
      <c r="I125" s="71"/>
      <c r="J125" s="71"/>
      <c r="K125" s="61"/>
      <c r="M125" s="161"/>
      <c r="N125" s="164"/>
      <c r="O125" s="57">
        <f>IF(Hulpblad_overig!$A$32=1,O119,IF(Hulpblad_overig!$A$32=2,O121,0))</f>
        <v>0</v>
      </c>
      <c r="P125" s="57">
        <f>IF(Hulpblad_overig!$A$32=1,P119,IF(Hulpblad_overig!$A$32=2,P121,0))</f>
        <v>0</v>
      </c>
      <c r="Q125" s="57">
        <f>IF(Hulpblad_overig!$A$32=1,Q119,IF(Hulpblad_overig!$A$32=2,Q121,0))</f>
        <v>0</v>
      </c>
      <c r="R125" s="57">
        <f>IF(Hulpblad_overig!$A$32=1,R119,IF(Hulpblad_overig!$A$32=2,R121,0))</f>
        <v>0</v>
      </c>
      <c r="S125" s="57">
        <f>IF(Hulpblad_overig!$A$32=1,S119,IF(Hulpblad_overig!$A$32=2,S121,0))</f>
        <v>0</v>
      </c>
      <c r="T125" s="57">
        <f>IF($B$12&gt;5,IF(Hulpblad_overig!$A$32=1,T119,IF(Hulpblad_overig!$A$32=2,T121,0)),"")</f>
        <v>0</v>
      </c>
      <c r="U125" s="57">
        <f>IF($B$12&gt;6,IF(Hulpblad_overig!$A$32=1,U119,IF(Hulpblad_overig!$A$32=2,U121,0)),"")</f>
        <v>0</v>
      </c>
      <c r="V125" s="57">
        <f>IF($B$12&gt;7,IF(Hulpblad_overig!$A$32=1,V119,IF(Hulpblad_overig!$A$32=2,V121,0)),"")</f>
        <v>0</v>
      </c>
      <c r="W125" s="57">
        <f>IF($B$12&gt;8,IF(Hulpblad_overig!$A$32=1,W119,IF(Hulpblad_overig!$A$32=2,W121,0)),"")</f>
        <v>0</v>
      </c>
      <c r="X125" s="57">
        <f>IF($B$12&gt;9,IF(Hulpblad_overig!$A$32=1,X119,IF(Hulpblad_overig!$A$32=2,X121,0)),"")</f>
        <v>0</v>
      </c>
      <c r="Y125" s="57">
        <f>IF($B$12&gt;10,IF(Hulpblad_overig!$A$32=1,Y119,IF(Hulpblad_overig!$A$32=2,Y121,0)),"")</f>
        <v>0</v>
      </c>
      <c r="Z125" s="57">
        <f>IF($B$12&gt;11,IF(Hulpblad_overig!$A$32=1,Z119,IF(Hulpblad_overig!$A$32=2,Z121,0)),"")</f>
        <v>0</v>
      </c>
      <c r="AA125" s="57">
        <f>IF($B$12&gt;12,IF(Hulpblad_overig!$A$32=1,AA119,IF(Hulpblad_overig!$A$32=2,AA121,0)),"")</f>
        <v>0</v>
      </c>
      <c r="AB125" s="57">
        <f>IF($B$12&gt;13,IF(Hulpblad_overig!$A$32=1,AB119,IF(Hulpblad_overig!$A$32=2,AB121,0)),"")</f>
        <v>0</v>
      </c>
      <c r="AC125" s="57">
        <f>IF($B$12&gt;14,IF(Hulpblad_overig!$A$32=1,AC119,IF(Hulpblad_overig!$A$32=2,AC121,0)),"")</f>
        <v>0</v>
      </c>
      <c r="AD125" s="57">
        <f>IF($B$12&gt;15,IF(Hulpblad_overig!$A$32=1,AD119,IF(Hulpblad_overig!$A$32=2,AD121,0)),"")</f>
        <v>0</v>
      </c>
      <c r="AE125" s="57">
        <f>IF($B$12&gt;16,IF(Hulpblad_overig!$A$32=1,AE119,IF(Hulpblad_overig!$A$32=2,AE121,0)),"")</f>
        <v>0</v>
      </c>
      <c r="AF125" s="57">
        <f>IF($B$12&gt;17,IF(Hulpblad_overig!$A$32=1,AF119,IF(Hulpblad_overig!$A$32=2,AF121,0)),"")</f>
        <v>0</v>
      </c>
      <c r="AG125" s="57">
        <f>IF($B$12&gt;18,IF(Hulpblad_overig!$A$32=1,AG119,IF(Hulpblad_overig!$A$32=2,AG121,0)),"")</f>
        <v>0</v>
      </c>
      <c r="AH125" s="57">
        <f>IF($B$12&gt;19,IF(Hulpblad_overig!$A$32=1,AH119,IF(Hulpblad_overig!$A$32=2,AH121,0)),"")</f>
        <v>0</v>
      </c>
    </row>
    <row r="126" spans="1:34" ht="12.75" customHeight="1" x14ac:dyDescent="0.25">
      <c r="A126" s="12" t="str">
        <f>IF(Hulpblad_overig!$A$32=1,A120,IF(Hulpblad_overig!$A$32=2,A122,0))</f>
        <v>Aflossingen annuïteitenlening</v>
      </c>
      <c r="B126" s="69">
        <f>E34</f>
        <v>0</v>
      </c>
      <c r="C126" s="70" t="s">
        <v>110</v>
      </c>
      <c r="D126" s="70"/>
      <c r="E126" s="70"/>
      <c r="F126" s="70"/>
      <c r="G126" s="70"/>
      <c r="H126" s="70"/>
      <c r="I126" s="71"/>
      <c r="J126" s="71"/>
      <c r="K126" s="61"/>
      <c r="M126" s="161"/>
      <c r="N126" s="164"/>
      <c r="O126" s="57">
        <f>IF(Hulpblad_overig!$A$32=1,O120,IF(Hulpblad_overig!$A$32=2,O122,0))</f>
        <v>0</v>
      </c>
      <c r="P126" s="57">
        <f>IF(Hulpblad_overig!$A$32=1,P120,IF(Hulpblad_overig!$A$32=2,P122,0))</f>
        <v>0</v>
      </c>
      <c r="Q126" s="57">
        <f>IF(Hulpblad_overig!$A$32=1,Q120,IF(Hulpblad_overig!$A$32=2,Q122,0))</f>
        <v>0</v>
      </c>
      <c r="R126" s="57">
        <f>IF(Hulpblad_overig!$A$32=1,R120,IF(Hulpblad_overig!$A$32=2,R122,0))</f>
        <v>0</v>
      </c>
      <c r="S126" s="57">
        <f>IF(Hulpblad_overig!$A$32=1,S120,IF(Hulpblad_overig!$A$32=2,S122,0))</f>
        <v>0</v>
      </c>
      <c r="T126" s="57">
        <f>IF($B$12&gt;5,IF(Hulpblad_overig!$A$32=1,T120,IF(Hulpblad_overig!$A$32=2,T122,0)),"")</f>
        <v>0</v>
      </c>
      <c r="U126" s="57">
        <f>IF($B$12&gt;6,IF(Hulpblad_overig!$A$32=1,U120,IF(Hulpblad_overig!$A$32=2,U122,0)),"")</f>
        <v>0</v>
      </c>
      <c r="V126" s="57">
        <f>IF($B$12&gt;7,IF(Hulpblad_overig!$A$32=1,V120,IF(Hulpblad_overig!$A$32=2,V122,0)),"")</f>
        <v>0</v>
      </c>
      <c r="W126" s="57">
        <f>IF($B$12&gt;8,IF(Hulpblad_overig!$A$32=1,W120,IF(Hulpblad_overig!$A$32=2,W122,0)),"")</f>
        <v>0</v>
      </c>
      <c r="X126" s="57">
        <f>IF($B$12&gt;9,IF(Hulpblad_overig!$A$32=1,X120,IF(Hulpblad_overig!$A$32=2,X122,0)),"")</f>
        <v>0</v>
      </c>
      <c r="Y126" s="57">
        <f>IF($B$12&gt;10,IF(Hulpblad_overig!$A$32=1,Y120,IF(Hulpblad_overig!$A$32=2,Y122,0)),"")</f>
        <v>0</v>
      </c>
      <c r="Z126" s="57">
        <f>IF($B$12&gt;11,IF(Hulpblad_overig!$A$32=1,Z120,IF(Hulpblad_overig!$A$32=2,Z122,0)),"")</f>
        <v>0</v>
      </c>
      <c r="AA126" s="57">
        <f>IF($B$12&gt;12,IF(Hulpblad_overig!$A$32=1,AA120,IF(Hulpblad_overig!$A$32=2,AA122,0)),"")</f>
        <v>0</v>
      </c>
      <c r="AB126" s="57">
        <f>IF($B$12&gt;13,IF(Hulpblad_overig!$A$32=1,AB120,IF(Hulpblad_overig!$A$32=2,AB122,0)),"")</f>
        <v>0</v>
      </c>
      <c r="AC126" s="57">
        <f>IF($B$12&gt;14,IF(Hulpblad_overig!$A$32=1,AC120,IF(Hulpblad_overig!$A$32=2,AC122,0)),"")</f>
        <v>0</v>
      </c>
      <c r="AD126" s="57">
        <f>IF($B$12&gt;15,IF(Hulpblad_overig!$A$32=1,AD120,IF(Hulpblad_overig!$A$32=2,AD122,0)),"")</f>
        <v>0</v>
      </c>
      <c r="AE126" s="57">
        <f>IF($B$12&gt;16,IF(Hulpblad_overig!$A$32=1,AE120,IF(Hulpblad_overig!$A$32=2,AE122,0)),"")</f>
        <v>0</v>
      </c>
      <c r="AF126" s="57">
        <f>IF($B$12&gt;17,IF(Hulpblad_overig!$A$32=1,AF120,IF(Hulpblad_overig!$A$32=2,AF122,0)),"")</f>
        <v>0</v>
      </c>
      <c r="AG126" s="57">
        <f>IF($B$12&gt;18,IF(Hulpblad_overig!$A$32=1,AG120,IF(Hulpblad_overig!$A$32=2,AG122,0)),"")</f>
        <v>0</v>
      </c>
      <c r="AH126" s="57">
        <f>IF($B$12&gt;19,IF(Hulpblad_overig!$A$32=1,AH120,IF(Hulpblad_overig!$A$32=2,AH122,0)),"")</f>
        <v>0</v>
      </c>
    </row>
    <row r="127" spans="1:34" ht="12.75" customHeight="1" x14ac:dyDescent="0.25">
      <c r="A127" s="12"/>
      <c r="M127" s="161"/>
      <c r="N127" s="164"/>
      <c r="O127" s="164"/>
      <c r="P127" s="164"/>
      <c r="Q127" s="164"/>
      <c r="R127" s="164"/>
      <c r="S127" s="164"/>
      <c r="T127" s="164"/>
      <c r="U127" s="164"/>
      <c r="V127" s="164"/>
      <c r="W127" s="219"/>
      <c r="X127" s="219"/>
      <c r="Y127" s="219"/>
      <c r="Z127" s="219"/>
      <c r="AA127" s="219"/>
      <c r="AB127" s="219"/>
      <c r="AC127" s="219"/>
    </row>
    <row r="128" spans="1:34" s="30" customFormat="1" ht="12.75" customHeight="1" x14ac:dyDescent="0.2">
      <c r="A128" s="66" t="s">
        <v>111</v>
      </c>
      <c r="N128" s="42">
        <f t="shared" ref="N128:S128" si="70">N116+N118+N125</f>
        <v>0</v>
      </c>
      <c r="O128" s="42">
        <f t="shared" si="70"/>
        <v>2.92E-2</v>
      </c>
      <c r="P128" s="42">
        <f t="shared" si="70"/>
        <v>2.9784000000000001E-2</v>
      </c>
      <c r="Q128" s="42">
        <f t="shared" si="70"/>
        <v>3.0379680000000003E-2</v>
      </c>
      <c r="R128" s="42">
        <f t="shared" si="70"/>
        <v>3.0987273600000004E-2</v>
      </c>
      <c r="S128" s="42">
        <f t="shared" si="70"/>
        <v>3.1607019072000003E-2</v>
      </c>
      <c r="T128" s="42">
        <f>IF($B$12&gt;5,T116+T118+T125,"")</f>
        <v>0</v>
      </c>
      <c r="U128" s="42">
        <f>IF($B$12&gt;6,U116+U118+U125,"")</f>
        <v>0</v>
      </c>
      <c r="V128" s="42">
        <f>IF($B$12&gt;7,V116+V118+V125,"")</f>
        <v>0</v>
      </c>
      <c r="W128" s="42">
        <f>IF($B$12&gt;8,W116+W118+W125,"")</f>
        <v>0</v>
      </c>
      <c r="X128" s="42">
        <f>IF($B$12&gt;9,X116+X118+X125,"")</f>
        <v>0</v>
      </c>
      <c r="Y128" s="42">
        <f>IF($B$12&gt;10,Y116+Y118+Y125,"")</f>
        <v>0</v>
      </c>
      <c r="Z128" s="42">
        <f>IF($B$12&gt;11,Z116+Z118+Z125,"")</f>
        <v>0</v>
      </c>
      <c r="AA128" s="42">
        <f>IF($B$12&gt;12,AA116+AA118+AA125,"")</f>
        <v>0</v>
      </c>
      <c r="AB128" s="42">
        <f>IF($B$12&gt;13,AB116+AB118+AB125,"")</f>
        <v>0</v>
      </c>
      <c r="AC128" s="42">
        <f>IF($B$12&gt;14,AC116+AC118+AC125,"")</f>
        <v>0</v>
      </c>
      <c r="AD128" s="42">
        <f>IF($B$12&gt;15,AD116+AD118+AD125,"")</f>
        <v>0</v>
      </c>
      <c r="AE128" s="42">
        <f>IF($B$12&gt;16,AE116+AE118+AE125,"")</f>
        <v>0</v>
      </c>
      <c r="AF128" s="42">
        <f>IF($B$12&gt;17,AF116+AF118+AF125,"")</f>
        <v>0</v>
      </c>
      <c r="AG128" s="42">
        <f>IF($B$12&gt;18,AG116+AG118+AG125,"")</f>
        <v>0</v>
      </c>
      <c r="AH128" s="42">
        <f>IF($B$12&gt;19,AH116+AH118+AH125,"")</f>
        <v>0</v>
      </c>
    </row>
    <row r="129" spans="1:34" s="30" customFormat="1" ht="12.75" customHeight="1" x14ac:dyDescent="0.2">
      <c r="N129" s="42"/>
      <c r="O129" s="42"/>
      <c r="P129" s="42"/>
      <c r="Q129" s="42"/>
      <c r="R129" s="42"/>
      <c r="S129" s="42"/>
      <c r="T129" s="42"/>
      <c r="U129" s="42"/>
      <c r="V129" s="42"/>
      <c r="W129" s="155"/>
      <c r="X129" s="155"/>
      <c r="Y129" s="155"/>
      <c r="Z129" s="155"/>
      <c r="AA129" s="155"/>
      <c r="AB129" s="155"/>
      <c r="AC129" s="155"/>
    </row>
    <row r="130" spans="1:34" s="30" customFormat="1" ht="12.75" customHeight="1" x14ac:dyDescent="0.2">
      <c r="A130" s="30" t="s">
        <v>112</v>
      </c>
      <c r="N130" s="42">
        <f t="shared" ref="N130:S130" si="71">N74-N128</f>
        <v>0</v>
      </c>
      <c r="O130" s="42">
        <f t="shared" si="71"/>
        <v>-2.92E-2</v>
      </c>
      <c r="P130" s="42">
        <f t="shared" si="71"/>
        <v>-2.9784000000000001E-2</v>
      </c>
      <c r="Q130" s="42">
        <f t="shared" si="71"/>
        <v>-3.0379680000000003E-2</v>
      </c>
      <c r="R130" s="42">
        <f t="shared" si="71"/>
        <v>-3.0987273600000004E-2</v>
      </c>
      <c r="S130" s="42">
        <f t="shared" si="71"/>
        <v>-3.1607019072000003E-2</v>
      </c>
      <c r="T130" s="42">
        <f>IF($B$12&gt;5,T74-T128,"")</f>
        <v>0</v>
      </c>
      <c r="U130" s="42">
        <f>IF($B$12&gt;6,U74-U128,"")</f>
        <v>0</v>
      </c>
      <c r="V130" s="42">
        <f>IF($B$12&gt;7,V74-V128,"")</f>
        <v>0</v>
      </c>
      <c r="W130" s="42">
        <f>IF($B$12&gt;8,W74-W128,"")</f>
        <v>0</v>
      </c>
      <c r="X130" s="42">
        <f>IF($B$12&gt;9,X74-X128,"")</f>
        <v>0</v>
      </c>
      <c r="Y130" s="42">
        <f>IF($B$12&gt;10,Y74-Y128,"")</f>
        <v>0</v>
      </c>
      <c r="Z130" s="42">
        <f>IF($B$12&gt;11,Z74-Z128,"")</f>
        <v>0</v>
      </c>
      <c r="AA130" s="42">
        <f>IF($B$12&gt;12,AA74-AA128,"")</f>
        <v>0</v>
      </c>
      <c r="AB130" s="42">
        <f>IF($B$12&gt;13,AB74-AB128,"")</f>
        <v>0</v>
      </c>
      <c r="AC130" s="42">
        <f>IF($B$12&gt;14,AC74-AC128,"")</f>
        <v>0</v>
      </c>
      <c r="AD130" s="42">
        <f>IF($B$12&gt;15,AD74-AD128,"")</f>
        <v>0</v>
      </c>
      <c r="AE130" s="42">
        <f>IF($B$12&gt;16,AE74-AE128,"")</f>
        <v>0</v>
      </c>
      <c r="AF130" s="42">
        <f>IF($B$12&gt;17,AF74-AF128,"")</f>
        <v>0</v>
      </c>
      <c r="AG130" s="42">
        <f>IF($B$12&gt;18,AG74-AG128,"")</f>
        <v>0</v>
      </c>
      <c r="AH130" s="42">
        <f>IF($B$12&gt;19,AH74-AH128,"")</f>
        <v>0</v>
      </c>
    </row>
    <row r="131" spans="1:34" s="30" customFormat="1" ht="12.75" customHeight="1" x14ac:dyDescent="0.2">
      <c r="N131" s="42"/>
      <c r="O131" s="42"/>
      <c r="P131" s="42"/>
      <c r="Q131" s="42"/>
      <c r="R131" s="42"/>
      <c r="S131" s="42"/>
      <c r="T131" s="42"/>
      <c r="U131" s="42"/>
      <c r="V131" s="42"/>
      <c r="W131" s="155"/>
      <c r="X131" s="155"/>
      <c r="Y131" s="155"/>
      <c r="Z131" s="155"/>
      <c r="AA131" s="155"/>
      <c r="AB131" s="155"/>
      <c r="AC131" s="155"/>
    </row>
    <row r="132" spans="1:34" ht="12.75" customHeight="1" x14ac:dyDescent="0.25">
      <c r="A132" s="12" t="s">
        <v>113</v>
      </c>
      <c r="L132" s="184">
        <v>0</v>
      </c>
      <c r="M132" s="165"/>
      <c r="N132" s="164"/>
      <c r="O132" s="164"/>
      <c r="P132" s="164"/>
      <c r="Q132" s="164"/>
      <c r="R132" s="164"/>
      <c r="S132" s="164"/>
      <c r="T132" s="164"/>
      <c r="U132" s="164"/>
      <c r="V132" s="164"/>
      <c r="W132" s="219"/>
      <c r="X132" s="219"/>
      <c r="Y132" s="219"/>
      <c r="Z132" s="219"/>
      <c r="AA132" s="219"/>
      <c r="AB132" s="219"/>
      <c r="AC132" s="219"/>
    </row>
    <row r="133" spans="1:34" ht="12.75" customHeight="1" x14ac:dyDescent="0.25">
      <c r="A133" s="12" t="s">
        <v>114</v>
      </c>
      <c r="K133" s="30"/>
      <c r="M133" s="165"/>
      <c r="N133" s="164"/>
      <c r="O133" s="164">
        <f>IF(AND(O130&gt;0,N134&gt;0),MIN(O130,N134),0)</f>
        <v>0</v>
      </c>
      <c r="P133" s="164">
        <f t="shared" ref="P133:S133" si="72">IF(AND(P130&gt;0,O134&gt;0),MIN(P130,O134),0)</f>
        <v>0</v>
      </c>
      <c r="Q133" s="164">
        <f t="shared" si="72"/>
        <v>0</v>
      </c>
      <c r="R133" s="164">
        <f t="shared" si="72"/>
        <v>0</v>
      </c>
      <c r="S133" s="164">
        <f t="shared" si="72"/>
        <v>0</v>
      </c>
      <c r="T133" s="57">
        <f>IF($B$12&gt;5,IF(AND(T130&gt;0,S134&gt;0),MIN(T130,S134),0),"")</f>
        <v>0</v>
      </c>
      <c r="U133" s="57">
        <f>IF($B$12&gt;6,IF(AND(U130&gt;0,T134&gt;0),MIN(U130,T134),0),"")</f>
        <v>0</v>
      </c>
      <c r="V133" s="57">
        <f>IF($B$12&gt;7,IF(AND(V130&gt;0,U134&gt;0),MIN(V130,U134),0),"")</f>
        <v>0</v>
      </c>
      <c r="W133" s="57">
        <f>IF($B$12&gt;8,IF(AND(W130&gt;0,V134&gt;0),MIN(W130,V134),0),"")</f>
        <v>0</v>
      </c>
      <c r="X133" s="57">
        <f>IF($B$12&gt;9,IF(AND(X130&gt;0,W134&gt;0),MIN(X130,W134),0),"")</f>
        <v>0</v>
      </c>
      <c r="Y133" s="57">
        <f>IF($B$12&gt;10,IF(AND(Y130&gt;0,X134&gt;0),MIN(Y130,X134),0),"")</f>
        <v>0</v>
      </c>
      <c r="Z133" s="57">
        <f>IF($B$12&gt;11,IF(AND(Z130&gt;0,Y134&gt;0),MIN(Z130,Y134),0),"")</f>
        <v>0</v>
      </c>
      <c r="AA133" s="57">
        <f>IF($B$12&gt;12,IF(AND(AA130&gt;0,Z134&gt;0),MIN(AA130,Z134),0),"")</f>
        <v>0</v>
      </c>
      <c r="AB133" s="57">
        <f>IF($B$12&gt;13,IF(AND(AB130&gt;0,AA134&gt;0),MIN(AB130,AA134),0),"")</f>
        <v>0</v>
      </c>
      <c r="AC133" s="57">
        <f>IF($B$12&gt;14,IF(AND(AC130&gt;0,AB134&gt;0),MIN(AC130,AB134),0),"")</f>
        <v>0</v>
      </c>
      <c r="AD133" s="57">
        <f>IF($B$12&gt;15,IF(AND(AD130&gt;0,AC134&gt;0),MIN(AD130,AC134),0),"")</f>
        <v>0</v>
      </c>
      <c r="AE133" s="57">
        <f>IF($B$12&gt;16,IF(AND(AE130&gt;0,AD134&gt;0),MIN(AE130,AD134),0),"")</f>
        <v>0</v>
      </c>
      <c r="AF133" s="57">
        <f>IF($B$12&gt;17,IF(AND(AF130&gt;0,AE134&gt;0),MIN(AF130,AE134),0),"")</f>
        <v>0</v>
      </c>
      <c r="AG133" s="57">
        <f>IF($B$12&gt;18,IF(AND(AG130&gt;0,AF134&gt;0),MIN(AG130,AF134),0),"")</f>
        <v>0</v>
      </c>
      <c r="AH133" s="57">
        <f>IF($B$12&gt;19,IF(AND(AH130&gt;0,AG134&gt;0),MIN(AH130,AG134),0),"")</f>
        <v>0</v>
      </c>
    </row>
    <row r="134" spans="1:34" ht="12.75" customHeight="1" x14ac:dyDescent="0.25">
      <c r="A134" s="12" t="s">
        <v>115</v>
      </c>
      <c r="M134" s="164"/>
      <c r="N134" s="164">
        <f>L132</f>
        <v>0</v>
      </c>
      <c r="O134" s="164">
        <f t="shared" ref="O134:S134" si="73">IF(O36&lt;10,IF((N134-O133)&lt;0,0,(N134-O133)),0)</f>
        <v>0</v>
      </c>
      <c r="P134" s="164">
        <f t="shared" si="73"/>
        <v>0</v>
      </c>
      <c r="Q134" s="164">
        <f t="shared" si="73"/>
        <v>0</v>
      </c>
      <c r="R134" s="164">
        <f t="shared" si="73"/>
        <v>0</v>
      </c>
      <c r="S134" s="164">
        <f t="shared" si="73"/>
        <v>0</v>
      </c>
      <c r="T134" s="57">
        <f>IF($B$12&gt;5,IF(T36&lt;10,IF((S134-T133)&lt;0,0,(S134-T133)),0),"")</f>
        <v>0</v>
      </c>
      <c r="U134" s="57">
        <f>IF($B$12&gt;6,IF(U36&lt;10,IF((T134-U133)&lt;0,0,(T134-U133)),0),"")</f>
        <v>0</v>
      </c>
      <c r="V134" s="57">
        <f>IF($B$12&gt;7,IF(V36&lt;10,IF((U134-V133)&lt;0,0,(U134-V133)),0),"")</f>
        <v>0</v>
      </c>
      <c r="W134" s="57">
        <f>IF($B$12&gt;8,IF(W36&lt;10,IF((V134-W133)&lt;0,0,(V134-W133)),0),"")</f>
        <v>0</v>
      </c>
      <c r="X134" s="57">
        <f>IF($B$12&gt;9,IF(X36&lt;10,IF((W134-X133)&lt;0,0,(W134-X133)),0),"")</f>
        <v>0</v>
      </c>
      <c r="Y134" s="57">
        <f>IF($B$12&gt;10,IF(Y36&lt;10,IF((X134-Y133)&lt;0,0,(X134-Y133)),0),"")</f>
        <v>0</v>
      </c>
      <c r="Z134" s="57">
        <f>IF($B$12&gt;11,IF(Z36&lt;10,IF((Y134-Z133)&lt;0,0,(Y134-Z133)),0),"")</f>
        <v>0</v>
      </c>
      <c r="AA134" s="57">
        <f>IF($B$12&gt;12,IF(AA36&lt;10,IF((Z134-AA133)&lt;0,0,(Z134-AA133)),0),"")</f>
        <v>0</v>
      </c>
      <c r="AB134" s="57">
        <f>IF($B$12&gt;13,IF(AB36&lt;10,IF((AA134-AB133)&lt;0,0,(AA134-AB133)),0),"")</f>
        <v>0</v>
      </c>
      <c r="AC134" s="57">
        <f>IF($B$12&gt;14,IF(AC36&lt;10,IF((AB134-AC133)&lt;0,0,(AB134-AC133)),0),"")</f>
        <v>0</v>
      </c>
      <c r="AD134" s="57">
        <f>IF($B$12&gt;15,IF(AD36&lt;10,IF((AC134-AD133)&lt;0,0,(AC134-AD133)),0),"")</f>
        <v>0</v>
      </c>
      <c r="AE134" s="57">
        <f>IF($B$12&gt;16,IF(AE36&lt;10,IF((AD134-AE133)&lt;0,0,(AD134-AE133)),0),"")</f>
        <v>0</v>
      </c>
      <c r="AF134" s="57">
        <f>IF($B$12&gt;17,IF(AF36&lt;10,IF((AE134-AF133)&lt;0,0,(AE134-AF133)),0),"")</f>
        <v>0</v>
      </c>
      <c r="AG134" s="57">
        <f>IF($B$12&gt;18,IF(AG36&lt;10,IF((AF134-AG133)&lt;0,0,(AF134-AG133)),0),"")</f>
        <v>0</v>
      </c>
      <c r="AH134" s="57">
        <f>IF($B$12&gt;19,IF(AH36&lt;10,IF((AG134-AH133)&lt;0,0,(AG134-AH133)),0),"")</f>
        <v>0</v>
      </c>
    </row>
    <row r="135" spans="1:34" s="30" customFormat="1" ht="12.75" customHeight="1" x14ac:dyDescent="0.2">
      <c r="A135" s="12" t="s">
        <v>116</v>
      </c>
      <c r="B135" s="12"/>
      <c r="C135" s="12"/>
      <c r="D135" s="12"/>
      <c r="E135" s="12"/>
      <c r="F135" s="12"/>
      <c r="G135" s="12"/>
      <c r="H135" s="12"/>
      <c r="I135" s="12"/>
      <c r="J135" s="12"/>
      <c r="K135" s="12"/>
      <c r="L135" s="12"/>
      <c r="M135" s="12"/>
      <c r="N135" s="57"/>
      <c r="O135" s="57">
        <f>IF(N130&lt;0,-N130,0)</f>
        <v>0</v>
      </c>
      <c r="P135" s="57">
        <f t="shared" ref="P135:S135" si="74">IF(O137&lt;0,-O137,0)</f>
        <v>2.92E-2</v>
      </c>
      <c r="Q135" s="57">
        <f t="shared" si="74"/>
        <v>5.8984000000000002E-2</v>
      </c>
      <c r="R135" s="57">
        <f t="shared" si="74"/>
        <v>8.9363680000000001E-2</v>
      </c>
      <c r="S135" s="57">
        <f t="shared" si="74"/>
        <v>0.1203509536</v>
      </c>
      <c r="T135" s="57">
        <f>IF($B$12&gt;5,IF(S137&lt;0,-S137,0),"")</f>
        <v>0.15195797267200001</v>
      </c>
      <c r="U135" s="57">
        <f>IF($B$12&gt;6,IF(T137&lt;0,-T137,0),"")</f>
        <v>0.15195797267200001</v>
      </c>
      <c r="V135" s="57">
        <f>IF($B$12&gt;7,IF(U137&lt;0,-U137,0),"")</f>
        <v>0.15195797267200001</v>
      </c>
      <c r="W135" s="57">
        <f>IF($B$12&gt;8,IF(V137&lt;0,-V137,0),"")</f>
        <v>0.15195797267200001</v>
      </c>
      <c r="X135" s="57">
        <f>IF($B$12&gt;9,IF(W137&lt;0,-W137,0),"")</f>
        <v>0.15195797267200001</v>
      </c>
      <c r="Y135" s="57">
        <f>IF($B$12&gt;10,IF(X137&lt;0,-X137,0),"")</f>
        <v>0.15195797267200001</v>
      </c>
      <c r="Z135" s="57">
        <f>IF($B$12&gt;11,IF(Y137&lt;0,-Y137,0),"")</f>
        <v>0.15195797267200001</v>
      </c>
      <c r="AA135" s="57">
        <f>IF($B$12&gt;12,IF(Z137&lt;0,-Z137,0),"")</f>
        <v>0.15195797267200001</v>
      </c>
      <c r="AB135" s="57">
        <f>IF($B$12&gt;13,IF(AA137&lt;0,-AA137,0),"")</f>
        <v>0.15195797267200001</v>
      </c>
      <c r="AC135" s="57">
        <f>IF($B$12&gt;14,IF(AB137&lt;0,-AB137,0),"")</f>
        <v>0.15195797267200001</v>
      </c>
      <c r="AD135" s="57">
        <f>IF($B$12&gt;15,IF(AC137&lt;0,-AC137,0),"")</f>
        <v>0.15195797267200001</v>
      </c>
      <c r="AE135" s="57">
        <f>IF($B$12&gt;16,IF(AD137&lt;0,-AD137,0),"")</f>
        <v>0.15195797267200001</v>
      </c>
      <c r="AF135" s="57">
        <f>IF($B$12&gt;17,IF(AE137&lt;0,-AE137,0),"")</f>
        <v>0.15195797267200001</v>
      </c>
      <c r="AG135" s="57">
        <f>IF($B$12&gt;18,IF(AF137&lt;0,-AF137,0),"")</f>
        <v>0.15195797267200001</v>
      </c>
      <c r="AH135" s="57">
        <f>IF($B$12&gt;19,IF(AG137&lt;0,-AG137,0),"")</f>
        <v>0.15195797267200001</v>
      </c>
    </row>
    <row r="136" spans="1:34" ht="12.75" customHeight="1" x14ac:dyDescent="0.25">
      <c r="A136" s="12"/>
      <c r="M136" s="164"/>
      <c r="N136" s="164"/>
      <c r="O136" s="164"/>
      <c r="P136" s="164"/>
      <c r="Q136" s="164"/>
      <c r="R136" s="164"/>
      <c r="S136" s="164"/>
      <c r="T136" s="164"/>
      <c r="U136" s="164"/>
      <c r="V136" s="164"/>
      <c r="W136" s="219"/>
      <c r="X136" s="219"/>
      <c r="Y136" s="219"/>
      <c r="Z136" s="219"/>
      <c r="AA136" s="219"/>
      <c r="AB136" s="219"/>
      <c r="AC136" s="219"/>
    </row>
    <row r="137" spans="1:34" s="30" customFormat="1" ht="12.75" customHeight="1" x14ac:dyDescent="0.2">
      <c r="A137" s="30" t="s">
        <v>117</v>
      </c>
      <c r="N137" s="42">
        <f>N130-N133</f>
        <v>0</v>
      </c>
      <c r="O137" s="42">
        <f>O130-O133</f>
        <v>-2.92E-2</v>
      </c>
      <c r="P137" s="42">
        <f>P130-P133-P135</f>
        <v>-5.8984000000000002E-2</v>
      </c>
      <c r="Q137" s="42">
        <f t="shared" ref="Q137:S137" si="75">Q130-Q133-Q135</f>
        <v>-8.9363680000000001E-2</v>
      </c>
      <c r="R137" s="42">
        <f t="shared" si="75"/>
        <v>-0.1203509536</v>
      </c>
      <c r="S137" s="42">
        <f t="shared" si="75"/>
        <v>-0.15195797267200001</v>
      </c>
      <c r="T137" s="42">
        <f>IF($B$12&gt;5,T130-T133-T135,"")</f>
        <v>-0.15195797267200001</v>
      </c>
      <c r="U137" s="42">
        <f>IF($B$12&gt;6,U130-U133-U135,"")</f>
        <v>-0.15195797267200001</v>
      </c>
      <c r="V137" s="42">
        <f>IF($B$12&gt;7,V130-V133-V135,"")</f>
        <v>-0.15195797267200001</v>
      </c>
      <c r="W137" s="42">
        <f>IF($B$12&gt;8,W130-W133-W135,"")</f>
        <v>-0.15195797267200001</v>
      </c>
      <c r="X137" s="42">
        <f>IF($B$12&gt;9,X130-X133-X135,"")</f>
        <v>-0.15195797267200001</v>
      </c>
      <c r="Y137" s="42">
        <f>IF($B$12&gt;10,Y130-Y133-Y135,"")</f>
        <v>-0.15195797267200001</v>
      </c>
      <c r="Z137" s="42">
        <f>IF($B$12&gt;11,Z130-Z133-Z135,"")</f>
        <v>-0.15195797267200001</v>
      </c>
      <c r="AA137" s="42">
        <f>IF($B$12&gt;12,AA130-AA133-AA135,"")</f>
        <v>-0.15195797267200001</v>
      </c>
      <c r="AB137" s="42">
        <f>IF($B$12&gt;13,AB130-AB133-AB135,"")</f>
        <v>-0.15195797267200001</v>
      </c>
      <c r="AC137" s="42">
        <f>IF($B$12&gt;14,AC130-AC133-AC135,"")</f>
        <v>-0.15195797267200001</v>
      </c>
      <c r="AD137" s="42">
        <f>IF($B$12&gt;15,AD130-AD133-AD135,"")</f>
        <v>-0.15195797267200001</v>
      </c>
      <c r="AE137" s="42">
        <f>IF($B$12&gt;16,AE130-AE133-AE135,"")</f>
        <v>-0.15195797267200001</v>
      </c>
      <c r="AF137" s="42">
        <f>IF($B$12&gt;17,AF130-AF133-AF135,"")</f>
        <v>-0.15195797267200001</v>
      </c>
      <c r="AG137" s="42">
        <f>IF($B$12&gt;18,AG130-AG133-AG135,"")</f>
        <v>-0.15195797267200001</v>
      </c>
      <c r="AH137" s="42">
        <f>IF($B$12&gt;19,AH130-AH133-AH135,"")</f>
        <v>-0.15195797267200001</v>
      </c>
    </row>
    <row r="138" spans="1:34" ht="12.75" customHeight="1" x14ac:dyDescent="0.25">
      <c r="M138" s="161"/>
      <c r="N138" s="164"/>
      <c r="O138" s="164"/>
      <c r="P138" s="164"/>
      <c r="Q138" s="164"/>
      <c r="R138" s="164"/>
      <c r="S138" s="164"/>
      <c r="T138" s="164"/>
      <c r="U138" s="164"/>
      <c r="V138" s="164"/>
      <c r="W138" s="219"/>
      <c r="X138" s="219"/>
      <c r="Y138" s="219"/>
      <c r="Z138" s="219"/>
      <c r="AA138" s="219"/>
      <c r="AB138" s="219"/>
      <c r="AC138" s="219"/>
    </row>
    <row r="139" spans="1:34" ht="12.75" customHeight="1" x14ac:dyDescent="0.25">
      <c r="A139" s="12" t="s">
        <v>118</v>
      </c>
      <c r="M139" s="161"/>
      <c r="N139" s="164"/>
      <c r="O139" s="164"/>
      <c r="P139" s="164"/>
      <c r="Q139" s="164"/>
      <c r="R139" s="164"/>
      <c r="S139" s="164"/>
      <c r="T139" s="164"/>
      <c r="U139" s="164"/>
      <c r="V139" s="164"/>
      <c r="W139" s="219"/>
      <c r="X139" s="219"/>
      <c r="Y139" s="219"/>
      <c r="Z139" s="219"/>
      <c r="AA139" s="219"/>
      <c r="AB139" s="219"/>
      <c r="AC139" s="219"/>
    </row>
    <row r="140" spans="1:34" ht="12.75" customHeight="1" x14ac:dyDescent="0.25">
      <c r="L140" s="178">
        <v>0.25800000000000001</v>
      </c>
      <c r="M140" s="161"/>
      <c r="N140" s="164"/>
      <c r="O140" s="164"/>
      <c r="P140" s="164"/>
      <c r="Q140" s="164"/>
      <c r="R140" s="164"/>
      <c r="S140" s="164"/>
      <c r="T140" s="164"/>
      <c r="U140" s="164"/>
      <c r="V140" s="164"/>
      <c r="W140" s="219"/>
      <c r="X140" s="219"/>
      <c r="Y140" s="219"/>
      <c r="Z140" s="219"/>
      <c r="AA140" s="219"/>
      <c r="AB140" s="219"/>
      <c r="AC140" s="219"/>
    </row>
    <row r="141" spans="1:34" ht="12.75" customHeight="1" x14ac:dyDescent="0.25">
      <c r="A141" s="4" t="s">
        <v>119</v>
      </c>
      <c r="C141" s="6"/>
      <c r="D141" s="40"/>
      <c r="E141" s="40"/>
      <c r="F141" s="40"/>
      <c r="G141" s="40"/>
      <c r="H141" s="40"/>
      <c r="I141" s="40"/>
      <c r="J141" s="40"/>
      <c r="M141" s="161"/>
      <c r="N141" s="164">
        <f>N137*$L$140</f>
        <v>0</v>
      </c>
      <c r="O141" s="164">
        <f>IF(O137&gt;0,O137*$L$140,0)</f>
        <v>0</v>
      </c>
      <c r="P141" s="164">
        <f t="shared" ref="P141:S141" si="76">IF(P137&gt;0,P137*$L$140,0)</f>
        <v>0</v>
      </c>
      <c r="Q141" s="164">
        <f t="shared" si="76"/>
        <v>0</v>
      </c>
      <c r="R141" s="164">
        <f t="shared" si="76"/>
        <v>0</v>
      </c>
      <c r="S141" s="164">
        <f t="shared" si="76"/>
        <v>0</v>
      </c>
      <c r="T141" s="57">
        <f>IF($B$12&gt;5,IF(T137&gt;0,T137*$L$140,0),"")</f>
        <v>0</v>
      </c>
      <c r="U141" s="57">
        <f>IF($B$12&gt;6,IF(U137&gt;0,U137*$L$140,0),"")</f>
        <v>0</v>
      </c>
      <c r="V141" s="57">
        <f>IF($B$12&gt;7,IF(V137&gt;0,V137*$L$140,0),"")</f>
        <v>0</v>
      </c>
      <c r="W141" s="57">
        <f>IF($B$12&gt;8,IF(W137&gt;0,W137*$L$140,0),"")</f>
        <v>0</v>
      </c>
      <c r="X141" s="57">
        <f>IF($B$12&gt;9,IF(X137&gt;0,X137*$L$140,0),"")</f>
        <v>0</v>
      </c>
      <c r="Y141" s="57">
        <f>IF($B$12&gt;10,IF(Y137&gt;0,Y137*$L$140,0),"")</f>
        <v>0</v>
      </c>
      <c r="Z141" s="57">
        <f>IF($B$12&gt;11,IF(Z137&gt;0,Z137*$L$140,0),"")</f>
        <v>0</v>
      </c>
      <c r="AA141" s="57">
        <f>IF($B$12&gt;12,IF(AA137&gt;0,AA137*$L$140,0),"")</f>
        <v>0</v>
      </c>
      <c r="AB141" s="57">
        <f>IF($B$12&gt;13,IF(AB137&gt;0,AB137*$L$140,0),"")</f>
        <v>0</v>
      </c>
      <c r="AC141" s="57">
        <f>IF($B$12&gt;14,IF(AC137&gt;0,AC137*$L$140,0),"")</f>
        <v>0</v>
      </c>
      <c r="AD141" s="57">
        <f>IF($B$12&gt;15,IF(AD137&gt;0,AD137*$L$140,0),"")</f>
        <v>0</v>
      </c>
      <c r="AE141" s="57">
        <f>IF($B$12&gt;16,IF(AE137&gt;0,AE137*$L$140,0),"")</f>
        <v>0</v>
      </c>
      <c r="AF141" s="57">
        <f>IF($B$12&gt;17,IF(AF137&gt;0,AF137*$L$140,0),"")</f>
        <v>0</v>
      </c>
      <c r="AG141" s="57">
        <f>IF($B$12&gt;18,IF(AG137&gt;0,AG137*$L$140,0),"")</f>
        <v>0</v>
      </c>
      <c r="AH141" s="57">
        <f>IF($B$12&gt;19,IF(AH137&gt;0,AH137*$L$140,0),"")</f>
        <v>0</v>
      </c>
    </row>
    <row r="142" spans="1:34" s="30" customFormat="1" ht="12.75" customHeight="1" x14ac:dyDescent="0.2">
      <c r="A142" s="30" t="s">
        <v>120</v>
      </c>
      <c r="N142" s="42">
        <f t="shared" ref="N142:S142" si="77">N130-N141</f>
        <v>0</v>
      </c>
      <c r="O142" s="42">
        <f t="shared" si="77"/>
        <v>-2.92E-2</v>
      </c>
      <c r="P142" s="42">
        <f t="shared" si="77"/>
        <v>-2.9784000000000001E-2</v>
      </c>
      <c r="Q142" s="42">
        <f t="shared" si="77"/>
        <v>-3.0379680000000003E-2</v>
      </c>
      <c r="R142" s="42">
        <f t="shared" si="77"/>
        <v>-3.0987273600000004E-2</v>
      </c>
      <c r="S142" s="42">
        <f t="shared" si="77"/>
        <v>-3.1607019072000003E-2</v>
      </c>
      <c r="T142" s="42">
        <f>IF($B$12&gt;5,T130-T141,"")</f>
        <v>0</v>
      </c>
      <c r="U142" s="42">
        <f>IF($B$12&gt;6,U130-U141,"")</f>
        <v>0</v>
      </c>
      <c r="V142" s="42">
        <f>IF($B$12&gt;7,V130-V141,"")</f>
        <v>0</v>
      </c>
      <c r="W142" s="42">
        <f>IF($B$12&gt;8,W130-W141,"")</f>
        <v>0</v>
      </c>
      <c r="X142" s="42">
        <f>IF($B$12&gt;9,X130-X141,"")</f>
        <v>0</v>
      </c>
      <c r="Y142" s="42">
        <f>IF($B$12&gt;10,Y130-Y141,"")</f>
        <v>0</v>
      </c>
      <c r="Z142" s="42">
        <f>IF($B$12&gt;11,Z130-Z141,"")</f>
        <v>0</v>
      </c>
      <c r="AA142" s="42">
        <f>IF($B$12&gt;12,AA130-AA141,"")</f>
        <v>0</v>
      </c>
      <c r="AB142" s="42">
        <f>IF($B$12&gt;13,AB130-AB141,"")</f>
        <v>0</v>
      </c>
      <c r="AC142" s="42">
        <f>IF($B$12&gt;14,AC130-AC141,"")</f>
        <v>0</v>
      </c>
      <c r="AD142" s="42">
        <f>IF($B$12&gt;15,AD130-AD141,"")</f>
        <v>0</v>
      </c>
      <c r="AE142" s="42">
        <f>IF($B$12&gt;16,AE130-AE141,"")</f>
        <v>0</v>
      </c>
      <c r="AF142" s="42">
        <f>IF($B$12&gt;17,AF130-AF141,"")</f>
        <v>0</v>
      </c>
      <c r="AG142" s="42">
        <f>IF($B$12&gt;18,AG130-AG141,"")</f>
        <v>0</v>
      </c>
      <c r="AH142" s="42">
        <f>IF($B$12&gt;19,AH130-AH141,"")</f>
        <v>0</v>
      </c>
    </row>
    <row r="143" spans="1:34" s="30" customFormat="1" ht="12.75" customHeight="1" x14ac:dyDescent="0.2">
      <c r="N143" s="42"/>
      <c r="O143" s="42"/>
      <c r="P143" s="42"/>
      <c r="Q143" s="42"/>
      <c r="R143" s="42"/>
      <c r="S143" s="42"/>
      <c r="T143" s="42"/>
      <c r="U143" s="42"/>
      <c r="V143" s="42"/>
      <c r="W143" s="155"/>
      <c r="X143" s="155"/>
      <c r="Y143" s="155"/>
      <c r="Z143" s="155"/>
      <c r="AA143" s="155"/>
      <c r="AB143" s="155"/>
      <c r="AC143" s="155"/>
    </row>
    <row r="144" spans="1:34" s="30" customFormat="1" ht="12.75" customHeight="1" x14ac:dyDescent="0.2">
      <c r="A144" s="30" t="s">
        <v>121</v>
      </c>
      <c r="N144" s="42">
        <f>N142+N118+N125-N27</f>
        <v>0</v>
      </c>
      <c r="O144" s="42">
        <f t="shared" ref="O144:S144" si="78">+O142+O118+O125</f>
        <v>-2.92E-2</v>
      </c>
      <c r="P144" s="42">
        <f t="shared" si="78"/>
        <v>-2.9784000000000001E-2</v>
      </c>
      <c r="Q144" s="42">
        <f t="shared" si="78"/>
        <v>-3.0379680000000003E-2</v>
      </c>
      <c r="R144" s="42">
        <f t="shared" si="78"/>
        <v>-3.0987273600000004E-2</v>
      </c>
      <c r="S144" s="42">
        <f t="shared" si="78"/>
        <v>-3.1607019072000003E-2</v>
      </c>
      <c r="T144" s="42">
        <f>IF($B$12&gt;5,+T142+T118+T125,"")</f>
        <v>0</v>
      </c>
      <c r="U144" s="42">
        <f>IF($B$12&gt;6,+U142+U118+U125,"")</f>
        <v>0</v>
      </c>
      <c r="V144" s="42">
        <f>IF($B$12&gt;7,+V142+V118+V125,"")</f>
        <v>0</v>
      </c>
      <c r="W144" s="42">
        <f>IF($B$12&gt;8,+W142+W118+W125,"")</f>
        <v>0</v>
      </c>
      <c r="X144" s="42">
        <f>IF($B$12&gt;9,+X142+X118+X125,"")</f>
        <v>0</v>
      </c>
      <c r="Y144" s="42">
        <f>IF($B$12&gt;10,+Y142+Y118+Y125,"")</f>
        <v>0</v>
      </c>
      <c r="Z144" s="42">
        <f>IF($B$12&gt;11,+Z142+Z118+Z125,"")</f>
        <v>0</v>
      </c>
      <c r="AA144" s="42">
        <f>IF($B$12&gt;12,+AA142+AA118+AA125,"")</f>
        <v>0</v>
      </c>
      <c r="AB144" s="42">
        <f>IF($B$12&gt;13,+AB142+AB118+AB125,"")</f>
        <v>0</v>
      </c>
      <c r="AC144" s="42">
        <f>IF($B$12&gt;14,+AC142+AC118+AC125,"")</f>
        <v>0</v>
      </c>
      <c r="AD144" s="42">
        <f>IF($B$12&gt;15,+AD142+AD118+AD125,"")</f>
        <v>0</v>
      </c>
      <c r="AE144" s="42">
        <f>IF($B$12&gt;16,+AE142+AE118+AE125,"")</f>
        <v>0</v>
      </c>
      <c r="AF144" s="42">
        <f>IF($B$12&gt;17,+AF142+AF118+AF125,"")</f>
        <v>0</v>
      </c>
      <c r="AG144" s="42">
        <f>IF($B$12&gt;18,+AG142+AG118+AG125,"")</f>
        <v>0</v>
      </c>
      <c r="AH144" s="42">
        <f>IF($B$12&gt;19,+AH142+AH118+AH125,"")</f>
        <v>0</v>
      </c>
    </row>
    <row r="145" spans="1:34" ht="12.75" customHeight="1" thickBot="1" x14ac:dyDescent="0.3">
      <c r="M145" s="161"/>
      <c r="N145" s="164"/>
      <c r="O145" s="164"/>
      <c r="P145" s="164"/>
      <c r="Q145" s="164"/>
      <c r="R145" s="164"/>
      <c r="S145" s="164"/>
      <c r="T145" s="164"/>
      <c r="U145" s="164"/>
      <c r="V145" s="164"/>
      <c r="W145" s="219"/>
      <c r="X145" s="219"/>
      <c r="Y145" s="219"/>
      <c r="Z145" s="219"/>
      <c r="AA145" s="219"/>
      <c r="AB145" s="219"/>
      <c r="AC145" s="219"/>
      <c r="AD145" s="219"/>
      <c r="AE145" s="219"/>
      <c r="AF145" s="219"/>
      <c r="AG145" s="219"/>
      <c r="AH145" s="219"/>
    </row>
    <row r="146" spans="1:34" ht="24.95" customHeight="1" thickBot="1" x14ac:dyDescent="0.3">
      <c r="A146" s="92" t="s">
        <v>122</v>
      </c>
      <c r="B146" s="93"/>
      <c r="C146" s="93"/>
      <c r="D146" s="94"/>
      <c r="E146" s="94"/>
      <c r="F146" s="94"/>
      <c r="G146" s="94"/>
      <c r="H146" s="94"/>
      <c r="I146" s="94"/>
      <c r="J146" s="94"/>
      <c r="K146" s="94"/>
      <c r="L146" s="96" t="str">
        <f>IF(N27=0,"Geen investeringskosten opgegeven voor deze aanvraag",IRR(N144:AH144,0%))</f>
        <v>Geen investeringskosten opgegeven voor deze aanvraag</v>
      </c>
      <c r="M146" s="167"/>
      <c r="N146" s="168"/>
      <c r="O146" s="169"/>
      <c r="P146" s="169"/>
      <c r="Q146" s="169"/>
      <c r="R146" s="169"/>
      <c r="S146" s="169"/>
      <c r="T146" s="169"/>
      <c r="U146" s="169"/>
      <c r="V146" s="169"/>
      <c r="W146" s="170"/>
      <c r="X146" s="170"/>
      <c r="Y146" s="170"/>
      <c r="Z146" s="170"/>
      <c r="AA146" s="219"/>
      <c r="AB146" s="219"/>
      <c r="AC146" s="219"/>
      <c r="AD146" s="219"/>
      <c r="AE146" s="219"/>
      <c r="AF146" s="219"/>
      <c r="AG146" s="219"/>
      <c r="AH146" s="219"/>
    </row>
    <row r="147" spans="1:34" ht="12.75" customHeight="1" x14ac:dyDescent="0.25">
      <c r="M147" s="161"/>
      <c r="N147" s="161"/>
      <c r="O147" s="161"/>
      <c r="P147" s="161"/>
      <c r="Q147" s="161"/>
      <c r="R147" s="161"/>
      <c r="S147" s="161"/>
      <c r="T147" s="161"/>
      <c r="U147" s="161"/>
      <c r="V147" s="161"/>
      <c r="W147" s="40"/>
      <c r="X147" s="40"/>
      <c r="Y147" s="40"/>
      <c r="Z147" s="40"/>
      <c r="AA147" s="219"/>
      <c r="AB147" s="219"/>
      <c r="AC147" s="219"/>
      <c r="AD147" s="219"/>
      <c r="AE147" s="219"/>
      <c r="AF147" s="219"/>
      <c r="AG147" s="219"/>
      <c r="AH147" s="219"/>
    </row>
    <row r="148" spans="1:34" ht="12.75" customHeight="1" x14ac:dyDescent="0.25">
      <c r="M148" s="161"/>
      <c r="N148" s="161"/>
      <c r="O148" s="161"/>
      <c r="P148" s="161"/>
      <c r="Q148" s="161"/>
      <c r="R148" s="161"/>
      <c r="S148" s="161"/>
      <c r="T148" s="161"/>
      <c r="U148" s="161"/>
      <c r="V148" s="161"/>
      <c r="W148" s="40"/>
      <c r="X148" s="40"/>
      <c r="Y148" s="40"/>
      <c r="Z148" s="40"/>
      <c r="AA148" s="219"/>
      <c r="AB148" s="219"/>
      <c r="AC148" s="219"/>
      <c r="AD148" s="219"/>
      <c r="AE148" s="219"/>
      <c r="AF148" s="219"/>
      <c r="AG148" s="219"/>
      <c r="AH148" s="219"/>
    </row>
    <row r="149" spans="1:34" ht="12.75" customHeight="1" x14ac:dyDescent="0.25">
      <c r="A149" s="30" t="s">
        <v>123</v>
      </c>
      <c r="M149" s="161"/>
      <c r="N149" s="42" t="e">
        <f>-$E$31-N116</f>
        <v>#DIV/0!</v>
      </c>
      <c r="O149" s="42">
        <f t="shared" ref="O149:S149" si="79">+O142+O118-O126</f>
        <v>-2.92E-2</v>
      </c>
      <c r="P149" s="42">
        <f t="shared" si="79"/>
        <v>-2.9784000000000001E-2</v>
      </c>
      <c r="Q149" s="42">
        <f t="shared" si="79"/>
        <v>-3.0379680000000003E-2</v>
      </c>
      <c r="R149" s="42">
        <f t="shared" si="79"/>
        <v>-3.0987273600000004E-2</v>
      </c>
      <c r="S149" s="42">
        <f t="shared" si="79"/>
        <v>-3.1607019072000003E-2</v>
      </c>
      <c r="T149" s="42">
        <f>IF($B$12&gt;5,+T142+T118-T126,"")</f>
        <v>0</v>
      </c>
      <c r="U149" s="42">
        <f>IF($B$12&gt;6,+U142+U118-U126,"")</f>
        <v>0</v>
      </c>
      <c r="V149" s="42">
        <f>IF($B$12&gt;7,+V142+V118-V126,"")</f>
        <v>0</v>
      </c>
      <c r="W149" s="42">
        <f>IF($B$12&gt;8,+W142+W118-W126,"")</f>
        <v>0</v>
      </c>
      <c r="X149" s="42">
        <f>IF($B$12&gt;9,+X142+X118-X126,"")</f>
        <v>0</v>
      </c>
      <c r="Y149" s="42">
        <f>IF($B$12&gt;10,+Y142+Y118-Y126,"")</f>
        <v>0</v>
      </c>
      <c r="Z149" s="42">
        <f>IF($B$12&gt;11,+Z142+Z118-Z126,"")</f>
        <v>0</v>
      </c>
      <c r="AA149" s="42">
        <f>IF($B$12&gt;12,+AA142+AA118-AA126,"")</f>
        <v>0</v>
      </c>
      <c r="AB149" s="42">
        <f>IF($B$12&gt;13,+AB142+AB118-AB126,"")</f>
        <v>0</v>
      </c>
      <c r="AC149" s="42">
        <f>IF($B$12&gt;14,+AC142+AC118-AC126,"")</f>
        <v>0</v>
      </c>
      <c r="AD149" s="42">
        <f>IF($B$12&gt;15,+AD142+AD118-AD126,"")</f>
        <v>0</v>
      </c>
      <c r="AE149" s="42">
        <f>IF($B$12&gt;16,+AE142+AE118-AE126,"")</f>
        <v>0</v>
      </c>
      <c r="AF149" s="42">
        <f>IF($B$12&gt;17,+AF142+AF118-AF126,"")</f>
        <v>0</v>
      </c>
      <c r="AG149" s="42">
        <f>IF($B$12&gt;18,+AG142+AG118-AG126,"")</f>
        <v>0</v>
      </c>
      <c r="AH149" s="42">
        <f>IF($B$12&gt;19,+AH142+AH118-AH126,"")</f>
        <v>0</v>
      </c>
    </row>
    <row r="150" spans="1:34" ht="12.75" customHeight="1" thickBot="1" x14ac:dyDescent="0.3">
      <c r="M150" s="161"/>
      <c r="N150" s="161"/>
      <c r="O150" s="161"/>
      <c r="P150" s="161"/>
      <c r="Q150" s="161"/>
      <c r="R150" s="161"/>
      <c r="S150" s="161"/>
      <c r="T150" s="161"/>
      <c r="U150" s="161"/>
      <c r="V150" s="161"/>
      <c r="W150" s="40"/>
      <c r="X150" s="40"/>
      <c r="Y150" s="40"/>
      <c r="Z150" s="40"/>
      <c r="AA150" s="40"/>
      <c r="AB150" s="40"/>
      <c r="AC150" s="40"/>
      <c r="AD150" s="40"/>
      <c r="AE150" s="40"/>
      <c r="AF150" s="40"/>
      <c r="AG150" s="40"/>
      <c r="AH150" s="40"/>
    </row>
    <row r="151" spans="1:34" ht="24.75" customHeight="1" thickBot="1" x14ac:dyDescent="0.3">
      <c r="A151" s="92" t="s">
        <v>124</v>
      </c>
      <c r="B151" s="95"/>
      <c r="C151" s="95"/>
      <c r="D151" s="95"/>
      <c r="E151" s="95"/>
      <c r="F151" s="95"/>
      <c r="G151" s="95"/>
      <c r="H151" s="95"/>
      <c r="I151" s="95"/>
      <c r="J151" s="95"/>
      <c r="K151" s="95"/>
      <c r="L151" s="96" t="str">
        <f>IF(N27=0,"Geen investeringskosten opgegeven voor deze aanvraag",IF(B31=0%,"n.v.t., geen eigen vermogen",IRR(N149:AH149,0%)))</f>
        <v>Geen investeringskosten opgegeven voor deze aanvraag</v>
      </c>
      <c r="M151" s="161"/>
      <c r="N151" s="161"/>
      <c r="O151" s="171"/>
      <c r="P151" s="161"/>
      <c r="Q151" s="161"/>
      <c r="R151" s="161"/>
      <c r="S151" s="161"/>
      <c r="T151" s="161"/>
      <c r="U151" s="161"/>
      <c r="V151" s="161"/>
      <c r="W151" s="40"/>
      <c r="X151" s="40"/>
      <c r="Y151" s="40"/>
      <c r="Z151" s="40"/>
      <c r="AA151" s="40"/>
      <c r="AB151" s="40"/>
      <c r="AC151" s="40"/>
      <c r="AD151" s="40"/>
      <c r="AE151" s="40"/>
      <c r="AF151" s="40"/>
      <c r="AG151" s="40"/>
      <c r="AH151" s="40"/>
    </row>
    <row r="152" spans="1:34" ht="12.75" customHeight="1" x14ac:dyDescent="0.25">
      <c r="M152" s="161"/>
      <c r="N152" s="161"/>
      <c r="O152" s="161"/>
      <c r="P152" s="161"/>
      <c r="Q152" s="161"/>
      <c r="R152" s="161"/>
      <c r="S152" s="161"/>
      <c r="T152" s="161"/>
      <c r="U152" s="161"/>
      <c r="V152" s="161"/>
      <c r="W152" s="40"/>
      <c r="X152" s="40"/>
      <c r="Y152" s="40"/>
      <c r="Z152" s="40"/>
      <c r="AA152" s="40"/>
      <c r="AB152" s="40"/>
      <c r="AC152" s="40"/>
      <c r="AD152" s="40"/>
      <c r="AE152" s="40"/>
      <c r="AF152" s="40"/>
      <c r="AG152" s="40"/>
      <c r="AH152" s="40"/>
    </row>
    <row r="153" spans="1:34" ht="12.75" customHeight="1" x14ac:dyDescent="0.25">
      <c r="M153" s="161"/>
      <c r="N153" s="161"/>
      <c r="O153" s="161"/>
      <c r="P153" s="161"/>
      <c r="Q153" s="161"/>
      <c r="R153" s="161"/>
      <c r="S153" s="161"/>
      <c r="T153" s="161"/>
      <c r="U153" s="161"/>
      <c r="V153" s="161"/>
      <c r="W153" s="40"/>
      <c r="X153" s="40"/>
      <c r="Y153" s="40"/>
      <c r="Z153" s="40"/>
      <c r="AA153" s="40"/>
      <c r="AB153" s="40"/>
      <c r="AC153" s="40"/>
      <c r="AD153" s="40"/>
      <c r="AE153" s="40"/>
      <c r="AF153" s="40"/>
      <c r="AG153" s="40"/>
      <c r="AH153" s="40"/>
    </row>
    <row r="154" spans="1:34" ht="12.75" customHeight="1" x14ac:dyDescent="0.25">
      <c r="A154" s="30" t="s">
        <v>125</v>
      </c>
      <c r="M154" s="161"/>
      <c r="N154" s="161"/>
      <c r="O154" s="81" t="e">
        <f t="shared" ref="O154:S154" si="80">IF($B$31&lt;100%,IF((O125+O126)=0,"n.v.t.",O144/(O125+O126)),"n.v.t.")</f>
        <v>#DIV/0!</v>
      </c>
      <c r="P154" s="81" t="e">
        <f t="shared" si="80"/>
        <v>#DIV/0!</v>
      </c>
      <c r="Q154" s="81" t="e">
        <f t="shared" si="80"/>
        <v>#DIV/0!</v>
      </c>
      <c r="R154" s="81" t="e">
        <f t="shared" si="80"/>
        <v>#DIV/0!</v>
      </c>
      <c r="S154" s="81" t="e">
        <f t="shared" si="80"/>
        <v>#DIV/0!</v>
      </c>
      <c r="T154" s="81" t="e">
        <f>IF($B$12&gt;5,IF($B$31&lt;100%,IF((T125+T126)=0,"n.v.t.",T144/(T125+T126)),"n.v.t."),"")</f>
        <v>#DIV/0!</v>
      </c>
      <c r="U154" s="81" t="e">
        <f>IF($B$12&gt;6,IF($B$31&lt;100%,IF((U125+U126)=0,"n.v.t.",U144/(U125+U126)),"n.v.t."),"")</f>
        <v>#DIV/0!</v>
      </c>
      <c r="V154" s="81" t="e">
        <f>IF($B$12&gt;7,IF($B$31&lt;100%,IF((V125+V126)=0,"n.v.t.",V144/(V125+V126)),"n.v.t."),"")</f>
        <v>#DIV/0!</v>
      </c>
      <c r="W154" s="81" t="e">
        <f>IF($B$12&gt;8,IF($B$31&lt;100%,IF((W125+W126)=0,"n.v.t.",W144/(W125+W126)),"n.v.t."),"")</f>
        <v>#DIV/0!</v>
      </c>
      <c r="X154" s="81" t="e">
        <f>IF($B$12&gt;9,IF($B$31&lt;100%,IF((X125+X126)=0,"n.v.t.",X144/(X125+X126)),"n.v.t."),"")</f>
        <v>#DIV/0!</v>
      </c>
      <c r="Y154" s="81" t="e">
        <f>IF($B$12&gt;10,IF($B$31&lt;100%,IF((Y125+Y126)=0,"n.v.t.",Y144/(Y125+Y126)),"n.v.t."),"")</f>
        <v>#DIV/0!</v>
      </c>
      <c r="Z154" s="81" t="e">
        <f>IF($B$12&gt;11,IF($B$31&lt;100%,IF((Z125+Z126)=0,"n.v.t.",Z144/(Z125+Z126)),"n.v.t."),"")</f>
        <v>#DIV/0!</v>
      </c>
      <c r="AA154" s="81" t="e">
        <f>IF($B$12&gt;12,IF($B$31&lt;100%,IF((AA125+AA126)=0,"n.v.t.",AA144/(AA125+AA126)),"n.v.t."),"")</f>
        <v>#DIV/0!</v>
      </c>
      <c r="AB154" s="81" t="e">
        <f>IF($B$12&gt;13,IF($B$31&lt;100%,IF((AB125+AB126)=0,"n.v.t.",AB144/(AB125+AB126)),"n.v.t."),"")</f>
        <v>#DIV/0!</v>
      </c>
      <c r="AC154" s="81" t="e">
        <f>IF($B$12&gt;14,IF($B$31&lt;100%,IF((AC125+AC126)=0,"n.v.t.",AC144/(AC125+AC126)),"n.v.t."),"")</f>
        <v>#DIV/0!</v>
      </c>
      <c r="AD154" s="81" t="e">
        <f>IF($B$12&gt;15,IF($B$31&lt;100%,IF((AD125+AD126)=0,"n.v.t.",AD144/(AD125+AD126)),"n.v.t."),"")</f>
        <v>#DIV/0!</v>
      </c>
      <c r="AE154" s="81" t="e">
        <f>IF($B$12&gt;16,IF($B$31&lt;100%,IF((AE125+AE126)=0,"n.v.t.",AE144/(AE125+AE126)),"n.v.t."),"")</f>
        <v>#DIV/0!</v>
      </c>
      <c r="AF154" s="81" t="e">
        <f>IF($B$12&gt;17,IF($B$31&lt;100%,IF((AF125+AF126)=0,"n.v.t.",AF144/(AF125+AF126)),"n.v.t."),"")</f>
        <v>#DIV/0!</v>
      </c>
      <c r="AG154" s="81" t="e">
        <f>IF($B$12&gt;18,IF($B$31&lt;100%,IF((AG125+AG126)=0,"n.v.t.",AG144/(AG125+AG126)),"n.v.t."),"")</f>
        <v>#DIV/0!</v>
      </c>
      <c r="AH154" s="81" t="e">
        <f>IF($B$12&gt;19,IF($B$31&lt;100%,IF((AH125+AH126)=0,"n.v.t.",AH144/(AH125+AH126)),"n.v.t."),"")</f>
        <v>#DIV/0!</v>
      </c>
    </row>
    <row r="155" spans="1:34" ht="12.75" customHeight="1" thickBot="1" x14ac:dyDescent="0.3">
      <c r="M155" s="161"/>
      <c r="N155" s="161"/>
      <c r="O155" s="161"/>
      <c r="P155" s="161"/>
      <c r="Q155" s="161"/>
      <c r="R155" s="161"/>
      <c r="S155" s="161"/>
      <c r="T155" s="161"/>
      <c r="U155" s="161"/>
      <c r="V155" s="161"/>
      <c r="W155" s="40"/>
      <c r="X155" s="40"/>
      <c r="Y155" s="40"/>
      <c r="Z155" s="40"/>
      <c r="AA155" s="40"/>
      <c r="AB155" s="40"/>
      <c r="AC155" s="40"/>
    </row>
    <row r="156" spans="1:34" ht="24.75" customHeight="1" thickBot="1" x14ac:dyDescent="0.3">
      <c r="A156" s="92" t="s">
        <v>126</v>
      </c>
      <c r="B156" s="97"/>
      <c r="C156" s="97"/>
      <c r="D156" s="98"/>
      <c r="E156" s="98"/>
      <c r="F156" s="98"/>
      <c r="G156" s="98"/>
      <c r="H156" s="98"/>
      <c r="I156" s="98"/>
      <c r="J156" s="98"/>
      <c r="K156" s="98"/>
      <c r="L156" s="99" t="str">
        <f>VLOOKUP(E34,Hulpblad_overig!A50:B70,2,FALSE)</f>
        <v>Geen vreemd vermogen of leningduur opgegeven</v>
      </c>
      <c r="M156" s="161"/>
      <c r="N156" s="161"/>
      <c r="O156" s="161"/>
      <c r="P156" s="161"/>
      <c r="Q156" s="161"/>
      <c r="R156" s="161"/>
      <c r="S156" s="161"/>
      <c r="T156" s="161"/>
      <c r="U156" s="161"/>
      <c r="V156" s="161"/>
      <c r="W156" s="161"/>
      <c r="X156" s="161"/>
      <c r="Y156" s="161"/>
      <c r="Z156" s="161"/>
      <c r="AA156" s="161"/>
      <c r="AB156" s="161"/>
      <c r="AC156" s="161"/>
    </row>
    <row r="157" spans="1:34" ht="12.75" customHeight="1" x14ac:dyDescent="0.25">
      <c r="M157" s="161"/>
      <c r="N157" s="161"/>
      <c r="O157" s="228"/>
      <c r="P157" s="161"/>
      <c r="Q157" s="161"/>
      <c r="R157" s="161"/>
      <c r="S157" s="161"/>
      <c r="T157" s="161"/>
      <c r="U157" s="161"/>
      <c r="V157" s="161"/>
      <c r="W157" s="161"/>
      <c r="X157" s="161"/>
      <c r="Y157" s="161"/>
      <c r="Z157" s="161"/>
      <c r="AA157" s="161"/>
      <c r="AB157" s="161"/>
      <c r="AC157" s="161"/>
    </row>
    <row r="158" spans="1:34" ht="12.75" customHeight="1" x14ac:dyDescent="0.25">
      <c r="M158" s="161"/>
      <c r="N158" s="161"/>
      <c r="O158" s="228"/>
      <c r="P158" s="161"/>
      <c r="Q158" s="161"/>
      <c r="R158" s="161"/>
      <c r="S158" s="161"/>
      <c r="T158" s="161"/>
      <c r="U158" s="161"/>
      <c r="V158" s="161"/>
      <c r="W158" s="161"/>
      <c r="X158" s="161"/>
      <c r="Y158" s="161"/>
      <c r="Z158" s="161"/>
      <c r="AA158" s="161"/>
      <c r="AB158" s="161"/>
      <c r="AC158" s="161"/>
    </row>
    <row r="159" spans="1:34" ht="12.75" customHeight="1" x14ac:dyDescent="0.25">
      <c r="M159" s="161"/>
      <c r="N159" s="161"/>
      <c r="O159" s="161"/>
      <c r="P159" s="161"/>
      <c r="Q159" s="161"/>
      <c r="R159" s="161"/>
      <c r="S159" s="161"/>
      <c r="T159" s="161"/>
      <c r="U159" s="161"/>
      <c r="V159" s="161"/>
      <c r="W159" s="161"/>
      <c r="X159" s="161"/>
      <c r="Y159" s="161"/>
      <c r="Z159" s="161"/>
      <c r="AA159" s="161"/>
      <c r="AB159" s="161"/>
      <c r="AC159" s="161"/>
    </row>
    <row r="160" spans="1:34" ht="12.75" customHeight="1" x14ac:dyDescent="0.25">
      <c r="A160" s="552"/>
      <c r="B160" s="553"/>
      <c r="C160" s="553"/>
      <c r="D160" s="553"/>
      <c r="E160" s="553"/>
      <c r="F160" s="553"/>
      <c r="G160" s="553"/>
      <c r="H160" s="553"/>
      <c r="I160" s="553"/>
      <c r="J160" s="553"/>
      <c r="K160" s="553"/>
      <c r="L160" s="554"/>
      <c r="M160" s="161"/>
      <c r="N160" s="161"/>
      <c r="O160" s="228"/>
      <c r="P160" s="161"/>
      <c r="Q160" s="161"/>
      <c r="R160" s="161"/>
      <c r="S160" s="161"/>
      <c r="T160" s="161"/>
      <c r="U160" s="161"/>
      <c r="V160" s="161"/>
      <c r="W160" s="161"/>
      <c r="X160" s="161"/>
      <c r="Y160" s="161"/>
      <c r="Z160" s="161"/>
      <c r="AA160" s="161"/>
      <c r="AB160" s="161"/>
      <c r="AC160" s="161"/>
    </row>
    <row r="161" spans="1:29" ht="12.75" customHeight="1" x14ac:dyDescent="0.25">
      <c r="A161" s="555"/>
      <c r="B161" s="556"/>
      <c r="C161" s="556"/>
      <c r="D161" s="556"/>
      <c r="E161" s="556"/>
      <c r="F161" s="556"/>
      <c r="G161" s="556"/>
      <c r="H161" s="556"/>
      <c r="I161" s="556"/>
      <c r="J161" s="556"/>
      <c r="K161" s="556"/>
      <c r="L161" s="557"/>
      <c r="M161" s="161"/>
      <c r="N161" s="161"/>
      <c r="O161" s="161"/>
      <c r="P161" s="161"/>
      <c r="Q161" s="161"/>
      <c r="R161" s="161"/>
      <c r="S161" s="161"/>
      <c r="T161" s="161"/>
      <c r="U161" s="161"/>
      <c r="V161" s="161"/>
      <c r="W161" s="161"/>
      <c r="X161" s="161"/>
      <c r="Y161" s="161"/>
      <c r="Z161" s="161"/>
      <c r="AA161" s="161"/>
      <c r="AB161" s="161"/>
      <c r="AC161" s="161"/>
    </row>
    <row r="162" spans="1:29" ht="12.75" customHeight="1" x14ac:dyDescent="0.25">
      <c r="A162" s="555"/>
      <c r="B162" s="556"/>
      <c r="C162" s="556"/>
      <c r="D162" s="556"/>
      <c r="E162" s="556"/>
      <c r="F162" s="556"/>
      <c r="G162" s="556"/>
      <c r="H162" s="556"/>
      <c r="I162" s="556"/>
      <c r="J162" s="556"/>
      <c r="K162" s="556"/>
      <c r="L162" s="557"/>
      <c r="M162" s="161"/>
      <c r="N162" s="161"/>
      <c r="O162" s="161"/>
      <c r="P162" s="161"/>
      <c r="Q162" s="161"/>
      <c r="R162" s="161"/>
      <c r="S162" s="161"/>
      <c r="T162" s="161"/>
      <c r="U162" s="161"/>
      <c r="V162" s="161"/>
      <c r="W162" s="161"/>
      <c r="X162" s="161"/>
      <c r="Y162" s="161"/>
      <c r="Z162" s="161"/>
      <c r="AA162" s="161"/>
      <c r="AB162" s="161"/>
      <c r="AC162" s="161"/>
    </row>
    <row r="163" spans="1:29" ht="12.75" customHeight="1" x14ac:dyDescent="0.25">
      <c r="A163" s="555"/>
      <c r="B163" s="556"/>
      <c r="C163" s="556"/>
      <c r="D163" s="556"/>
      <c r="E163" s="556"/>
      <c r="F163" s="556"/>
      <c r="G163" s="556"/>
      <c r="H163" s="556"/>
      <c r="I163" s="556"/>
      <c r="J163" s="556"/>
      <c r="K163" s="556"/>
      <c r="L163" s="557"/>
      <c r="M163" s="161"/>
      <c r="N163" s="161"/>
      <c r="O163" s="161"/>
      <c r="P163" s="161"/>
      <c r="Q163" s="161"/>
      <c r="R163" s="161"/>
      <c r="S163" s="161"/>
      <c r="T163" s="161"/>
      <c r="U163" s="161"/>
      <c r="V163" s="161"/>
      <c r="W163" s="161"/>
      <c r="X163" s="161"/>
      <c r="Y163" s="161"/>
      <c r="Z163" s="161"/>
      <c r="AA163" s="161"/>
      <c r="AB163" s="161"/>
      <c r="AC163" s="161"/>
    </row>
    <row r="164" spans="1:29" ht="12.75" customHeight="1" x14ac:dyDescent="0.25">
      <c r="A164" s="555"/>
      <c r="B164" s="556"/>
      <c r="C164" s="556"/>
      <c r="D164" s="556"/>
      <c r="E164" s="556"/>
      <c r="F164" s="556"/>
      <c r="G164" s="556"/>
      <c r="H164" s="556"/>
      <c r="I164" s="556"/>
      <c r="J164" s="556"/>
      <c r="K164" s="556"/>
      <c r="L164" s="557"/>
      <c r="M164" s="161"/>
      <c r="N164" s="161"/>
      <c r="O164" s="161"/>
      <c r="P164" s="161"/>
      <c r="Q164" s="161"/>
      <c r="R164" s="161"/>
      <c r="S164" s="161"/>
      <c r="T164" s="161"/>
      <c r="U164" s="161"/>
      <c r="V164" s="161"/>
      <c r="W164" s="161"/>
      <c r="X164" s="161"/>
      <c r="Y164" s="161"/>
      <c r="Z164" s="161"/>
      <c r="AA164" s="161"/>
      <c r="AB164" s="161"/>
      <c r="AC164" s="161"/>
    </row>
    <row r="165" spans="1:29" ht="12.75" customHeight="1" x14ac:dyDescent="0.25">
      <c r="A165" s="555"/>
      <c r="B165" s="556"/>
      <c r="C165" s="556"/>
      <c r="D165" s="556"/>
      <c r="E165" s="556"/>
      <c r="F165" s="556"/>
      <c r="G165" s="556"/>
      <c r="H165" s="556"/>
      <c r="I165" s="556"/>
      <c r="J165" s="556"/>
      <c r="K165" s="556"/>
      <c r="L165" s="557"/>
      <c r="M165" s="161"/>
      <c r="N165" s="161"/>
      <c r="O165" s="161"/>
      <c r="P165" s="161"/>
      <c r="Q165" s="161"/>
      <c r="R165" s="161"/>
      <c r="S165" s="161"/>
      <c r="T165" s="161"/>
      <c r="U165" s="161"/>
      <c r="V165" s="161"/>
      <c r="W165" s="161"/>
      <c r="X165" s="161"/>
      <c r="Y165" s="161"/>
      <c r="Z165" s="161"/>
      <c r="AA165" s="161"/>
      <c r="AB165" s="161"/>
      <c r="AC165" s="161"/>
    </row>
    <row r="166" spans="1:29" ht="12.75" customHeight="1" x14ac:dyDescent="0.25">
      <c r="A166" s="558"/>
      <c r="B166" s="559"/>
      <c r="C166" s="559"/>
      <c r="D166" s="559"/>
      <c r="E166" s="559"/>
      <c r="F166" s="559"/>
      <c r="G166" s="559"/>
      <c r="H166" s="559"/>
      <c r="I166" s="559"/>
      <c r="J166" s="559"/>
      <c r="K166" s="559"/>
      <c r="L166" s="560"/>
      <c r="M166" s="161"/>
      <c r="N166" s="161"/>
      <c r="O166" s="161"/>
      <c r="P166" s="161"/>
      <c r="Q166" s="161"/>
      <c r="R166" s="161"/>
      <c r="S166" s="161"/>
      <c r="T166" s="161"/>
      <c r="U166" s="161"/>
      <c r="V166" s="161"/>
      <c r="W166" s="161"/>
      <c r="X166" s="161"/>
      <c r="Y166" s="161"/>
      <c r="Z166" s="161"/>
      <c r="AA166" s="161"/>
      <c r="AB166" s="161"/>
      <c r="AC166" s="161"/>
    </row>
    <row r="167" spans="1:29" x14ac:dyDescent="0.25">
      <c r="M167" s="161"/>
      <c r="N167" s="161"/>
      <c r="O167" s="161"/>
      <c r="P167" s="161"/>
      <c r="Q167" s="161"/>
      <c r="R167" s="161"/>
      <c r="S167" s="161"/>
      <c r="T167" s="161"/>
      <c r="U167" s="161"/>
      <c r="V167" s="161"/>
      <c r="W167" s="161"/>
      <c r="X167" s="161"/>
      <c r="Y167" s="161"/>
      <c r="Z167" s="161"/>
      <c r="AA167" s="161"/>
      <c r="AB167" s="161"/>
      <c r="AC167" s="161"/>
    </row>
    <row r="168" spans="1:29" x14ac:dyDescent="0.25">
      <c r="M168" s="161"/>
      <c r="N168" s="161"/>
      <c r="O168" s="161"/>
      <c r="P168" s="161"/>
      <c r="Q168" s="161"/>
      <c r="R168" s="161"/>
      <c r="S168" s="161"/>
      <c r="T168" s="161"/>
      <c r="U168" s="161"/>
      <c r="V168" s="161"/>
      <c r="W168" s="161"/>
      <c r="X168" s="161"/>
      <c r="Y168" s="161"/>
      <c r="Z168" s="161"/>
      <c r="AA168" s="161"/>
      <c r="AB168" s="161"/>
      <c r="AC168" s="161"/>
    </row>
    <row r="169" spans="1:29" x14ac:dyDescent="0.25">
      <c r="M169" s="161"/>
      <c r="N169" s="161"/>
      <c r="O169" s="161"/>
      <c r="P169" s="161"/>
      <c r="Q169" s="161"/>
      <c r="R169" s="161"/>
      <c r="S169" s="161"/>
      <c r="T169" s="161"/>
      <c r="U169" s="161"/>
      <c r="V169" s="161"/>
      <c r="W169" s="161"/>
      <c r="X169" s="161"/>
      <c r="Y169" s="161"/>
      <c r="Z169" s="161"/>
      <c r="AA169" s="161"/>
      <c r="AB169" s="161"/>
      <c r="AC169" s="161"/>
    </row>
    <row r="170" spans="1:29" x14ac:dyDescent="0.25">
      <c r="M170" s="161"/>
      <c r="N170" s="161"/>
      <c r="O170" s="161"/>
      <c r="P170" s="161"/>
      <c r="Q170" s="161"/>
      <c r="R170" s="161"/>
      <c r="S170" s="161"/>
      <c r="T170" s="161"/>
      <c r="U170" s="161"/>
      <c r="V170" s="161"/>
      <c r="W170" s="161"/>
      <c r="X170" s="161"/>
      <c r="Y170" s="161"/>
      <c r="Z170" s="161"/>
      <c r="AA170" s="161"/>
      <c r="AB170" s="161"/>
      <c r="AC170" s="161"/>
    </row>
    <row r="171" spans="1:29" x14ac:dyDescent="0.25">
      <c r="M171" s="161"/>
      <c r="N171" s="161"/>
      <c r="O171" s="161"/>
      <c r="P171" s="161"/>
      <c r="Q171" s="161"/>
      <c r="R171" s="161"/>
      <c r="S171" s="161"/>
      <c r="T171" s="161"/>
      <c r="U171" s="161"/>
      <c r="V171" s="161"/>
      <c r="W171" s="161"/>
      <c r="X171" s="161"/>
      <c r="Y171" s="161"/>
      <c r="Z171" s="161"/>
      <c r="AA171" s="161"/>
      <c r="AB171" s="161"/>
      <c r="AC171" s="161"/>
    </row>
    <row r="172" spans="1:29" x14ac:dyDescent="0.25">
      <c r="M172" s="161"/>
      <c r="N172" s="161"/>
      <c r="O172" s="161"/>
      <c r="P172" s="161"/>
      <c r="Q172" s="161"/>
      <c r="R172" s="161"/>
      <c r="S172" s="161"/>
      <c r="T172" s="161"/>
      <c r="U172" s="161"/>
      <c r="V172" s="161"/>
      <c r="W172" s="161"/>
      <c r="X172" s="161"/>
      <c r="Y172" s="161"/>
      <c r="Z172" s="161"/>
      <c r="AA172" s="161"/>
      <c r="AB172" s="161"/>
      <c r="AC172" s="161"/>
    </row>
    <row r="173" spans="1:29" x14ac:dyDescent="0.25">
      <c r="M173" s="161"/>
      <c r="N173" s="161"/>
      <c r="O173" s="161"/>
      <c r="P173" s="161"/>
      <c r="Q173" s="161"/>
      <c r="R173" s="161"/>
      <c r="S173" s="161"/>
      <c r="T173" s="161"/>
      <c r="U173" s="161"/>
      <c r="V173" s="161"/>
      <c r="W173" s="161"/>
      <c r="X173" s="161"/>
      <c r="Y173" s="161"/>
      <c r="Z173" s="161"/>
      <c r="AA173" s="161"/>
      <c r="AB173" s="161"/>
      <c r="AC173" s="161"/>
    </row>
    <row r="174" spans="1:29" x14ac:dyDescent="0.25">
      <c r="M174" s="161"/>
      <c r="N174" s="161"/>
      <c r="O174" s="161"/>
      <c r="P174" s="161"/>
      <c r="Q174" s="161"/>
      <c r="R174" s="161"/>
      <c r="S174" s="161"/>
      <c r="T174" s="161"/>
      <c r="U174" s="161"/>
      <c r="V174" s="161"/>
      <c r="W174" s="161"/>
      <c r="X174" s="161"/>
      <c r="Y174" s="161"/>
      <c r="Z174" s="161"/>
      <c r="AA174" s="161"/>
      <c r="AB174" s="161"/>
      <c r="AC174" s="161"/>
    </row>
    <row r="175" spans="1:29" x14ac:dyDescent="0.25">
      <c r="M175" s="161"/>
      <c r="N175" s="161"/>
      <c r="O175" s="161"/>
      <c r="P175" s="161"/>
      <c r="Q175" s="161"/>
      <c r="R175" s="161"/>
      <c r="S175" s="161"/>
      <c r="T175" s="161"/>
      <c r="U175" s="161"/>
      <c r="V175" s="161"/>
      <c r="W175" s="161"/>
      <c r="X175" s="161"/>
      <c r="Y175" s="161"/>
      <c r="Z175" s="161"/>
      <c r="AA175" s="161"/>
      <c r="AB175" s="161"/>
      <c r="AC175" s="161"/>
    </row>
    <row r="176" spans="1:29" x14ac:dyDescent="0.25">
      <c r="M176" s="161"/>
      <c r="N176" s="161"/>
      <c r="O176" s="161"/>
      <c r="P176" s="161"/>
      <c r="Q176" s="161"/>
      <c r="R176" s="161"/>
      <c r="S176" s="161"/>
      <c r="T176" s="161"/>
      <c r="U176" s="161"/>
      <c r="V176" s="161"/>
      <c r="W176" s="161"/>
      <c r="X176" s="161"/>
      <c r="Y176" s="161"/>
      <c r="Z176" s="161"/>
      <c r="AA176" s="161"/>
      <c r="AB176" s="161"/>
      <c r="AC176" s="161"/>
    </row>
    <row r="177" spans="13:29" x14ac:dyDescent="0.25">
      <c r="M177" s="161"/>
      <c r="N177" s="161"/>
      <c r="O177" s="161"/>
      <c r="P177" s="161"/>
      <c r="Q177" s="161"/>
      <c r="R177" s="161"/>
      <c r="S177" s="161"/>
      <c r="T177" s="161"/>
      <c r="U177" s="161"/>
      <c r="V177" s="161"/>
      <c r="W177" s="161"/>
      <c r="X177" s="161"/>
      <c r="Y177" s="161"/>
      <c r="Z177" s="161"/>
      <c r="AA177" s="161"/>
      <c r="AB177" s="161"/>
      <c r="AC177" s="161"/>
    </row>
    <row r="178" spans="13:29" x14ac:dyDescent="0.25">
      <c r="M178" s="161"/>
      <c r="N178" s="161"/>
      <c r="O178" s="161"/>
      <c r="P178" s="161"/>
      <c r="Q178" s="161"/>
      <c r="R178" s="161"/>
      <c r="S178" s="161"/>
      <c r="T178" s="161"/>
      <c r="U178" s="161"/>
      <c r="V178" s="161"/>
      <c r="W178" s="161"/>
      <c r="X178" s="161"/>
      <c r="Y178" s="161"/>
      <c r="Z178" s="161"/>
      <c r="AA178" s="161"/>
      <c r="AB178" s="161"/>
      <c r="AC178" s="161"/>
    </row>
    <row r="179" spans="13:29" x14ac:dyDescent="0.25">
      <c r="M179" s="161"/>
      <c r="N179" s="161"/>
      <c r="O179" s="161"/>
      <c r="P179" s="161"/>
      <c r="Q179" s="161"/>
      <c r="R179" s="161"/>
      <c r="S179" s="161"/>
      <c r="T179" s="161"/>
      <c r="U179" s="161"/>
      <c r="V179" s="161"/>
      <c r="W179" s="161"/>
      <c r="X179" s="161"/>
      <c r="Y179" s="161"/>
      <c r="Z179" s="161"/>
      <c r="AA179" s="161"/>
      <c r="AB179" s="161"/>
      <c r="AC179" s="161"/>
    </row>
  </sheetData>
  <sheetProtection algorithmName="SHA-512" hashValue="aOUdZcuht0lpLNrAQ8Gd1CUZOV8L/27Nc+NmxruR9tptegLxT8dEUOsvfweYCnwvWsj3jJaCCFN+Ywh5tzmTtw==" saltValue="kW6Yj1hrtsvKAwsE04QCDQ==" spinCount="100000" sheet="1" objects="1" scenarios="1"/>
  <mergeCells count="95">
    <mergeCell ref="B113:C113"/>
    <mergeCell ref="H113:J113"/>
    <mergeCell ref="B118:C118"/>
    <mergeCell ref="A160:L166"/>
    <mergeCell ref="B106:C106"/>
    <mergeCell ref="H106:J106"/>
    <mergeCell ref="B110:C111"/>
    <mergeCell ref="H111:J111"/>
    <mergeCell ref="B112:C112"/>
    <mergeCell ref="H112:J112"/>
    <mergeCell ref="B103:C103"/>
    <mergeCell ref="H103:J103"/>
    <mergeCell ref="B104:C104"/>
    <mergeCell ref="H104:J104"/>
    <mergeCell ref="B105:C105"/>
    <mergeCell ref="H105:J105"/>
    <mergeCell ref="B100:C100"/>
    <mergeCell ref="H100:J100"/>
    <mergeCell ref="B101:C101"/>
    <mergeCell ref="H101:J101"/>
    <mergeCell ref="B102:C102"/>
    <mergeCell ref="H102:J102"/>
    <mergeCell ref="B97:C97"/>
    <mergeCell ref="H97:J97"/>
    <mergeCell ref="B98:C98"/>
    <mergeCell ref="H98:J98"/>
    <mergeCell ref="B99:C99"/>
    <mergeCell ref="H99:J99"/>
    <mergeCell ref="B87:L87"/>
    <mergeCell ref="B88:L88"/>
    <mergeCell ref="B89:L89"/>
    <mergeCell ref="B90:L90"/>
    <mergeCell ref="B95:C96"/>
    <mergeCell ref="H96:J96"/>
    <mergeCell ref="B86:L86"/>
    <mergeCell ref="B70:L70"/>
    <mergeCell ref="B71:L71"/>
    <mergeCell ref="B78:L78"/>
    <mergeCell ref="B79:L79"/>
    <mergeCell ref="B80:L80"/>
    <mergeCell ref="B81:L81"/>
    <mergeCell ref="B82:L82"/>
    <mergeCell ref="B83:L83"/>
    <mergeCell ref="B84:L84"/>
    <mergeCell ref="B85:L85"/>
    <mergeCell ref="H63:J63"/>
    <mergeCell ref="B52:C52"/>
    <mergeCell ref="H52:J52"/>
    <mergeCell ref="M52:N52"/>
    <mergeCell ref="H54:J57"/>
    <mergeCell ref="L54:L57"/>
    <mergeCell ref="H58:J58"/>
    <mergeCell ref="M59:N60"/>
    <mergeCell ref="H60:J62"/>
    <mergeCell ref="L61:L62"/>
    <mergeCell ref="L47:L48"/>
    <mergeCell ref="H48:J48"/>
    <mergeCell ref="H49:J49"/>
    <mergeCell ref="B50:C51"/>
    <mergeCell ref="E50:E51"/>
    <mergeCell ref="H50:J51"/>
    <mergeCell ref="L50:L51"/>
    <mergeCell ref="L38:L39"/>
    <mergeCell ref="E39:G39"/>
    <mergeCell ref="H39:K39"/>
    <mergeCell ref="H40:J40"/>
    <mergeCell ref="H43:J43"/>
    <mergeCell ref="L40:L43"/>
    <mergeCell ref="H44:J44"/>
    <mergeCell ref="B31:C31"/>
    <mergeCell ref="H31:J31"/>
    <mergeCell ref="B33:C33"/>
    <mergeCell ref="H33:J33"/>
    <mergeCell ref="B34:C34"/>
    <mergeCell ref="H34:J34"/>
    <mergeCell ref="H41:J41"/>
    <mergeCell ref="H42:J42"/>
    <mergeCell ref="B23:L23"/>
    <mergeCell ref="B24:L24"/>
    <mergeCell ref="B25:L25"/>
    <mergeCell ref="B26:L26"/>
    <mergeCell ref="B30:C30"/>
    <mergeCell ref="H30:J30"/>
    <mergeCell ref="B22:L22"/>
    <mergeCell ref="B6:L6"/>
    <mergeCell ref="B7:L7"/>
    <mergeCell ref="B8:L8"/>
    <mergeCell ref="B9:L9"/>
    <mergeCell ref="B10:D10"/>
    <mergeCell ref="I12:K12"/>
    <mergeCell ref="B17:L17"/>
    <mergeCell ref="B18:L18"/>
    <mergeCell ref="B19:L19"/>
    <mergeCell ref="B20:L20"/>
    <mergeCell ref="B21:L21"/>
  </mergeCells>
  <conditionalFormatting sqref="B97:C106">
    <cfRule type="expression" dxfId="220" priority="232" stopIfTrue="1">
      <formula>$A$97&gt;0</formula>
    </cfRule>
  </conditionalFormatting>
  <conditionalFormatting sqref="B112:C113">
    <cfRule type="expression" dxfId="219" priority="228" stopIfTrue="1">
      <formula>$A$112&gt;0</formula>
    </cfRule>
  </conditionalFormatting>
  <conditionalFormatting sqref="C54:C56">
    <cfRule type="expression" dxfId="218" priority="355" stopIfTrue="1">
      <formula>E54="Elektriciteit niet-netlevering"</formula>
    </cfRule>
  </conditionalFormatting>
  <conditionalFormatting sqref="E40:E42">
    <cfRule type="expression" dxfId="217" priority="241" stopIfTrue="1">
      <formula>$E$43&gt;0</formula>
    </cfRule>
  </conditionalFormatting>
  <conditionalFormatting sqref="E97:E106">
    <cfRule type="expression" dxfId="215" priority="231" stopIfTrue="1">
      <formula>$A$97&gt;0</formula>
    </cfRule>
  </conditionalFormatting>
  <conditionalFormatting sqref="E112:E113">
    <cfRule type="expression" dxfId="214" priority="227" stopIfTrue="1">
      <formula>$A$112&gt;0</formula>
    </cfRule>
  </conditionalFormatting>
  <conditionalFormatting sqref="E53:F53">
    <cfRule type="expression" dxfId="213" priority="218" stopIfTrue="1">
      <formula>A53="Elektriciteit niet-netlevering"</formula>
    </cfRule>
  </conditionalFormatting>
  <conditionalFormatting sqref="H60">
    <cfRule type="expression" dxfId="212" priority="353" stopIfTrue="1">
      <formula>B14="Geen ETS-correctie"</formula>
    </cfRule>
  </conditionalFormatting>
  <conditionalFormatting sqref="H40:J43">
    <cfRule type="expression" dxfId="211" priority="27">
      <formula>E40&gt;0</formula>
    </cfRule>
  </conditionalFormatting>
  <conditionalFormatting sqref="H44:J44">
    <cfRule type="expression" dxfId="210" priority="257" stopIfTrue="1">
      <formula>OR($E$44=0,A44="Productie afvang en opslag CO₂ (ton/jaar)")</formula>
    </cfRule>
  </conditionalFormatting>
  <conditionalFormatting sqref="H49:J49 L49">
    <cfRule type="expression" dxfId="209" priority="224" stopIfTrue="1">
      <formula>$B$7="Geen ETS-correctie"</formula>
    </cfRule>
  </conditionalFormatting>
  <conditionalFormatting sqref="H52:J52">
    <cfRule type="expression" dxfId="208" priority="360" stopIfTrue="1">
      <formula>#REF!="Elektriciteit netlevering"</formula>
    </cfRule>
  </conditionalFormatting>
  <conditionalFormatting sqref="H58:J58">
    <cfRule type="expression" dxfId="207" priority="359" stopIfTrue="1">
      <formula>#REF!="Elektriciteit netlevering"</formula>
    </cfRule>
    <cfRule type="expression" dxfId="206" priority="358">
      <formula>A44="Productie afvang en opslag CO₂ (ton/jaar)"</formula>
    </cfRule>
  </conditionalFormatting>
  <conditionalFormatting sqref="H59:J59">
    <cfRule type="expression" dxfId="205" priority="356" stopIfTrue="1">
      <formula>B12="Geen ETS-correctie"</formula>
    </cfRule>
  </conditionalFormatting>
  <conditionalFormatting sqref="H63:J64">
    <cfRule type="expression" dxfId="204" priority="222" stopIfTrue="1">
      <formula>B7="Geen ETS-correctie"</formula>
    </cfRule>
  </conditionalFormatting>
  <conditionalFormatting sqref="H65:J66">
    <cfRule type="expression" dxfId="203" priority="357" stopIfTrue="1">
      <formula>B12="Geen ETS-correctie"</formula>
    </cfRule>
  </conditionalFormatting>
  <conditionalFormatting sqref="H67:J67">
    <cfRule type="expression" dxfId="202" priority="362" stopIfTrue="1">
      <formula>B13="Geen ETS-correctie"</formula>
    </cfRule>
  </conditionalFormatting>
  <conditionalFormatting sqref="H97:J106">
    <cfRule type="expression" dxfId="201" priority="230" stopIfTrue="1">
      <formula>$A$97&gt;0</formula>
    </cfRule>
  </conditionalFormatting>
  <conditionalFormatting sqref="H112:J113">
    <cfRule type="expression" dxfId="200" priority="226" stopIfTrue="1">
      <formula>$A$112&gt;0</formula>
    </cfRule>
  </conditionalFormatting>
  <conditionalFormatting sqref="L40">
    <cfRule type="expression" dxfId="199" priority="31">
      <formula>OR(E40&gt;0,E41&gt;0,E42&gt;0,E43&gt;0)</formula>
    </cfRule>
  </conditionalFormatting>
  <conditionalFormatting sqref="L44">
    <cfRule type="expression" dxfId="198" priority="233" stopIfTrue="1">
      <formula>OR($E$44=0,A44="Productie afvang en opslag CO₂ (ton/jaar)")</formula>
    </cfRule>
  </conditionalFormatting>
  <conditionalFormatting sqref="L58">
    <cfRule type="expression" dxfId="197" priority="216">
      <formula>A44="Productie afvang en opslag CO₂ (ton/jaar)"</formula>
    </cfRule>
  </conditionalFormatting>
  <conditionalFormatting sqref="L63:L64">
    <cfRule type="expression" dxfId="196" priority="221" stopIfTrue="1">
      <formula>B7="Geen ETS-correctie"</formula>
    </cfRule>
  </conditionalFormatting>
  <conditionalFormatting sqref="L97:L106">
    <cfRule type="expression" dxfId="195" priority="229" stopIfTrue="1">
      <formula>$A$97&gt;0</formula>
    </cfRule>
  </conditionalFormatting>
  <conditionalFormatting sqref="L112:L113">
    <cfRule type="expression" dxfId="194" priority="225" stopIfTrue="1">
      <formula>$A$112&gt;0</formula>
    </cfRule>
  </conditionalFormatting>
  <conditionalFormatting sqref="S70:S71">
    <cfRule type="expression" dxfId="193" priority="26">
      <formula>$B$12=5</formula>
    </cfRule>
  </conditionalFormatting>
  <conditionalFormatting sqref="S78:S90">
    <cfRule type="expression" dxfId="192" priority="25">
      <formula>$B$12=5</formula>
    </cfRule>
  </conditionalFormatting>
  <conditionalFormatting sqref="T70">
    <cfRule type="expression" dxfId="191" priority="23">
      <formula>$B$12&gt;5</formula>
    </cfRule>
  </conditionalFormatting>
  <conditionalFormatting sqref="T70:T71">
    <cfRule type="expression" dxfId="190" priority="24">
      <formula>$B$12=6</formula>
    </cfRule>
  </conditionalFormatting>
  <conditionalFormatting sqref="T71">
    <cfRule type="expression" dxfId="189" priority="22">
      <formula>$B$12&gt;5</formula>
    </cfRule>
  </conditionalFormatting>
  <conditionalFormatting sqref="T78">
    <cfRule type="expression" dxfId="188" priority="10">
      <formula>$B$12&gt;5</formula>
    </cfRule>
  </conditionalFormatting>
  <conditionalFormatting sqref="T78:T90">
    <cfRule type="expression" dxfId="187" priority="4">
      <formula>$B$12=6</formula>
    </cfRule>
  </conditionalFormatting>
  <conditionalFormatting sqref="T79:T89">
    <cfRule type="expression" dxfId="186" priority="15">
      <formula>$B$12&gt;5</formula>
    </cfRule>
  </conditionalFormatting>
  <conditionalFormatting sqref="T90">
    <cfRule type="expression" dxfId="185" priority="5">
      <formula>$B$12&gt;5</formula>
    </cfRule>
  </conditionalFormatting>
  <conditionalFormatting sqref="U70">
    <cfRule type="expression" dxfId="184" priority="19">
      <formula>$B$12&gt;6</formula>
    </cfRule>
  </conditionalFormatting>
  <conditionalFormatting sqref="U70:U71">
    <cfRule type="expression" dxfId="183" priority="21">
      <formula>$B$12=7</formula>
    </cfRule>
  </conditionalFormatting>
  <conditionalFormatting sqref="U71">
    <cfRule type="expression" dxfId="182" priority="18">
      <formula>$B$12&gt;6</formula>
    </cfRule>
  </conditionalFormatting>
  <conditionalFormatting sqref="U78">
    <cfRule type="expression" dxfId="181" priority="8">
      <formula>$B$12&gt;6</formula>
    </cfRule>
  </conditionalFormatting>
  <conditionalFormatting sqref="U78:U90">
    <cfRule type="expression" dxfId="180" priority="2">
      <formula>$B$12=7</formula>
    </cfRule>
  </conditionalFormatting>
  <conditionalFormatting sqref="U79:U89">
    <cfRule type="expression" dxfId="179" priority="13">
      <formula>$B$12&gt;6</formula>
    </cfRule>
  </conditionalFormatting>
  <conditionalFormatting sqref="U90">
    <cfRule type="expression" dxfId="178" priority="3">
      <formula>$B$12&gt;6</formula>
    </cfRule>
  </conditionalFormatting>
  <conditionalFormatting sqref="V70">
    <cfRule type="expression" dxfId="177" priority="17">
      <formula>$B$12&gt;7</formula>
    </cfRule>
    <cfRule type="expression" dxfId="176" priority="215">
      <formula>B12=8</formula>
    </cfRule>
  </conditionalFormatting>
  <conditionalFormatting sqref="V71">
    <cfRule type="expression" dxfId="175" priority="16">
      <formula>$B$12&gt;7</formula>
    </cfRule>
    <cfRule type="expression" dxfId="174" priority="214">
      <formula>B12=8</formula>
    </cfRule>
  </conditionalFormatting>
  <conditionalFormatting sqref="V78">
    <cfRule type="expression" dxfId="173" priority="6">
      <formula>$B$12&gt;7</formula>
    </cfRule>
    <cfRule type="expression" dxfId="172" priority="139">
      <formula>B12=8</formula>
    </cfRule>
  </conditionalFormatting>
  <conditionalFormatting sqref="V79:V89">
    <cfRule type="expression" dxfId="171" priority="11">
      <formula>$B$12&gt;7</formula>
    </cfRule>
    <cfRule type="expression" dxfId="170" priority="140">
      <formula>$B$12=8</formula>
    </cfRule>
  </conditionalFormatting>
  <conditionalFormatting sqref="V90">
    <cfRule type="expression" dxfId="169" priority="1">
      <formula>$B$12&gt;7</formula>
    </cfRule>
    <cfRule type="expression" dxfId="168" priority="138">
      <formula>B12=8</formula>
    </cfRule>
  </conditionalFormatting>
  <conditionalFormatting sqref="W70">
    <cfRule type="expression" dxfId="167" priority="213">
      <formula>B12&gt;8</formula>
    </cfRule>
    <cfRule type="expression" dxfId="166" priority="212">
      <formula>B12&gt;8</formula>
    </cfRule>
    <cfRule type="expression" dxfId="165" priority="211">
      <formula>B12=9</formula>
    </cfRule>
  </conditionalFormatting>
  <conditionalFormatting sqref="W71">
    <cfRule type="expression" dxfId="164" priority="210">
      <formula>B12&gt;8</formula>
    </cfRule>
    <cfRule type="expression" dxfId="163" priority="209">
      <formula>B12&gt;8</formula>
    </cfRule>
    <cfRule type="expression" dxfId="162" priority="207">
      <formula>B12=9</formula>
    </cfRule>
  </conditionalFormatting>
  <conditionalFormatting sqref="W78">
    <cfRule type="expression" dxfId="161" priority="136">
      <formula>B12=9</formula>
    </cfRule>
    <cfRule type="expression" dxfId="160" priority="137">
      <formula>B12&gt;8</formula>
    </cfRule>
    <cfRule type="expression" dxfId="159" priority="337" stopIfTrue="1">
      <formula>B12&gt;8</formula>
    </cfRule>
  </conditionalFormatting>
  <conditionalFormatting sqref="W79:W89">
    <cfRule type="expression" dxfId="158" priority="126">
      <formula>$B$12=9</formula>
    </cfRule>
    <cfRule type="expression" dxfId="157" priority="127">
      <formula>$B$12&gt;8</formula>
    </cfRule>
  </conditionalFormatting>
  <conditionalFormatting sqref="W90">
    <cfRule type="expression" dxfId="156" priority="135">
      <formula>B12&gt;8</formula>
    </cfRule>
    <cfRule type="expression" dxfId="155" priority="134">
      <formula>B12=9</formula>
    </cfRule>
    <cfRule type="expression" dxfId="154" priority="334" stopIfTrue="1">
      <formula>B12&gt;8</formula>
    </cfRule>
  </conditionalFormatting>
  <conditionalFormatting sqref="X70">
    <cfRule type="expression" dxfId="153" priority="206">
      <formula>B12&gt;9</formula>
    </cfRule>
    <cfRule type="expression" dxfId="152" priority="204">
      <formula>B12=10</formula>
    </cfRule>
    <cfRule type="expression" dxfId="151" priority="205">
      <formula>B12&gt;9</formula>
    </cfRule>
  </conditionalFormatting>
  <conditionalFormatting sqref="X71">
    <cfRule type="expression" dxfId="150" priority="201">
      <formula>B12=10</formula>
    </cfRule>
    <cfRule type="expression" dxfId="149" priority="203">
      <formula>B12&gt;9</formula>
    </cfRule>
    <cfRule type="expression" dxfId="148" priority="202">
      <formula>B12&gt;9</formula>
    </cfRule>
  </conditionalFormatting>
  <conditionalFormatting sqref="X78">
    <cfRule type="expression" dxfId="147" priority="115">
      <formula>B12=10</formula>
    </cfRule>
    <cfRule type="expression" dxfId="146" priority="116">
      <formula>B12&gt;9</formula>
    </cfRule>
    <cfRule type="expression" dxfId="145" priority="117">
      <formula>B12&gt;9</formula>
    </cfRule>
  </conditionalFormatting>
  <conditionalFormatting sqref="X79:X89">
    <cfRule type="expression" dxfId="144" priority="125">
      <formula>$B$12&gt;9</formula>
    </cfRule>
    <cfRule type="expression" dxfId="143" priority="124">
      <formula>$B$12=10</formula>
    </cfRule>
  </conditionalFormatting>
  <conditionalFormatting sqref="X80:X89">
    <cfRule type="expression" dxfId="142" priority="129">
      <formula>B13&gt;9</formula>
    </cfRule>
  </conditionalFormatting>
  <conditionalFormatting sqref="X90">
    <cfRule type="expression" dxfId="141" priority="113">
      <formula>B12&gt;9</formula>
    </cfRule>
    <cfRule type="expression" dxfId="140" priority="112">
      <formula>B12=10</formula>
    </cfRule>
    <cfRule type="expression" dxfId="139" priority="114">
      <formula>B12&gt;9</formula>
    </cfRule>
  </conditionalFormatting>
  <conditionalFormatting sqref="Y70">
    <cfRule type="expression" dxfId="138" priority="199">
      <formula>B12&gt;10</formula>
    </cfRule>
    <cfRule type="expression" dxfId="137" priority="198">
      <formula>B12=11</formula>
    </cfRule>
    <cfRule type="expression" dxfId="136" priority="200">
      <formula>B12&gt;10</formula>
    </cfRule>
  </conditionalFormatting>
  <conditionalFormatting sqref="Y71">
    <cfRule type="expression" dxfId="135" priority="197">
      <formula>B12&gt;10</formula>
    </cfRule>
    <cfRule type="expression" dxfId="134" priority="196">
      <formula>B12&gt;10</formula>
    </cfRule>
    <cfRule type="expression" priority="195">
      <formula>B12=11</formula>
    </cfRule>
  </conditionalFormatting>
  <conditionalFormatting sqref="Y78">
    <cfRule type="expression" dxfId="133" priority="109">
      <formula>B12=11</formula>
    </cfRule>
    <cfRule type="expression" dxfId="132" priority="110">
      <formula>B12&gt;10</formula>
    </cfRule>
    <cfRule type="expression" dxfId="131" priority="111">
      <formula>B12&gt;10</formula>
    </cfRule>
  </conditionalFormatting>
  <conditionalFormatting sqref="Y79:Y89">
    <cfRule type="expression" dxfId="130" priority="122">
      <formula>$B$12=11</formula>
    </cfRule>
    <cfRule type="expression" dxfId="129" priority="123">
      <formula>$B$12&gt;10</formula>
    </cfRule>
  </conditionalFormatting>
  <conditionalFormatting sqref="Y90">
    <cfRule type="expression" dxfId="128" priority="106">
      <formula>B12=11</formula>
    </cfRule>
    <cfRule type="expression" dxfId="127" priority="107">
      <formula>B12&gt;10</formula>
    </cfRule>
    <cfRule type="expression" dxfId="126" priority="108">
      <formula>B12&gt;10</formula>
    </cfRule>
  </conditionalFormatting>
  <conditionalFormatting sqref="Z70">
    <cfRule type="expression" dxfId="125" priority="194">
      <formula>B12&gt;11</formula>
    </cfRule>
    <cfRule type="expression" dxfId="124" priority="193">
      <formula>B12&gt;11</formula>
    </cfRule>
    <cfRule type="expression" dxfId="123" priority="192">
      <formula>B12=12</formula>
    </cfRule>
  </conditionalFormatting>
  <conditionalFormatting sqref="Z71">
    <cfRule type="expression" dxfId="122" priority="191">
      <formula>B12&gt;11</formula>
    </cfRule>
    <cfRule type="expression" dxfId="121" priority="190">
      <formula>B12&gt;11</formula>
    </cfRule>
    <cfRule type="expression" dxfId="120" priority="189">
      <formula>B12=12</formula>
    </cfRule>
  </conditionalFormatting>
  <conditionalFormatting sqref="Z78">
    <cfRule type="expression" dxfId="119" priority="103">
      <formula>B12=12</formula>
    </cfRule>
    <cfRule type="expression" dxfId="118" priority="104">
      <formula>B12&gt;11</formula>
    </cfRule>
    <cfRule type="expression" dxfId="117" priority="105">
      <formula>B12&gt;11</formula>
    </cfRule>
  </conditionalFormatting>
  <conditionalFormatting sqref="Z79:Z89">
    <cfRule type="expression" dxfId="116" priority="120">
      <formula>$B$12=12</formula>
    </cfRule>
    <cfRule type="expression" dxfId="115" priority="121">
      <formula>$B$12&gt;11</formula>
    </cfRule>
  </conditionalFormatting>
  <conditionalFormatting sqref="Z90">
    <cfRule type="expression" dxfId="114" priority="100">
      <formula>B12=12</formula>
    </cfRule>
    <cfRule type="expression" dxfId="113" priority="102">
      <formula>B12&gt;11</formula>
    </cfRule>
    <cfRule type="expression" dxfId="112" priority="101">
      <formula>B12&gt;11</formula>
    </cfRule>
  </conditionalFormatting>
  <conditionalFormatting sqref="AA70">
    <cfRule type="expression" dxfId="111" priority="187">
      <formula>B12&gt;12</formula>
    </cfRule>
    <cfRule type="expression" dxfId="110" priority="188">
      <formula>B12&gt;12</formula>
    </cfRule>
    <cfRule type="expression" dxfId="109" priority="186">
      <formula>B12=13</formula>
    </cfRule>
  </conditionalFormatting>
  <conditionalFormatting sqref="AA71">
    <cfRule type="expression" dxfId="108" priority="185">
      <formula>B12&gt;12</formula>
    </cfRule>
    <cfRule type="expression" dxfId="107" priority="184">
      <formula>B12&gt;12</formula>
    </cfRule>
    <cfRule type="expression" dxfId="106" priority="183">
      <formula>B12=13</formula>
    </cfRule>
  </conditionalFormatting>
  <conditionalFormatting sqref="AA78">
    <cfRule type="expression" dxfId="105" priority="99">
      <formula>B12&gt;12</formula>
    </cfRule>
    <cfRule type="expression" dxfId="104" priority="98">
      <formula>B12&gt;12</formula>
    </cfRule>
    <cfRule type="expression" dxfId="103" priority="97">
      <formula>B12=13</formula>
    </cfRule>
  </conditionalFormatting>
  <conditionalFormatting sqref="AA79:AA89">
    <cfRule type="expression" dxfId="102" priority="119">
      <formula>$B$12&gt;12</formula>
    </cfRule>
    <cfRule type="expression" dxfId="101" priority="118">
      <formula>$B$12=13</formula>
    </cfRule>
  </conditionalFormatting>
  <conditionalFormatting sqref="AA90">
    <cfRule type="expression" dxfId="100" priority="94">
      <formula>B12=13</formula>
    </cfRule>
    <cfRule type="expression" dxfId="99" priority="95">
      <formula>B12&gt;12</formula>
    </cfRule>
    <cfRule type="expression" dxfId="98" priority="96">
      <formula>B12&gt;12</formula>
    </cfRule>
  </conditionalFormatting>
  <conditionalFormatting sqref="AB70">
    <cfRule type="expression" dxfId="97" priority="182">
      <formula>B12&gt;13</formula>
    </cfRule>
    <cfRule type="expression" dxfId="96" priority="181">
      <formula>B12&gt;13</formula>
    </cfRule>
    <cfRule type="expression" dxfId="95" priority="180">
      <formula>B12=14</formula>
    </cfRule>
  </conditionalFormatting>
  <conditionalFormatting sqref="AB71">
    <cfRule type="expression" dxfId="94" priority="179">
      <formula>B12&gt;13</formula>
    </cfRule>
    <cfRule type="expression" dxfId="93" priority="178">
      <formula>+B12&gt;13</formula>
    </cfRule>
    <cfRule type="expression" dxfId="92" priority="177">
      <formula>B12=14</formula>
    </cfRule>
  </conditionalFormatting>
  <conditionalFormatting sqref="AB78">
    <cfRule type="expression" dxfId="91" priority="90">
      <formula>B12&gt;13</formula>
    </cfRule>
    <cfRule type="expression" dxfId="90" priority="89">
      <formula>B12=14</formula>
    </cfRule>
    <cfRule type="expression" dxfId="89" priority="91">
      <formula>B12&gt;13</formula>
    </cfRule>
  </conditionalFormatting>
  <conditionalFormatting sqref="AB79:AB89">
    <cfRule type="expression" dxfId="88" priority="93">
      <formula>$B$12&gt;13</formula>
    </cfRule>
    <cfRule type="expression" dxfId="87" priority="92">
      <formula>$B$12=14</formula>
    </cfRule>
  </conditionalFormatting>
  <conditionalFormatting sqref="AB90">
    <cfRule type="expression" dxfId="86" priority="86">
      <formula>B12=14</formula>
    </cfRule>
    <cfRule type="expression" dxfId="85" priority="87">
      <formula>B12&gt;13</formula>
    </cfRule>
    <cfRule type="expression" dxfId="84" priority="88">
      <formula>B12&gt;13</formula>
    </cfRule>
  </conditionalFormatting>
  <conditionalFormatting sqref="AC70">
    <cfRule type="expression" dxfId="83" priority="175">
      <formula>B12&gt;14</formula>
    </cfRule>
    <cfRule type="expression" dxfId="82" priority="176">
      <formula>B12&gt;14</formula>
    </cfRule>
    <cfRule type="expression" dxfId="81" priority="174">
      <formula>B12=15</formula>
    </cfRule>
  </conditionalFormatting>
  <conditionalFormatting sqref="AC71">
    <cfRule type="expression" dxfId="80" priority="171">
      <formula>B12=15</formula>
    </cfRule>
    <cfRule type="expression" dxfId="79" priority="172">
      <formula>B12&gt;14</formula>
    </cfRule>
    <cfRule type="expression" dxfId="78" priority="173">
      <formula>B12&gt;14</formula>
    </cfRule>
  </conditionalFormatting>
  <conditionalFormatting sqref="AC78">
    <cfRule type="expression" dxfId="77" priority="82">
      <formula>B12&gt;14</formula>
    </cfRule>
    <cfRule type="expression" dxfId="76" priority="83">
      <formula>B12&gt;14</formula>
    </cfRule>
    <cfRule type="expression" dxfId="75" priority="81">
      <formula>B12=15</formula>
    </cfRule>
  </conditionalFormatting>
  <conditionalFormatting sqref="AC79:AC89">
    <cfRule type="expression" dxfId="74" priority="85">
      <formula>$B$12&gt;14</formula>
    </cfRule>
    <cfRule type="expression" dxfId="73" priority="84">
      <formula>$B$12=15</formula>
    </cfRule>
  </conditionalFormatting>
  <conditionalFormatting sqref="AC90">
    <cfRule type="expression" dxfId="72" priority="79">
      <formula>B12&gt;14</formula>
    </cfRule>
    <cfRule type="expression" dxfId="71" priority="78">
      <formula>B12=15</formula>
    </cfRule>
    <cfRule type="expression" dxfId="70" priority="80">
      <formula>B12&gt;14</formula>
    </cfRule>
  </conditionalFormatting>
  <conditionalFormatting sqref="AD70">
    <cfRule type="expression" dxfId="69" priority="168">
      <formula>B12=16</formula>
    </cfRule>
    <cfRule type="expression" dxfId="68" priority="169">
      <formula>B12&gt;15</formula>
    </cfRule>
    <cfRule type="expression" dxfId="67" priority="170">
      <formula>B12&gt;15</formula>
    </cfRule>
  </conditionalFormatting>
  <conditionalFormatting sqref="AD71">
    <cfRule type="expression" dxfId="66" priority="165">
      <formula>B12=16</formula>
    </cfRule>
    <cfRule type="expression" dxfId="65" priority="167">
      <formula>B12&gt;15</formula>
    </cfRule>
    <cfRule type="expression" dxfId="64" priority="166">
      <formula>B12&gt;15</formula>
    </cfRule>
  </conditionalFormatting>
  <conditionalFormatting sqref="AD78">
    <cfRule type="expression" dxfId="63" priority="73">
      <formula>B12&gt;15</formula>
    </cfRule>
    <cfRule type="expression" dxfId="62" priority="75">
      <formula>B12&gt;15</formula>
    </cfRule>
    <cfRule type="expression" dxfId="61" priority="74">
      <formula>B12=16</formula>
    </cfRule>
  </conditionalFormatting>
  <conditionalFormatting sqref="AD79:AD89">
    <cfRule type="expression" dxfId="60" priority="77">
      <formula>$B$12&gt;15</formula>
    </cfRule>
    <cfRule type="expression" dxfId="59" priority="76">
      <formula>$B$12=16</formula>
    </cfRule>
  </conditionalFormatting>
  <conditionalFormatting sqref="AD90">
    <cfRule type="expression" dxfId="58" priority="70">
      <formula>B12=16</formula>
    </cfRule>
    <cfRule type="expression" dxfId="57" priority="71">
      <formula>B12&gt;15</formula>
    </cfRule>
    <cfRule type="expression" dxfId="56" priority="72">
      <formula>B12&gt;15</formula>
    </cfRule>
  </conditionalFormatting>
  <conditionalFormatting sqref="AE70">
    <cfRule type="expression" dxfId="55" priority="164">
      <formula>B12&gt;16</formula>
    </cfRule>
    <cfRule type="expression" dxfId="54" priority="162">
      <formula>B12=17</formula>
    </cfRule>
    <cfRule type="expression" dxfId="53" priority="163">
      <formula>B12&gt;16</formula>
    </cfRule>
  </conditionalFormatting>
  <conditionalFormatting sqref="AE71">
    <cfRule type="expression" dxfId="52" priority="161">
      <formula>B12&gt;16</formula>
    </cfRule>
    <cfRule type="expression" dxfId="51" priority="160">
      <formula>B12&gt;16</formula>
    </cfRule>
    <cfRule type="expression" dxfId="50" priority="159">
      <formula>B12=17</formula>
    </cfRule>
  </conditionalFormatting>
  <conditionalFormatting sqref="AE78">
    <cfRule type="expression" dxfId="49" priority="67">
      <formula>B12&gt;16</formula>
    </cfRule>
    <cfRule type="expression" dxfId="48" priority="66">
      <formula>B12&gt;16</formula>
    </cfRule>
    <cfRule type="expression" dxfId="47" priority="65">
      <formula>"B12=17"</formula>
    </cfRule>
  </conditionalFormatting>
  <conditionalFormatting sqref="AE79:AE89">
    <cfRule type="expression" dxfId="46" priority="68">
      <formula>$B$12=17</formula>
    </cfRule>
    <cfRule type="expression" dxfId="45" priority="69">
      <formula>$B$12&gt;16</formula>
    </cfRule>
  </conditionalFormatting>
  <conditionalFormatting sqref="AE90">
    <cfRule type="expression" dxfId="44" priority="64">
      <formula>B12&gt;16</formula>
    </cfRule>
    <cfRule type="expression" dxfId="43" priority="63">
      <formula>B12&gt;16</formula>
    </cfRule>
    <cfRule type="expression" dxfId="42" priority="62">
      <formula>B12=17</formula>
    </cfRule>
  </conditionalFormatting>
  <conditionalFormatting sqref="AF70">
    <cfRule type="expression" dxfId="41" priority="158">
      <formula>B12&gt;17</formula>
    </cfRule>
    <cfRule type="expression" dxfId="40" priority="157">
      <formula>B12&gt;17</formula>
    </cfRule>
    <cfRule type="expression" dxfId="39" priority="156">
      <formula>B12=18</formula>
    </cfRule>
  </conditionalFormatting>
  <conditionalFormatting sqref="AF71">
    <cfRule type="expression" dxfId="38" priority="155">
      <formula>B12&gt;17</formula>
    </cfRule>
    <cfRule type="expression" dxfId="37" priority="154">
      <formula>B12&gt;17</formula>
    </cfRule>
    <cfRule type="expression" dxfId="36" priority="153">
      <formula>B12=18</formula>
    </cfRule>
  </conditionalFormatting>
  <conditionalFormatting sqref="AF78">
    <cfRule type="expression" dxfId="35" priority="59">
      <formula>B12&gt;17</formula>
    </cfRule>
    <cfRule type="expression" dxfId="34" priority="58">
      <formula>B12&gt;17</formula>
    </cfRule>
    <cfRule type="expression" dxfId="33" priority="57">
      <formula>B12=18</formula>
    </cfRule>
  </conditionalFormatting>
  <conditionalFormatting sqref="AF79:AF89">
    <cfRule type="expression" dxfId="32" priority="61">
      <formula>$B$12&gt;17</formula>
    </cfRule>
    <cfRule type="expression" dxfId="31" priority="60">
      <formula>B12=18</formula>
    </cfRule>
  </conditionalFormatting>
  <conditionalFormatting sqref="AF90">
    <cfRule type="expression" dxfId="30" priority="54">
      <formula>B12=18</formula>
    </cfRule>
    <cfRule type="expression" dxfId="29" priority="55">
      <formula>B12&gt;17</formula>
    </cfRule>
    <cfRule type="expression" dxfId="28" priority="56">
      <formula>+B12&gt;17</formula>
    </cfRule>
  </conditionalFormatting>
  <conditionalFormatting sqref="AG70">
    <cfRule type="expression" dxfId="27" priority="151">
      <formula>B12&gt;18</formula>
    </cfRule>
    <cfRule type="expression" dxfId="26" priority="152">
      <formula>B12&gt;18</formula>
    </cfRule>
    <cfRule type="expression" dxfId="25" priority="150">
      <formula>B12=19</formula>
    </cfRule>
  </conditionalFormatting>
  <conditionalFormatting sqref="AG71">
    <cfRule type="expression" dxfId="24" priority="149">
      <formula>B12&gt;18</formula>
    </cfRule>
    <cfRule type="expression" dxfId="23" priority="148">
      <formula>B12&gt;18</formula>
    </cfRule>
    <cfRule type="expression" dxfId="22" priority="147">
      <formula>B12=19</formula>
    </cfRule>
  </conditionalFormatting>
  <conditionalFormatting sqref="AG78">
    <cfRule type="expression" dxfId="21" priority="51">
      <formula>B12&gt;18</formula>
    </cfRule>
    <cfRule type="expression" dxfId="20" priority="50">
      <formula>B12&gt;18</formula>
    </cfRule>
    <cfRule type="expression" dxfId="19" priority="49">
      <formula>B12=19</formula>
    </cfRule>
  </conditionalFormatting>
  <conditionalFormatting sqref="AG79:AG89">
    <cfRule type="expression" dxfId="18" priority="53">
      <formula>$B$12&gt;18</formula>
    </cfRule>
    <cfRule type="expression" dxfId="17" priority="52">
      <formula>$B$12=19</formula>
    </cfRule>
  </conditionalFormatting>
  <conditionalFormatting sqref="AG90">
    <cfRule type="expression" dxfId="16" priority="48">
      <formula>B12&gt;18</formula>
    </cfRule>
    <cfRule type="expression" dxfId="15" priority="47">
      <formula>B12&gt;18</formula>
    </cfRule>
    <cfRule type="expression" dxfId="14" priority="46">
      <formula>B12=19</formula>
    </cfRule>
  </conditionalFormatting>
  <conditionalFormatting sqref="AH70">
    <cfRule type="expression" dxfId="13" priority="146">
      <formula>B12&gt;19</formula>
    </cfRule>
    <cfRule type="expression" dxfId="12" priority="145">
      <formula>B12&gt;19</formula>
    </cfRule>
    <cfRule type="expression" dxfId="11" priority="144">
      <formula>B12=20</formula>
    </cfRule>
  </conditionalFormatting>
  <conditionalFormatting sqref="AH71">
    <cfRule type="expression" dxfId="10" priority="141">
      <formula>B12=20</formula>
    </cfRule>
    <cfRule type="expression" dxfId="9" priority="142">
      <formula>+B12&gt;19</formula>
    </cfRule>
    <cfRule type="expression" dxfId="8" priority="143">
      <formula>B12&gt;19</formula>
    </cfRule>
  </conditionalFormatting>
  <conditionalFormatting sqref="AH78">
    <cfRule type="expression" dxfId="7" priority="41">
      <formula>B12=20</formula>
    </cfRule>
    <cfRule type="expression" dxfId="6" priority="43">
      <formula>B12&gt;19</formula>
    </cfRule>
    <cfRule type="expression" dxfId="5" priority="42">
      <formula>B12&gt;19</formula>
    </cfRule>
  </conditionalFormatting>
  <conditionalFormatting sqref="AH79:AH89">
    <cfRule type="expression" dxfId="4" priority="45">
      <formula>$B$12&gt;19</formula>
    </cfRule>
    <cfRule type="expression" dxfId="3" priority="44">
      <formula>$B$12=20</formula>
    </cfRule>
  </conditionalFormatting>
  <conditionalFormatting sqref="AH90">
    <cfRule type="expression" dxfId="2" priority="40">
      <formula>B12&gt;19</formula>
    </cfRule>
    <cfRule type="expression" dxfId="1" priority="39">
      <formula>B12&gt;19</formula>
    </cfRule>
    <cfRule type="expression" dxfId="0" priority="38">
      <formula>B12=20</formula>
    </cfRule>
  </conditionalFormatting>
  <dataValidations disablePrompts="1" count="8">
    <dataValidation type="decimal" allowBlank="1" showInputMessage="1" showErrorMessage="1" error="U kunt maximaal een percentage van 3,0% invullen. Klik op &quot;Annuleren&quot; en vul een ander percentage in. " sqref="L52 JH52 TD52 ACZ52 AMV52 AWR52 BGN52 BQJ52 CAF52 CKB52 CTX52 DDT52 DNP52 DXL52 EHH52 ERD52 FAZ52 FKV52 FUR52 GEN52 GOJ52 GYF52 HIB52 HRX52 IBT52 ILP52 IVL52 JFH52 JPD52 JYZ52 KIV52 KSR52 LCN52 LMJ52 LWF52 MGB52 MPX52 MZT52 NJP52 NTL52 ODH52 OND52 OWZ52 PGV52 PQR52 QAN52 QKJ52 QUF52 REB52 RNX52 RXT52 SHP52 SRL52 TBH52 TLD52 TUZ52 UEV52 UOR52 UYN52 VIJ52 VSF52 WCB52 WLX52 WVT52 L65585 JH65585 TD65585 ACZ65585 AMV65585 AWR65585 BGN65585 BQJ65585 CAF65585 CKB65585 CTX65585 DDT65585 DNP65585 DXL65585 EHH65585 ERD65585 FAZ65585 FKV65585 FUR65585 GEN65585 GOJ65585 GYF65585 HIB65585 HRX65585 IBT65585 ILP65585 IVL65585 JFH65585 JPD65585 JYZ65585 KIV65585 KSR65585 LCN65585 LMJ65585 LWF65585 MGB65585 MPX65585 MZT65585 NJP65585 NTL65585 ODH65585 OND65585 OWZ65585 PGV65585 PQR65585 QAN65585 QKJ65585 QUF65585 REB65585 RNX65585 RXT65585 SHP65585 SRL65585 TBH65585 TLD65585 TUZ65585 UEV65585 UOR65585 UYN65585 VIJ65585 VSF65585 WCB65585 WLX65585 WVT65585 L131121 JH131121 TD131121 ACZ131121 AMV131121 AWR131121 BGN131121 BQJ131121 CAF131121 CKB131121 CTX131121 DDT131121 DNP131121 DXL131121 EHH131121 ERD131121 FAZ131121 FKV131121 FUR131121 GEN131121 GOJ131121 GYF131121 HIB131121 HRX131121 IBT131121 ILP131121 IVL131121 JFH131121 JPD131121 JYZ131121 KIV131121 KSR131121 LCN131121 LMJ131121 LWF131121 MGB131121 MPX131121 MZT131121 NJP131121 NTL131121 ODH131121 OND131121 OWZ131121 PGV131121 PQR131121 QAN131121 QKJ131121 QUF131121 REB131121 RNX131121 RXT131121 SHP131121 SRL131121 TBH131121 TLD131121 TUZ131121 UEV131121 UOR131121 UYN131121 VIJ131121 VSF131121 WCB131121 WLX131121 WVT131121 L196657 JH196657 TD196657 ACZ196657 AMV196657 AWR196657 BGN196657 BQJ196657 CAF196657 CKB196657 CTX196657 DDT196657 DNP196657 DXL196657 EHH196657 ERD196657 FAZ196657 FKV196657 FUR196657 GEN196657 GOJ196657 GYF196657 HIB196657 HRX196657 IBT196657 ILP196657 IVL196657 JFH196657 JPD196657 JYZ196657 KIV196657 KSR196657 LCN196657 LMJ196657 LWF196657 MGB196657 MPX196657 MZT196657 NJP196657 NTL196657 ODH196657 OND196657 OWZ196657 PGV196657 PQR196657 QAN196657 QKJ196657 QUF196657 REB196657 RNX196657 RXT196657 SHP196657 SRL196657 TBH196657 TLD196657 TUZ196657 UEV196657 UOR196657 UYN196657 VIJ196657 VSF196657 WCB196657 WLX196657 WVT196657 L262193 JH262193 TD262193 ACZ262193 AMV262193 AWR262193 BGN262193 BQJ262193 CAF262193 CKB262193 CTX262193 DDT262193 DNP262193 DXL262193 EHH262193 ERD262193 FAZ262193 FKV262193 FUR262193 GEN262193 GOJ262193 GYF262193 HIB262193 HRX262193 IBT262193 ILP262193 IVL262193 JFH262193 JPD262193 JYZ262193 KIV262193 KSR262193 LCN262193 LMJ262193 LWF262193 MGB262193 MPX262193 MZT262193 NJP262193 NTL262193 ODH262193 OND262193 OWZ262193 PGV262193 PQR262193 QAN262193 QKJ262193 QUF262193 REB262193 RNX262193 RXT262193 SHP262193 SRL262193 TBH262193 TLD262193 TUZ262193 UEV262193 UOR262193 UYN262193 VIJ262193 VSF262193 WCB262193 WLX262193 WVT262193 L327729 JH327729 TD327729 ACZ327729 AMV327729 AWR327729 BGN327729 BQJ327729 CAF327729 CKB327729 CTX327729 DDT327729 DNP327729 DXL327729 EHH327729 ERD327729 FAZ327729 FKV327729 FUR327729 GEN327729 GOJ327729 GYF327729 HIB327729 HRX327729 IBT327729 ILP327729 IVL327729 JFH327729 JPD327729 JYZ327729 KIV327729 KSR327729 LCN327729 LMJ327729 LWF327729 MGB327729 MPX327729 MZT327729 NJP327729 NTL327729 ODH327729 OND327729 OWZ327729 PGV327729 PQR327729 QAN327729 QKJ327729 QUF327729 REB327729 RNX327729 RXT327729 SHP327729 SRL327729 TBH327729 TLD327729 TUZ327729 UEV327729 UOR327729 UYN327729 VIJ327729 VSF327729 WCB327729 WLX327729 WVT327729 L393265 JH393265 TD393265 ACZ393265 AMV393265 AWR393265 BGN393265 BQJ393265 CAF393265 CKB393265 CTX393265 DDT393265 DNP393265 DXL393265 EHH393265 ERD393265 FAZ393265 FKV393265 FUR393265 GEN393265 GOJ393265 GYF393265 HIB393265 HRX393265 IBT393265 ILP393265 IVL393265 JFH393265 JPD393265 JYZ393265 KIV393265 KSR393265 LCN393265 LMJ393265 LWF393265 MGB393265 MPX393265 MZT393265 NJP393265 NTL393265 ODH393265 OND393265 OWZ393265 PGV393265 PQR393265 QAN393265 QKJ393265 QUF393265 REB393265 RNX393265 RXT393265 SHP393265 SRL393265 TBH393265 TLD393265 TUZ393265 UEV393265 UOR393265 UYN393265 VIJ393265 VSF393265 WCB393265 WLX393265 WVT393265 L458801 JH458801 TD458801 ACZ458801 AMV458801 AWR458801 BGN458801 BQJ458801 CAF458801 CKB458801 CTX458801 DDT458801 DNP458801 DXL458801 EHH458801 ERD458801 FAZ458801 FKV458801 FUR458801 GEN458801 GOJ458801 GYF458801 HIB458801 HRX458801 IBT458801 ILP458801 IVL458801 JFH458801 JPD458801 JYZ458801 KIV458801 KSR458801 LCN458801 LMJ458801 LWF458801 MGB458801 MPX458801 MZT458801 NJP458801 NTL458801 ODH458801 OND458801 OWZ458801 PGV458801 PQR458801 QAN458801 QKJ458801 QUF458801 REB458801 RNX458801 RXT458801 SHP458801 SRL458801 TBH458801 TLD458801 TUZ458801 UEV458801 UOR458801 UYN458801 VIJ458801 VSF458801 WCB458801 WLX458801 WVT458801 L524337 JH524337 TD524337 ACZ524337 AMV524337 AWR524337 BGN524337 BQJ524337 CAF524337 CKB524337 CTX524337 DDT524337 DNP524337 DXL524337 EHH524337 ERD524337 FAZ524337 FKV524337 FUR524337 GEN524337 GOJ524337 GYF524337 HIB524337 HRX524337 IBT524337 ILP524337 IVL524337 JFH524337 JPD524337 JYZ524337 KIV524337 KSR524337 LCN524337 LMJ524337 LWF524337 MGB524337 MPX524337 MZT524337 NJP524337 NTL524337 ODH524337 OND524337 OWZ524337 PGV524337 PQR524337 QAN524337 QKJ524337 QUF524337 REB524337 RNX524337 RXT524337 SHP524337 SRL524337 TBH524337 TLD524337 TUZ524337 UEV524337 UOR524337 UYN524337 VIJ524337 VSF524337 WCB524337 WLX524337 WVT524337 L589873 JH589873 TD589873 ACZ589873 AMV589873 AWR589873 BGN589873 BQJ589873 CAF589873 CKB589873 CTX589873 DDT589873 DNP589873 DXL589873 EHH589873 ERD589873 FAZ589873 FKV589873 FUR589873 GEN589873 GOJ589873 GYF589873 HIB589873 HRX589873 IBT589873 ILP589873 IVL589873 JFH589873 JPD589873 JYZ589873 KIV589873 KSR589873 LCN589873 LMJ589873 LWF589873 MGB589873 MPX589873 MZT589873 NJP589873 NTL589873 ODH589873 OND589873 OWZ589873 PGV589873 PQR589873 QAN589873 QKJ589873 QUF589873 REB589873 RNX589873 RXT589873 SHP589873 SRL589873 TBH589873 TLD589873 TUZ589873 UEV589873 UOR589873 UYN589873 VIJ589873 VSF589873 WCB589873 WLX589873 WVT589873 L655409 JH655409 TD655409 ACZ655409 AMV655409 AWR655409 BGN655409 BQJ655409 CAF655409 CKB655409 CTX655409 DDT655409 DNP655409 DXL655409 EHH655409 ERD655409 FAZ655409 FKV655409 FUR655409 GEN655409 GOJ655409 GYF655409 HIB655409 HRX655409 IBT655409 ILP655409 IVL655409 JFH655409 JPD655409 JYZ655409 KIV655409 KSR655409 LCN655409 LMJ655409 LWF655409 MGB655409 MPX655409 MZT655409 NJP655409 NTL655409 ODH655409 OND655409 OWZ655409 PGV655409 PQR655409 QAN655409 QKJ655409 QUF655409 REB655409 RNX655409 RXT655409 SHP655409 SRL655409 TBH655409 TLD655409 TUZ655409 UEV655409 UOR655409 UYN655409 VIJ655409 VSF655409 WCB655409 WLX655409 WVT655409 L720945 JH720945 TD720945 ACZ720945 AMV720945 AWR720945 BGN720945 BQJ720945 CAF720945 CKB720945 CTX720945 DDT720945 DNP720945 DXL720945 EHH720945 ERD720945 FAZ720945 FKV720945 FUR720945 GEN720945 GOJ720945 GYF720945 HIB720945 HRX720945 IBT720945 ILP720945 IVL720945 JFH720945 JPD720945 JYZ720945 KIV720945 KSR720945 LCN720945 LMJ720945 LWF720945 MGB720945 MPX720945 MZT720945 NJP720945 NTL720945 ODH720945 OND720945 OWZ720945 PGV720945 PQR720945 QAN720945 QKJ720945 QUF720945 REB720945 RNX720945 RXT720945 SHP720945 SRL720945 TBH720945 TLD720945 TUZ720945 UEV720945 UOR720945 UYN720945 VIJ720945 VSF720945 WCB720945 WLX720945 WVT720945 L786481 JH786481 TD786481 ACZ786481 AMV786481 AWR786481 BGN786481 BQJ786481 CAF786481 CKB786481 CTX786481 DDT786481 DNP786481 DXL786481 EHH786481 ERD786481 FAZ786481 FKV786481 FUR786481 GEN786481 GOJ786481 GYF786481 HIB786481 HRX786481 IBT786481 ILP786481 IVL786481 JFH786481 JPD786481 JYZ786481 KIV786481 KSR786481 LCN786481 LMJ786481 LWF786481 MGB786481 MPX786481 MZT786481 NJP786481 NTL786481 ODH786481 OND786481 OWZ786481 PGV786481 PQR786481 QAN786481 QKJ786481 QUF786481 REB786481 RNX786481 RXT786481 SHP786481 SRL786481 TBH786481 TLD786481 TUZ786481 UEV786481 UOR786481 UYN786481 VIJ786481 VSF786481 WCB786481 WLX786481 WVT786481 L852017 JH852017 TD852017 ACZ852017 AMV852017 AWR852017 BGN852017 BQJ852017 CAF852017 CKB852017 CTX852017 DDT852017 DNP852017 DXL852017 EHH852017 ERD852017 FAZ852017 FKV852017 FUR852017 GEN852017 GOJ852017 GYF852017 HIB852017 HRX852017 IBT852017 ILP852017 IVL852017 JFH852017 JPD852017 JYZ852017 KIV852017 KSR852017 LCN852017 LMJ852017 LWF852017 MGB852017 MPX852017 MZT852017 NJP852017 NTL852017 ODH852017 OND852017 OWZ852017 PGV852017 PQR852017 QAN852017 QKJ852017 QUF852017 REB852017 RNX852017 RXT852017 SHP852017 SRL852017 TBH852017 TLD852017 TUZ852017 UEV852017 UOR852017 UYN852017 VIJ852017 VSF852017 WCB852017 WLX852017 WVT852017 L917553 JH917553 TD917553 ACZ917553 AMV917553 AWR917553 BGN917553 BQJ917553 CAF917553 CKB917553 CTX917553 DDT917553 DNP917553 DXL917553 EHH917553 ERD917553 FAZ917553 FKV917553 FUR917553 GEN917553 GOJ917553 GYF917553 HIB917553 HRX917553 IBT917553 ILP917553 IVL917553 JFH917553 JPD917553 JYZ917553 KIV917553 KSR917553 LCN917553 LMJ917553 LWF917553 MGB917553 MPX917553 MZT917553 NJP917553 NTL917553 ODH917553 OND917553 OWZ917553 PGV917553 PQR917553 QAN917553 QKJ917553 QUF917553 REB917553 RNX917553 RXT917553 SHP917553 SRL917553 TBH917553 TLD917553 TUZ917553 UEV917553 UOR917553 UYN917553 VIJ917553 VSF917553 WCB917553 WLX917553 WVT917553 L983089 JH983089 TD983089 ACZ983089 AMV983089 AWR983089 BGN983089 BQJ983089 CAF983089 CKB983089 CTX983089 DDT983089 DNP983089 DXL983089 EHH983089 ERD983089 FAZ983089 FKV983089 FUR983089 GEN983089 GOJ983089 GYF983089 HIB983089 HRX983089 IBT983089 ILP983089 IVL983089 JFH983089 JPD983089 JYZ983089 KIV983089 KSR983089 LCN983089 LMJ983089 LWF983089 MGB983089 MPX983089 MZT983089 NJP983089 NTL983089 ODH983089 OND983089 OWZ983089 PGV983089 PQR983089 QAN983089 QKJ983089 QUF983089 REB983089 RNX983089 RXT983089 SHP983089 SRL983089 TBH983089 TLD983089 TUZ983089 UEV983089 UOR983089 UYN983089 VIJ983089 VSF983089 WCB983089 WLX983089 WVT983089" xr:uid="{BAB5037A-2106-4132-A206-359E19D50A95}">
      <formula1>0</formula1>
      <formula2>0.05</formula2>
    </dataValidation>
    <dataValidation type="decimal" allowBlank="1" showErrorMessage="1" error="U kunt maximaal een percentage van 3,0% invullen. Klik op &quot;Annuleren&quot; en vul een ander percentage in. " prompt="U kunt maximaal een percentage van 3,0% invullen. Klik op &quot;Annuleren&quot; en vul een ander percentage in. " sqref="L49 JH49 TD49 ACZ49 AMV49 AWR49 BGN49 BQJ49 CAF49 CKB49 CTX49 DDT49 DNP49 DXL49 EHH49 ERD49 FAZ49 FKV49 FUR49 GEN49 GOJ49 GYF49 HIB49 HRX49 IBT49 ILP49 IVL49 JFH49 JPD49 JYZ49 KIV49 KSR49 LCN49 LMJ49 LWF49 MGB49 MPX49 MZT49 NJP49 NTL49 ODH49 OND49 OWZ49 PGV49 PQR49 QAN49 QKJ49 QUF49 REB49 RNX49 RXT49 SHP49 SRL49 TBH49 TLD49 TUZ49 UEV49 UOR49 UYN49 VIJ49 VSF49 WCB49 WLX49 WVT49 L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L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L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L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L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L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L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L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L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L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L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L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L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L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L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xr:uid="{A90A478C-69A9-4069-9A88-E9868C1ADCBA}">
      <formula1>0</formula1>
      <formula2>0.05</formula2>
    </dataValidation>
    <dataValidation type="decimal" allowBlank="1" showErrorMessage="1" error="U kunt maximaal een percentage van 3,0% invullen. Klik op &quot;Annuleren&quot; en vul een ander percentage in. " prompt="U kunt maximaal een percentage van 3,0% invullen. Klik op &quot;Annuleren&quot; en vul een ander percentage in. " sqref="WVT983079:WVT983081 L65575:L65577 JH65575:JH65577 TD65575:TD65577 ACZ65575:ACZ65577 AMV65575:AMV65577 AWR65575:AWR65577 BGN65575:BGN65577 BQJ65575:BQJ65577 CAF65575:CAF65577 CKB65575:CKB65577 CTX65575:CTX65577 DDT65575:DDT65577 DNP65575:DNP65577 DXL65575:DXL65577 EHH65575:EHH65577 ERD65575:ERD65577 FAZ65575:FAZ65577 FKV65575:FKV65577 FUR65575:FUR65577 GEN65575:GEN65577 GOJ65575:GOJ65577 GYF65575:GYF65577 HIB65575:HIB65577 HRX65575:HRX65577 IBT65575:IBT65577 ILP65575:ILP65577 IVL65575:IVL65577 JFH65575:JFH65577 JPD65575:JPD65577 JYZ65575:JYZ65577 KIV65575:KIV65577 KSR65575:KSR65577 LCN65575:LCN65577 LMJ65575:LMJ65577 LWF65575:LWF65577 MGB65575:MGB65577 MPX65575:MPX65577 MZT65575:MZT65577 NJP65575:NJP65577 NTL65575:NTL65577 ODH65575:ODH65577 OND65575:OND65577 OWZ65575:OWZ65577 PGV65575:PGV65577 PQR65575:PQR65577 QAN65575:QAN65577 QKJ65575:QKJ65577 QUF65575:QUF65577 REB65575:REB65577 RNX65575:RNX65577 RXT65575:RXT65577 SHP65575:SHP65577 SRL65575:SRL65577 TBH65575:TBH65577 TLD65575:TLD65577 TUZ65575:TUZ65577 UEV65575:UEV65577 UOR65575:UOR65577 UYN65575:UYN65577 VIJ65575:VIJ65577 VSF65575:VSF65577 WCB65575:WCB65577 WLX65575:WLX65577 WVT65575:WVT65577 L131111:L131113 JH131111:JH131113 TD131111:TD131113 ACZ131111:ACZ131113 AMV131111:AMV131113 AWR131111:AWR131113 BGN131111:BGN131113 BQJ131111:BQJ131113 CAF131111:CAF131113 CKB131111:CKB131113 CTX131111:CTX131113 DDT131111:DDT131113 DNP131111:DNP131113 DXL131111:DXL131113 EHH131111:EHH131113 ERD131111:ERD131113 FAZ131111:FAZ131113 FKV131111:FKV131113 FUR131111:FUR131113 GEN131111:GEN131113 GOJ131111:GOJ131113 GYF131111:GYF131113 HIB131111:HIB131113 HRX131111:HRX131113 IBT131111:IBT131113 ILP131111:ILP131113 IVL131111:IVL131113 JFH131111:JFH131113 JPD131111:JPD131113 JYZ131111:JYZ131113 KIV131111:KIV131113 KSR131111:KSR131113 LCN131111:LCN131113 LMJ131111:LMJ131113 LWF131111:LWF131113 MGB131111:MGB131113 MPX131111:MPX131113 MZT131111:MZT131113 NJP131111:NJP131113 NTL131111:NTL131113 ODH131111:ODH131113 OND131111:OND131113 OWZ131111:OWZ131113 PGV131111:PGV131113 PQR131111:PQR131113 QAN131111:QAN131113 QKJ131111:QKJ131113 QUF131111:QUF131113 REB131111:REB131113 RNX131111:RNX131113 RXT131111:RXT131113 SHP131111:SHP131113 SRL131111:SRL131113 TBH131111:TBH131113 TLD131111:TLD131113 TUZ131111:TUZ131113 UEV131111:UEV131113 UOR131111:UOR131113 UYN131111:UYN131113 VIJ131111:VIJ131113 VSF131111:VSF131113 WCB131111:WCB131113 WLX131111:WLX131113 WVT131111:WVT131113 L196647:L196649 JH196647:JH196649 TD196647:TD196649 ACZ196647:ACZ196649 AMV196647:AMV196649 AWR196647:AWR196649 BGN196647:BGN196649 BQJ196647:BQJ196649 CAF196647:CAF196649 CKB196647:CKB196649 CTX196647:CTX196649 DDT196647:DDT196649 DNP196647:DNP196649 DXL196647:DXL196649 EHH196647:EHH196649 ERD196647:ERD196649 FAZ196647:FAZ196649 FKV196647:FKV196649 FUR196647:FUR196649 GEN196647:GEN196649 GOJ196647:GOJ196649 GYF196647:GYF196649 HIB196647:HIB196649 HRX196647:HRX196649 IBT196647:IBT196649 ILP196647:ILP196649 IVL196647:IVL196649 JFH196647:JFH196649 JPD196647:JPD196649 JYZ196647:JYZ196649 KIV196647:KIV196649 KSR196647:KSR196649 LCN196647:LCN196649 LMJ196647:LMJ196649 LWF196647:LWF196649 MGB196647:MGB196649 MPX196647:MPX196649 MZT196647:MZT196649 NJP196647:NJP196649 NTL196647:NTL196649 ODH196647:ODH196649 OND196647:OND196649 OWZ196647:OWZ196649 PGV196647:PGV196649 PQR196647:PQR196649 QAN196647:QAN196649 QKJ196647:QKJ196649 QUF196647:QUF196649 REB196647:REB196649 RNX196647:RNX196649 RXT196647:RXT196649 SHP196647:SHP196649 SRL196647:SRL196649 TBH196647:TBH196649 TLD196647:TLD196649 TUZ196647:TUZ196649 UEV196647:UEV196649 UOR196647:UOR196649 UYN196647:UYN196649 VIJ196647:VIJ196649 VSF196647:VSF196649 WCB196647:WCB196649 WLX196647:WLX196649 WVT196647:WVT196649 L262183:L262185 JH262183:JH262185 TD262183:TD262185 ACZ262183:ACZ262185 AMV262183:AMV262185 AWR262183:AWR262185 BGN262183:BGN262185 BQJ262183:BQJ262185 CAF262183:CAF262185 CKB262183:CKB262185 CTX262183:CTX262185 DDT262183:DDT262185 DNP262183:DNP262185 DXL262183:DXL262185 EHH262183:EHH262185 ERD262183:ERD262185 FAZ262183:FAZ262185 FKV262183:FKV262185 FUR262183:FUR262185 GEN262183:GEN262185 GOJ262183:GOJ262185 GYF262183:GYF262185 HIB262183:HIB262185 HRX262183:HRX262185 IBT262183:IBT262185 ILP262183:ILP262185 IVL262183:IVL262185 JFH262183:JFH262185 JPD262183:JPD262185 JYZ262183:JYZ262185 KIV262183:KIV262185 KSR262183:KSR262185 LCN262183:LCN262185 LMJ262183:LMJ262185 LWF262183:LWF262185 MGB262183:MGB262185 MPX262183:MPX262185 MZT262183:MZT262185 NJP262183:NJP262185 NTL262183:NTL262185 ODH262183:ODH262185 OND262183:OND262185 OWZ262183:OWZ262185 PGV262183:PGV262185 PQR262183:PQR262185 QAN262183:QAN262185 QKJ262183:QKJ262185 QUF262183:QUF262185 REB262183:REB262185 RNX262183:RNX262185 RXT262183:RXT262185 SHP262183:SHP262185 SRL262183:SRL262185 TBH262183:TBH262185 TLD262183:TLD262185 TUZ262183:TUZ262185 UEV262183:UEV262185 UOR262183:UOR262185 UYN262183:UYN262185 VIJ262183:VIJ262185 VSF262183:VSF262185 WCB262183:WCB262185 WLX262183:WLX262185 WVT262183:WVT262185 L327719:L327721 JH327719:JH327721 TD327719:TD327721 ACZ327719:ACZ327721 AMV327719:AMV327721 AWR327719:AWR327721 BGN327719:BGN327721 BQJ327719:BQJ327721 CAF327719:CAF327721 CKB327719:CKB327721 CTX327719:CTX327721 DDT327719:DDT327721 DNP327719:DNP327721 DXL327719:DXL327721 EHH327719:EHH327721 ERD327719:ERD327721 FAZ327719:FAZ327721 FKV327719:FKV327721 FUR327719:FUR327721 GEN327719:GEN327721 GOJ327719:GOJ327721 GYF327719:GYF327721 HIB327719:HIB327721 HRX327719:HRX327721 IBT327719:IBT327721 ILP327719:ILP327721 IVL327719:IVL327721 JFH327719:JFH327721 JPD327719:JPD327721 JYZ327719:JYZ327721 KIV327719:KIV327721 KSR327719:KSR327721 LCN327719:LCN327721 LMJ327719:LMJ327721 LWF327719:LWF327721 MGB327719:MGB327721 MPX327719:MPX327721 MZT327719:MZT327721 NJP327719:NJP327721 NTL327719:NTL327721 ODH327719:ODH327721 OND327719:OND327721 OWZ327719:OWZ327721 PGV327719:PGV327721 PQR327719:PQR327721 QAN327719:QAN327721 QKJ327719:QKJ327721 QUF327719:QUF327721 REB327719:REB327721 RNX327719:RNX327721 RXT327719:RXT327721 SHP327719:SHP327721 SRL327719:SRL327721 TBH327719:TBH327721 TLD327719:TLD327721 TUZ327719:TUZ327721 UEV327719:UEV327721 UOR327719:UOR327721 UYN327719:UYN327721 VIJ327719:VIJ327721 VSF327719:VSF327721 WCB327719:WCB327721 WLX327719:WLX327721 WVT327719:WVT327721 L393255:L393257 JH393255:JH393257 TD393255:TD393257 ACZ393255:ACZ393257 AMV393255:AMV393257 AWR393255:AWR393257 BGN393255:BGN393257 BQJ393255:BQJ393257 CAF393255:CAF393257 CKB393255:CKB393257 CTX393255:CTX393257 DDT393255:DDT393257 DNP393255:DNP393257 DXL393255:DXL393257 EHH393255:EHH393257 ERD393255:ERD393257 FAZ393255:FAZ393257 FKV393255:FKV393257 FUR393255:FUR393257 GEN393255:GEN393257 GOJ393255:GOJ393257 GYF393255:GYF393257 HIB393255:HIB393257 HRX393255:HRX393257 IBT393255:IBT393257 ILP393255:ILP393257 IVL393255:IVL393257 JFH393255:JFH393257 JPD393255:JPD393257 JYZ393255:JYZ393257 KIV393255:KIV393257 KSR393255:KSR393257 LCN393255:LCN393257 LMJ393255:LMJ393257 LWF393255:LWF393257 MGB393255:MGB393257 MPX393255:MPX393257 MZT393255:MZT393257 NJP393255:NJP393257 NTL393255:NTL393257 ODH393255:ODH393257 OND393255:OND393257 OWZ393255:OWZ393257 PGV393255:PGV393257 PQR393255:PQR393257 QAN393255:QAN393257 QKJ393255:QKJ393257 QUF393255:QUF393257 REB393255:REB393257 RNX393255:RNX393257 RXT393255:RXT393257 SHP393255:SHP393257 SRL393255:SRL393257 TBH393255:TBH393257 TLD393255:TLD393257 TUZ393255:TUZ393257 UEV393255:UEV393257 UOR393255:UOR393257 UYN393255:UYN393257 VIJ393255:VIJ393257 VSF393255:VSF393257 WCB393255:WCB393257 WLX393255:WLX393257 WVT393255:WVT393257 L458791:L458793 JH458791:JH458793 TD458791:TD458793 ACZ458791:ACZ458793 AMV458791:AMV458793 AWR458791:AWR458793 BGN458791:BGN458793 BQJ458791:BQJ458793 CAF458791:CAF458793 CKB458791:CKB458793 CTX458791:CTX458793 DDT458791:DDT458793 DNP458791:DNP458793 DXL458791:DXL458793 EHH458791:EHH458793 ERD458791:ERD458793 FAZ458791:FAZ458793 FKV458791:FKV458793 FUR458791:FUR458793 GEN458791:GEN458793 GOJ458791:GOJ458793 GYF458791:GYF458793 HIB458791:HIB458793 HRX458791:HRX458793 IBT458791:IBT458793 ILP458791:ILP458793 IVL458791:IVL458793 JFH458791:JFH458793 JPD458791:JPD458793 JYZ458791:JYZ458793 KIV458791:KIV458793 KSR458791:KSR458793 LCN458791:LCN458793 LMJ458791:LMJ458793 LWF458791:LWF458793 MGB458791:MGB458793 MPX458791:MPX458793 MZT458791:MZT458793 NJP458791:NJP458793 NTL458791:NTL458793 ODH458791:ODH458793 OND458791:OND458793 OWZ458791:OWZ458793 PGV458791:PGV458793 PQR458791:PQR458793 QAN458791:QAN458793 QKJ458791:QKJ458793 QUF458791:QUF458793 REB458791:REB458793 RNX458791:RNX458793 RXT458791:RXT458793 SHP458791:SHP458793 SRL458791:SRL458793 TBH458791:TBH458793 TLD458791:TLD458793 TUZ458791:TUZ458793 UEV458791:UEV458793 UOR458791:UOR458793 UYN458791:UYN458793 VIJ458791:VIJ458793 VSF458791:VSF458793 WCB458791:WCB458793 WLX458791:WLX458793 WVT458791:WVT458793 L524327:L524329 JH524327:JH524329 TD524327:TD524329 ACZ524327:ACZ524329 AMV524327:AMV524329 AWR524327:AWR524329 BGN524327:BGN524329 BQJ524327:BQJ524329 CAF524327:CAF524329 CKB524327:CKB524329 CTX524327:CTX524329 DDT524327:DDT524329 DNP524327:DNP524329 DXL524327:DXL524329 EHH524327:EHH524329 ERD524327:ERD524329 FAZ524327:FAZ524329 FKV524327:FKV524329 FUR524327:FUR524329 GEN524327:GEN524329 GOJ524327:GOJ524329 GYF524327:GYF524329 HIB524327:HIB524329 HRX524327:HRX524329 IBT524327:IBT524329 ILP524327:ILP524329 IVL524327:IVL524329 JFH524327:JFH524329 JPD524327:JPD524329 JYZ524327:JYZ524329 KIV524327:KIV524329 KSR524327:KSR524329 LCN524327:LCN524329 LMJ524327:LMJ524329 LWF524327:LWF524329 MGB524327:MGB524329 MPX524327:MPX524329 MZT524327:MZT524329 NJP524327:NJP524329 NTL524327:NTL524329 ODH524327:ODH524329 OND524327:OND524329 OWZ524327:OWZ524329 PGV524327:PGV524329 PQR524327:PQR524329 QAN524327:QAN524329 QKJ524327:QKJ524329 QUF524327:QUF524329 REB524327:REB524329 RNX524327:RNX524329 RXT524327:RXT524329 SHP524327:SHP524329 SRL524327:SRL524329 TBH524327:TBH524329 TLD524327:TLD524329 TUZ524327:TUZ524329 UEV524327:UEV524329 UOR524327:UOR524329 UYN524327:UYN524329 VIJ524327:VIJ524329 VSF524327:VSF524329 WCB524327:WCB524329 WLX524327:WLX524329 WVT524327:WVT524329 L589863:L589865 JH589863:JH589865 TD589863:TD589865 ACZ589863:ACZ589865 AMV589863:AMV589865 AWR589863:AWR589865 BGN589863:BGN589865 BQJ589863:BQJ589865 CAF589863:CAF589865 CKB589863:CKB589865 CTX589863:CTX589865 DDT589863:DDT589865 DNP589863:DNP589865 DXL589863:DXL589865 EHH589863:EHH589865 ERD589863:ERD589865 FAZ589863:FAZ589865 FKV589863:FKV589865 FUR589863:FUR589865 GEN589863:GEN589865 GOJ589863:GOJ589865 GYF589863:GYF589865 HIB589863:HIB589865 HRX589863:HRX589865 IBT589863:IBT589865 ILP589863:ILP589865 IVL589863:IVL589865 JFH589863:JFH589865 JPD589863:JPD589865 JYZ589863:JYZ589865 KIV589863:KIV589865 KSR589863:KSR589865 LCN589863:LCN589865 LMJ589863:LMJ589865 LWF589863:LWF589865 MGB589863:MGB589865 MPX589863:MPX589865 MZT589863:MZT589865 NJP589863:NJP589865 NTL589863:NTL589865 ODH589863:ODH589865 OND589863:OND589865 OWZ589863:OWZ589865 PGV589863:PGV589865 PQR589863:PQR589865 QAN589863:QAN589865 QKJ589863:QKJ589865 QUF589863:QUF589865 REB589863:REB589865 RNX589863:RNX589865 RXT589863:RXT589865 SHP589863:SHP589865 SRL589863:SRL589865 TBH589863:TBH589865 TLD589863:TLD589865 TUZ589863:TUZ589865 UEV589863:UEV589865 UOR589863:UOR589865 UYN589863:UYN589865 VIJ589863:VIJ589865 VSF589863:VSF589865 WCB589863:WCB589865 WLX589863:WLX589865 WVT589863:WVT589865 L655399:L655401 JH655399:JH655401 TD655399:TD655401 ACZ655399:ACZ655401 AMV655399:AMV655401 AWR655399:AWR655401 BGN655399:BGN655401 BQJ655399:BQJ655401 CAF655399:CAF655401 CKB655399:CKB655401 CTX655399:CTX655401 DDT655399:DDT655401 DNP655399:DNP655401 DXL655399:DXL655401 EHH655399:EHH655401 ERD655399:ERD655401 FAZ655399:FAZ655401 FKV655399:FKV655401 FUR655399:FUR655401 GEN655399:GEN655401 GOJ655399:GOJ655401 GYF655399:GYF655401 HIB655399:HIB655401 HRX655399:HRX655401 IBT655399:IBT655401 ILP655399:ILP655401 IVL655399:IVL655401 JFH655399:JFH655401 JPD655399:JPD655401 JYZ655399:JYZ655401 KIV655399:KIV655401 KSR655399:KSR655401 LCN655399:LCN655401 LMJ655399:LMJ655401 LWF655399:LWF655401 MGB655399:MGB655401 MPX655399:MPX655401 MZT655399:MZT655401 NJP655399:NJP655401 NTL655399:NTL655401 ODH655399:ODH655401 OND655399:OND655401 OWZ655399:OWZ655401 PGV655399:PGV655401 PQR655399:PQR655401 QAN655399:QAN655401 QKJ655399:QKJ655401 QUF655399:QUF655401 REB655399:REB655401 RNX655399:RNX655401 RXT655399:RXT655401 SHP655399:SHP655401 SRL655399:SRL655401 TBH655399:TBH655401 TLD655399:TLD655401 TUZ655399:TUZ655401 UEV655399:UEV655401 UOR655399:UOR655401 UYN655399:UYN655401 VIJ655399:VIJ655401 VSF655399:VSF655401 WCB655399:WCB655401 WLX655399:WLX655401 WVT655399:WVT655401 L720935:L720937 JH720935:JH720937 TD720935:TD720937 ACZ720935:ACZ720937 AMV720935:AMV720937 AWR720935:AWR720937 BGN720935:BGN720937 BQJ720935:BQJ720937 CAF720935:CAF720937 CKB720935:CKB720937 CTX720935:CTX720937 DDT720935:DDT720937 DNP720935:DNP720937 DXL720935:DXL720937 EHH720935:EHH720937 ERD720935:ERD720937 FAZ720935:FAZ720937 FKV720935:FKV720937 FUR720935:FUR720937 GEN720935:GEN720937 GOJ720935:GOJ720937 GYF720935:GYF720937 HIB720935:HIB720937 HRX720935:HRX720937 IBT720935:IBT720937 ILP720935:ILP720937 IVL720935:IVL720937 JFH720935:JFH720937 JPD720935:JPD720937 JYZ720935:JYZ720937 KIV720935:KIV720937 KSR720935:KSR720937 LCN720935:LCN720937 LMJ720935:LMJ720937 LWF720935:LWF720937 MGB720935:MGB720937 MPX720935:MPX720937 MZT720935:MZT720937 NJP720935:NJP720937 NTL720935:NTL720937 ODH720935:ODH720937 OND720935:OND720937 OWZ720935:OWZ720937 PGV720935:PGV720937 PQR720935:PQR720937 QAN720935:QAN720937 QKJ720935:QKJ720937 QUF720935:QUF720937 REB720935:REB720937 RNX720935:RNX720937 RXT720935:RXT720937 SHP720935:SHP720937 SRL720935:SRL720937 TBH720935:TBH720937 TLD720935:TLD720937 TUZ720935:TUZ720937 UEV720935:UEV720937 UOR720935:UOR720937 UYN720935:UYN720937 VIJ720935:VIJ720937 VSF720935:VSF720937 WCB720935:WCB720937 WLX720935:WLX720937 WVT720935:WVT720937 L786471:L786473 JH786471:JH786473 TD786471:TD786473 ACZ786471:ACZ786473 AMV786471:AMV786473 AWR786471:AWR786473 BGN786471:BGN786473 BQJ786471:BQJ786473 CAF786471:CAF786473 CKB786471:CKB786473 CTX786471:CTX786473 DDT786471:DDT786473 DNP786471:DNP786473 DXL786471:DXL786473 EHH786471:EHH786473 ERD786471:ERD786473 FAZ786471:FAZ786473 FKV786471:FKV786473 FUR786471:FUR786473 GEN786471:GEN786473 GOJ786471:GOJ786473 GYF786471:GYF786473 HIB786471:HIB786473 HRX786471:HRX786473 IBT786471:IBT786473 ILP786471:ILP786473 IVL786471:IVL786473 JFH786471:JFH786473 JPD786471:JPD786473 JYZ786471:JYZ786473 KIV786471:KIV786473 KSR786471:KSR786473 LCN786471:LCN786473 LMJ786471:LMJ786473 LWF786471:LWF786473 MGB786471:MGB786473 MPX786471:MPX786473 MZT786471:MZT786473 NJP786471:NJP786473 NTL786471:NTL786473 ODH786471:ODH786473 OND786471:OND786473 OWZ786471:OWZ786473 PGV786471:PGV786473 PQR786471:PQR786473 QAN786471:QAN786473 QKJ786471:QKJ786473 QUF786471:QUF786473 REB786471:REB786473 RNX786471:RNX786473 RXT786471:RXT786473 SHP786471:SHP786473 SRL786471:SRL786473 TBH786471:TBH786473 TLD786471:TLD786473 TUZ786471:TUZ786473 UEV786471:UEV786473 UOR786471:UOR786473 UYN786471:UYN786473 VIJ786471:VIJ786473 VSF786471:VSF786473 WCB786471:WCB786473 WLX786471:WLX786473 WVT786471:WVT786473 L852007:L852009 JH852007:JH852009 TD852007:TD852009 ACZ852007:ACZ852009 AMV852007:AMV852009 AWR852007:AWR852009 BGN852007:BGN852009 BQJ852007:BQJ852009 CAF852007:CAF852009 CKB852007:CKB852009 CTX852007:CTX852009 DDT852007:DDT852009 DNP852007:DNP852009 DXL852007:DXL852009 EHH852007:EHH852009 ERD852007:ERD852009 FAZ852007:FAZ852009 FKV852007:FKV852009 FUR852007:FUR852009 GEN852007:GEN852009 GOJ852007:GOJ852009 GYF852007:GYF852009 HIB852007:HIB852009 HRX852007:HRX852009 IBT852007:IBT852009 ILP852007:ILP852009 IVL852007:IVL852009 JFH852007:JFH852009 JPD852007:JPD852009 JYZ852007:JYZ852009 KIV852007:KIV852009 KSR852007:KSR852009 LCN852007:LCN852009 LMJ852007:LMJ852009 LWF852007:LWF852009 MGB852007:MGB852009 MPX852007:MPX852009 MZT852007:MZT852009 NJP852007:NJP852009 NTL852007:NTL852009 ODH852007:ODH852009 OND852007:OND852009 OWZ852007:OWZ852009 PGV852007:PGV852009 PQR852007:PQR852009 QAN852007:QAN852009 QKJ852007:QKJ852009 QUF852007:QUF852009 REB852007:REB852009 RNX852007:RNX852009 RXT852007:RXT852009 SHP852007:SHP852009 SRL852007:SRL852009 TBH852007:TBH852009 TLD852007:TLD852009 TUZ852007:TUZ852009 UEV852007:UEV852009 UOR852007:UOR852009 UYN852007:UYN852009 VIJ852007:VIJ852009 VSF852007:VSF852009 WCB852007:WCB852009 WLX852007:WLX852009 WVT852007:WVT852009 L917543:L917545 JH917543:JH917545 TD917543:TD917545 ACZ917543:ACZ917545 AMV917543:AMV917545 AWR917543:AWR917545 BGN917543:BGN917545 BQJ917543:BQJ917545 CAF917543:CAF917545 CKB917543:CKB917545 CTX917543:CTX917545 DDT917543:DDT917545 DNP917543:DNP917545 DXL917543:DXL917545 EHH917543:EHH917545 ERD917543:ERD917545 FAZ917543:FAZ917545 FKV917543:FKV917545 FUR917543:FUR917545 GEN917543:GEN917545 GOJ917543:GOJ917545 GYF917543:GYF917545 HIB917543:HIB917545 HRX917543:HRX917545 IBT917543:IBT917545 ILP917543:ILP917545 IVL917543:IVL917545 JFH917543:JFH917545 JPD917543:JPD917545 JYZ917543:JYZ917545 KIV917543:KIV917545 KSR917543:KSR917545 LCN917543:LCN917545 LMJ917543:LMJ917545 LWF917543:LWF917545 MGB917543:MGB917545 MPX917543:MPX917545 MZT917543:MZT917545 NJP917543:NJP917545 NTL917543:NTL917545 ODH917543:ODH917545 OND917543:OND917545 OWZ917543:OWZ917545 PGV917543:PGV917545 PQR917543:PQR917545 QAN917543:QAN917545 QKJ917543:QKJ917545 QUF917543:QUF917545 REB917543:REB917545 RNX917543:RNX917545 RXT917543:RXT917545 SHP917543:SHP917545 SRL917543:SRL917545 TBH917543:TBH917545 TLD917543:TLD917545 TUZ917543:TUZ917545 UEV917543:UEV917545 UOR917543:UOR917545 UYN917543:UYN917545 VIJ917543:VIJ917545 VSF917543:VSF917545 WCB917543:WCB917545 WLX917543:WLX917545 WVT917543:WVT917545 L983079:L983081 JH983079:JH983081 TD983079:TD983081 ACZ983079:ACZ983081 AMV983079:AMV983081 AWR983079:AWR983081 BGN983079:BGN983081 BQJ983079:BQJ983081 CAF983079:CAF983081 CKB983079:CKB983081 CTX983079:CTX983081 DDT983079:DDT983081 DNP983079:DNP983081 DXL983079:DXL983081 EHH983079:EHH983081 ERD983079:ERD983081 FAZ983079:FAZ983081 FKV983079:FKV983081 FUR983079:FUR983081 GEN983079:GEN983081 GOJ983079:GOJ983081 GYF983079:GYF983081 HIB983079:HIB983081 HRX983079:HRX983081 IBT983079:IBT983081 ILP983079:ILP983081 IVL983079:IVL983081 JFH983079:JFH983081 JPD983079:JPD983081 JYZ983079:JYZ983081 KIV983079:KIV983081 KSR983079:KSR983081 LCN983079:LCN983081 LMJ983079:LMJ983081 LWF983079:LWF983081 MGB983079:MGB983081 MPX983079:MPX983081 MZT983079:MZT983081 NJP983079:NJP983081 NTL983079:NTL983081 ODH983079:ODH983081 OND983079:OND983081 OWZ983079:OWZ983081 PGV983079:PGV983081 PQR983079:PQR983081 QAN983079:QAN983081 QKJ983079:QKJ983081 QUF983079:QUF983081 REB983079:REB983081 RNX983079:RNX983081 RXT983079:RXT983081 SHP983079:SHP983081 SRL983079:SRL983081 TBH983079:TBH983081 TLD983079:TLD983081 TUZ983079:TUZ983081 UEV983079:UEV983081 UOR983079:UOR983081 UYN983079:UYN983081 VIJ983079:VIJ983081 VSF983079:VSF983081 WCB983079:WCB983081 WLX983079:WLX983081 WVT40:WVT44 JH40:JH44 TD40:TD44 ACZ40:ACZ44 AMV40:AMV44 AWR40:AWR44 BGN40:BGN44 BQJ40:BQJ44 CAF40:CAF44 CKB40:CKB44 CTX40:CTX44 DDT40:DDT44 DNP40:DNP44 DXL40:DXL44 EHH40:EHH44 ERD40:ERD44 FAZ40:FAZ44 FKV40:FKV44 FUR40:FUR44 GEN40:GEN44 GOJ40:GOJ44 GYF40:GYF44 HIB40:HIB44 HRX40:HRX44 IBT40:IBT44 ILP40:ILP44 IVL40:IVL44 JFH40:JFH44 JPD40:JPD44 JYZ40:JYZ44 KIV40:KIV44 KSR40:KSR44 LCN40:LCN44 LMJ40:LMJ44 LWF40:LWF44 MGB40:MGB44 MPX40:MPX44 MZT40:MZT44 NJP40:NJP44 NTL40:NTL44 ODH40:ODH44 OND40:OND44 OWZ40:OWZ44 PGV40:PGV44 PQR40:PQR44 QAN40:QAN44 QKJ40:QKJ44 QUF40:QUF44 REB40:REB44 RNX40:RNX44 RXT40:RXT44 SHP40:SHP44 SRL40:SRL44 TBH40:TBH44 TLD40:TLD44 TUZ40:TUZ44 UEV40:UEV44 UOR40:UOR44 UYN40:UYN44 VIJ40:VIJ44 VSF40:VSF44 WCB40:WCB44 WLX40:WLX44 L40 L44" xr:uid="{2C8B5BE5-C519-4366-9FE6-C45E1385E7F6}">
      <formula1>0</formula1>
      <formula2>0.03</formula2>
    </dataValidation>
    <dataValidation type="whole" allowBlank="1" showInputMessage="1" showErrorMessage="1" error="U moet hier een 1 of 2 invullen." sqref="H34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H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H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H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H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H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H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H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H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H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H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H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H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H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H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H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WVP983073" xr:uid="{010F7B85-A746-44C5-A4A9-6CB0858E6550}">
      <formula1>1</formula1>
      <formula2>2</formula2>
    </dataValidation>
    <dataValidation type="whole" allowBlank="1" showInputMessage="1" showErrorMessage="1" error="U moet hier een geheel aantal jaren met een maximum van de subsidielooptijd invullen." sqref="WVM983073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xr:uid="{535AD22C-A322-4CC2-9149-A2A8A86EF78B}">
      <formula1>0</formula1>
      <formula2>15</formula2>
    </dataValidation>
    <dataValidation type="decimal" allowBlank="1" showInputMessage="1" showErrorMessage="1" error="U kunt maximaal een percentage van 3,0% invullen. Klik op &quot;Annuleren&quot; en vul een ander percentage in. " sqref="L65586:L65587 JH65586:JH65587 TD65586:TD65587 ACZ65586:ACZ65587 AMV65586:AMV65587 AWR65586:AWR65587 BGN65586:BGN65587 BQJ65586:BQJ65587 CAF65586:CAF65587 CKB65586:CKB65587 CTX65586:CTX65587 DDT65586:DDT65587 DNP65586:DNP65587 DXL65586:DXL65587 EHH65586:EHH65587 ERD65586:ERD65587 FAZ65586:FAZ65587 FKV65586:FKV65587 FUR65586:FUR65587 GEN65586:GEN65587 GOJ65586:GOJ65587 GYF65586:GYF65587 HIB65586:HIB65587 HRX65586:HRX65587 IBT65586:IBT65587 ILP65586:ILP65587 IVL65586:IVL65587 JFH65586:JFH65587 JPD65586:JPD65587 JYZ65586:JYZ65587 KIV65586:KIV65587 KSR65586:KSR65587 LCN65586:LCN65587 LMJ65586:LMJ65587 LWF65586:LWF65587 MGB65586:MGB65587 MPX65586:MPX65587 MZT65586:MZT65587 NJP65586:NJP65587 NTL65586:NTL65587 ODH65586:ODH65587 OND65586:OND65587 OWZ65586:OWZ65587 PGV65586:PGV65587 PQR65586:PQR65587 QAN65586:QAN65587 QKJ65586:QKJ65587 QUF65586:QUF65587 REB65586:REB65587 RNX65586:RNX65587 RXT65586:RXT65587 SHP65586:SHP65587 SRL65586:SRL65587 TBH65586:TBH65587 TLD65586:TLD65587 TUZ65586:TUZ65587 UEV65586:UEV65587 UOR65586:UOR65587 UYN65586:UYN65587 VIJ65586:VIJ65587 VSF65586:VSF65587 WCB65586:WCB65587 WLX65586:WLX65587 WVT65586:WVT65587 L131122:L131123 JH131122:JH131123 TD131122:TD131123 ACZ131122:ACZ131123 AMV131122:AMV131123 AWR131122:AWR131123 BGN131122:BGN131123 BQJ131122:BQJ131123 CAF131122:CAF131123 CKB131122:CKB131123 CTX131122:CTX131123 DDT131122:DDT131123 DNP131122:DNP131123 DXL131122:DXL131123 EHH131122:EHH131123 ERD131122:ERD131123 FAZ131122:FAZ131123 FKV131122:FKV131123 FUR131122:FUR131123 GEN131122:GEN131123 GOJ131122:GOJ131123 GYF131122:GYF131123 HIB131122:HIB131123 HRX131122:HRX131123 IBT131122:IBT131123 ILP131122:ILP131123 IVL131122:IVL131123 JFH131122:JFH131123 JPD131122:JPD131123 JYZ131122:JYZ131123 KIV131122:KIV131123 KSR131122:KSR131123 LCN131122:LCN131123 LMJ131122:LMJ131123 LWF131122:LWF131123 MGB131122:MGB131123 MPX131122:MPX131123 MZT131122:MZT131123 NJP131122:NJP131123 NTL131122:NTL131123 ODH131122:ODH131123 OND131122:OND131123 OWZ131122:OWZ131123 PGV131122:PGV131123 PQR131122:PQR131123 QAN131122:QAN131123 QKJ131122:QKJ131123 QUF131122:QUF131123 REB131122:REB131123 RNX131122:RNX131123 RXT131122:RXT131123 SHP131122:SHP131123 SRL131122:SRL131123 TBH131122:TBH131123 TLD131122:TLD131123 TUZ131122:TUZ131123 UEV131122:UEV131123 UOR131122:UOR131123 UYN131122:UYN131123 VIJ131122:VIJ131123 VSF131122:VSF131123 WCB131122:WCB131123 WLX131122:WLX131123 WVT131122:WVT131123 L196658:L196659 JH196658:JH196659 TD196658:TD196659 ACZ196658:ACZ196659 AMV196658:AMV196659 AWR196658:AWR196659 BGN196658:BGN196659 BQJ196658:BQJ196659 CAF196658:CAF196659 CKB196658:CKB196659 CTX196658:CTX196659 DDT196658:DDT196659 DNP196658:DNP196659 DXL196658:DXL196659 EHH196658:EHH196659 ERD196658:ERD196659 FAZ196658:FAZ196659 FKV196658:FKV196659 FUR196658:FUR196659 GEN196658:GEN196659 GOJ196658:GOJ196659 GYF196658:GYF196659 HIB196658:HIB196659 HRX196658:HRX196659 IBT196658:IBT196659 ILP196658:ILP196659 IVL196658:IVL196659 JFH196658:JFH196659 JPD196658:JPD196659 JYZ196658:JYZ196659 KIV196658:KIV196659 KSR196658:KSR196659 LCN196658:LCN196659 LMJ196658:LMJ196659 LWF196658:LWF196659 MGB196658:MGB196659 MPX196658:MPX196659 MZT196658:MZT196659 NJP196658:NJP196659 NTL196658:NTL196659 ODH196658:ODH196659 OND196658:OND196659 OWZ196658:OWZ196659 PGV196658:PGV196659 PQR196658:PQR196659 QAN196658:QAN196659 QKJ196658:QKJ196659 QUF196658:QUF196659 REB196658:REB196659 RNX196658:RNX196659 RXT196658:RXT196659 SHP196658:SHP196659 SRL196658:SRL196659 TBH196658:TBH196659 TLD196658:TLD196659 TUZ196658:TUZ196659 UEV196658:UEV196659 UOR196658:UOR196659 UYN196658:UYN196659 VIJ196658:VIJ196659 VSF196658:VSF196659 WCB196658:WCB196659 WLX196658:WLX196659 WVT196658:WVT196659 L262194:L262195 JH262194:JH262195 TD262194:TD262195 ACZ262194:ACZ262195 AMV262194:AMV262195 AWR262194:AWR262195 BGN262194:BGN262195 BQJ262194:BQJ262195 CAF262194:CAF262195 CKB262194:CKB262195 CTX262194:CTX262195 DDT262194:DDT262195 DNP262194:DNP262195 DXL262194:DXL262195 EHH262194:EHH262195 ERD262194:ERD262195 FAZ262194:FAZ262195 FKV262194:FKV262195 FUR262194:FUR262195 GEN262194:GEN262195 GOJ262194:GOJ262195 GYF262194:GYF262195 HIB262194:HIB262195 HRX262194:HRX262195 IBT262194:IBT262195 ILP262194:ILP262195 IVL262194:IVL262195 JFH262194:JFH262195 JPD262194:JPD262195 JYZ262194:JYZ262195 KIV262194:KIV262195 KSR262194:KSR262195 LCN262194:LCN262195 LMJ262194:LMJ262195 LWF262194:LWF262195 MGB262194:MGB262195 MPX262194:MPX262195 MZT262194:MZT262195 NJP262194:NJP262195 NTL262194:NTL262195 ODH262194:ODH262195 OND262194:OND262195 OWZ262194:OWZ262195 PGV262194:PGV262195 PQR262194:PQR262195 QAN262194:QAN262195 QKJ262194:QKJ262195 QUF262194:QUF262195 REB262194:REB262195 RNX262194:RNX262195 RXT262194:RXT262195 SHP262194:SHP262195 SRL262194:SRL262195 TBH262194:TBH262195 TLD262194:TLD262195 TUZ262194:TUZ262195 UEV262194:UEV262195 UOR262194:UOR262195 UYN262194:UYN262195 VIJ262194:VIJ262195 VSF262194:VSF262195 WCB262194:WCB262195 WLX262194:WLX262195 WVT262194:WVT262195 L327730:L327731 JH327730:JH327731 TD327730:TD327731 ACZ327730:ACZ327731 AMV327730:AMV327731 AWR327730:AWR327731 BGN327730:BGN327731 BQJ327730:BQJ327731 CAF327730:CAF327731 CKB327730:CKB327731 CTX327730:CTX327731 DDT327730:DDT327731 DNP327730:DNP327731 DXL327730:DXL327731 EHH327730:EHH327731 ERD327730:ERD327731 FAZ327730:FAZ327731 FKV327730:FKV327731 FUR327730:FUR327731 GEN327730:GEN327731 GOJ327730:GOJ327731 GYF327730:GYF327731 HIB327730:HIB327731 HRX327730:HRX327731 IBT327730:IBT327731 ILP327730:ILP327731 IVL327730:IVL327731 JFH327730:JFH327731 JPD327730:JPD327731 JYZ327730:JYZ327731 KIV327730:KIV327731 KSR327730:KSR327731 LCN327730:LCN327731 LMJ327730:LMJ327731 LWF327730:LWF327731 MGB327730:MGB327731 MPX327730:MPX327731 MZT327730:MZT327731 NJP327730:NJP327731 NTL327730:NTL327731 ODH327730:ODH327731 OND327730:OND327731 OWZ327730:OWZ327731 PGV327730:PGV327731 PQR327730:PQR327731 QAN327730:QAN327731 QKJ327730:QKJ327731 QUF327730:QUF327731 REB327730:REB327731 RNX327730:RNX327731 RXT327730:RXT327731 SHP327730:SHP327731 SRL327730:SRL327731 TBH327730:TBH327731 TLD327730:TLD327731 TUZ327730:TUZ327731 UEV327730:UEV327731 UOR327730:UOR327731 UYN327730:UYN327731 VIJ327730:VIJ327731 VSF327730:VSF327731 WCB327730:WCB327731 WLX327730:WLX327731 WVT327730:WVT327731 L393266:L393267 JH393266:JH393267 TD393266:TD393267 ACZ393266:ACZ393267 AMV393266:AMV393267 AWR393266:AWR393267 BGN393266:BGN393267 BQJ393266:BQJ393267 CAF393266:CAF393267 CKB393266:CKB393267 CTX393266:CTX393267 DDT393266:DDT393267 DNP393266:DNP393267 DXL393266:DXL393267 EHH393266:EHH393267 ERD393266:ERD393267 FAZ393266:FAZ393267 FKV393266:FKV393267 FUR393266:FUR393267 GEN393266:GEN393267 GOJ393266:GOJ393267 GYF393266:GYF393267 HIB393266:HIB393267 HRX393266:HRX393267 IBT393266:IBT393267 ILP393266:ILP393267 IVL393266:IVL393267 JFH393266:JFH393267 JPD393266:JPD393267 JYZ393266:JYZ393267 KIV393266:KIV393267 KSR393266:KSR393267 LCN393266:LCN393267 LMJ393266:LMJ393267 LWF393266:LWF393267 MGB393266:MGB393267 MPX393266:MPX393267 MZT393266:MZT393267 NJP393266:NJP393267 NTL393266:NTL393267 ODH393266:ODH393267 OND393266:OND393267 OWZ393266:OWZ393267 PGV393266:PGV393267 PQR393266:PQR393267 QAN393266:QAN393267 QKJ393266:QKJ393267 QUF393266:QUF393267 REB393266:REB393267 RNX393266:RNX393267 RXT393266:RXT393267 SHP393266:SHP393267 SRL393266:SRL393267 TBH393266:TBH393267 TLD393266:TLD393267 TUZ393266:TUZ393267 UEV393266:UEV393267 UOR393266:UOR393267 UYN393266:UYN393267 VIJ393266:VIJ393267 VSF393266:VSF393267 WCB393266:WCB393267 WLX393266:WLX393267 WVT393266:WVT393267 L458802:L458803 JH458802:JH458803 TD458802:TD458803 ACZ458802:ACZ458803 AMV458802:AMV458803 AWR458802:AWR458803 BGN458802:BGN458803 BQJ458802:BQJ458803 CAF458802:CAF458803 CKB458802:CKB458803 CTX458802:CTX458803 DDT458802:DDT458803 DNP458802:DNP458803 DXL458802:DXL458803 EHH458802:EHH458803 ERD458802:ERD458803 FAZ458802:FAZ458803 FKV458802:FKV458803 FUR458802:FUR458803 GEN458802:GEN458803 GOJ458802:GOJ458803 GYF458802:GYF458803 HIB458802:HIB458803 HRX458802:HRX458803 IBT458802:IBT458803 ILP458802:ILP458803 IVL458802:IVL458803 JFH458802:JFH458803 JPD458802:JPD458803 JYZ458802:JYZ458803 KIV458802:KIV458803 KSR458802:KSR458803 LCN458802:LCN458803 LMJ458802:LMJ458803 LWF458802:LWF458803 MGB458802:MGB458803 MPX458802:MPX458803 MZT458802:MZT458803 NJP458802:NJP458803 NTL458802:NTL458803 ODH458802:ODH458803 OND458802:OND458803 OWZ458802:OWZ458803 PGV458802:PGV458803 PQR458802:PQR458803 QAN458802:QAN458803 QKJ458802:QKJ458803 QUF458802:QUF458803 REB458802:REB458803 RNX458802:RNX458803 RXT458802:RXT458803 SHP458802:SHP458803 SRL458802:SRL458803 TBH458802:TBH458803 TLD458802:TLD458803 TUZ458802:TUZ458803 UEV458802:UEV458803 UOR458802:UOR458803 UYN458802:UYN458803 VIJ458802:VIJ458803 VSF458802:VSF458803 WCB458802:WCB458803 WLX458802:WLX458803 WVT458802:WVT458803 L524338:L524339 JH524338:JH524339 TD524338:TD524339 ACZ524338:ACZ524339 AMV524338:AMV524339 AWR524338:AWR524339 BGN524338:BGN524339 BQJ524338:BQJ524339 CAF524338:CAF524339 CKB524338:CKB524339 CTX524338:CTX524339 DDT524338:DDT524339 DNP524338:DNP524339 DXL524338:DXL524339 EHH524338:EHH524339 ERD524338:ERD524339 FAZ524338:FAZ524339 FKV524338:FKV524339 FUR524338:FUR524339 GEN524338:GEN524339 GOJ524338:GOJ524339 GYF524338:GYF524339 HIB524338:HIB524339 HRX524338:HRX524339 IBT524338:IBT524339 ILP524338:ILP524339 IVL524338:IVL524339 JFH524338:JFH524339 JPD524338:JPD524339 JYZ524338:JYZ524339 KIV524338:KIV524339 KSR524338:KSR524339 LCN524338:LCN524339 LMJ524338:LMJ524339 LWF524338:LWF524339 MGB524338:MGB524339 MPX524338:MPX524339 MZT524338:MZT524339 NJP524338:NJP524339 NTL524338:NTL524339 ODH524338:ODH524339 OND524338:OND524339 OWZ524338:OWZ524339 PGV524338:PGV524339 PQR524338:PQR524339 QAN524338:QAN524339 QKJ524338:QKJ524339 QUF524338:QUF524339 REB524338:REB524339 RNX524338:RNX524339 RXT524338:RXT524339 SHP524338:SHP524339 SRL524338:SRL524339 TBH524338:TBH524339 TLD524338:TLD524339 TUZ524338:TUZ524339 UEV524338:UEV524339 UOR524338:UOR524339 UYN524338:UYN524339 VIJ524338:VIJ524339 VSF524338:VSF524339 WCB524338:WCB524339 WLX524338:WLX524339 WVT524338:WVT524339 L589874:L589875 JH589874:JH589875 TD589874:TD589875 ACZ589874:ACZ589875 AMV589874:AMV589875 AWR589874:AWR589875 BGN589874:BGN589875 BQJ589874:BQJ589875 CAF589874:CAF589875 CKB589874:CKB589875 CTX589874:CTX589875 DDT589874:DDT589875 DNP589874:DNP589875 DXL589874:DXL589875 EHH589874:EHH589875 ERD589874:ERD589875 FAZ589874:FAZ589875 FKV589874:FKV589875 FUR589874:FUR589875 GEN589874:GEN589875 GOJ589874:GOJ589875 GYF589874:GYF589875 HIB589874:HIB589875 HRX589874:HRX589875 IBT589874:IBT589875 ILP589874:ILP589875 IVL589874:IVL589875 JFH589874:JFH589875 JPD589874:JPD589875 JYZ589874:JYZ589875 KIV589874:KIV589875 KSR589874:KSR589875 LCN589874:LCN589875 LMJ589874:LMJ589875 LWF589874:LWF589875 MGB589874:MGB589875 MPX589874:MPX589875 MZT589874:MZT589875 NJP589874:NJP589875 NTL589874:NTL589875 ODH589874:ODH589875 OND589874:OND589875 OWZ589874:OWZ589875 PGV589874:PGV589875 PQR589874:PQR589875 QAN589874:QAN589875 QKJ589874:QKJ589875 QUF589874:QUF589875 REB589874:REB589875 RNX589874:RNX589875 RXT589874:RXT589875 SHP589874:SHP589875 SRL589874:SRL589875 TBH589874:TBH589875 TLD589874:TLD589875 TUZ589874:TUZ589875 UEV589874:UEV589875 UOR589874:UOR589875 UYN589874:UYN589875 VIJ589874:VIJ589875 VSF589874:VSF589875 WCB589874:WCB589875 WLX589874:WLX589875 WVT589874:WVT589875 L655410:L655411 JH655410:JH655411 TD655410:TD655411 ACZ655410:ACZ655411 AMV655410:AMV655411 AWR655410:AWR655411 BGN655410:BGN655411 BQJ655410:BQJ655411 CAF655410:CAF655411 CKB655410:CKB655411 CTX655410:CTX655411 DDT655410:DDT655411 DNP655410:DNP655411 DXL655410:DXL655411 EHH655410:EHH655411 ERD655410:ERD655411 FAZ655410:FAZ655411 FKV655410:FKV655411 FUR655410:FUR655411 GEN655410:GEN655411 GOJ655410:GOJ655411 GYF655410:GYF655411 HIB655410:HIB655411 HRX655410:HRX655411 IBT655410:IBT655411 ILP655410:ILP655411 IVL655410:IVL655411 JFH655410:JFH655411 JPD655410:JPD655411 JYZ655410:JYZ655411 KIV655410:KIV655411 KSR655410:KSR655411 LCN655410:LCN655411 LMJ655410:LMJ655411 LWF655410:LWF655411 MGB655410:MGB655411 MPX655410:MPX655411 MZT655410:MZT655411 NJP655410:NJP655411 NTL655410:NTL655411 ODH655410:ODH655411 OND655410:OND655411 OWZ655410:OWZ655411 PGV655410:PGV655411 PQR655410:PQR655411 QAN655410:QAN655411 QKJ655410:QKJ655411 QUF655410:QUF655411 REB655410:REB655411 RNX655410:RNX655411 RXT655410:RXT655411 SHP655410:SHP655411 SRL655410:SRL655411 TBH655410:TBH655411 TLD655410:TLD655411 TUZ655410:TUZ655411 UEV655410:UEV655411 UOR655410:UOR655411 UYN655410:UYN655411 VIJ655410:VIJ655411 VSF655410:VSF655411 WCB655410:WCB655411 WLX655410:WLX655411 WVT655410:WVT655411 L720946:L720947 JH720946:JH720947 TD720946:TD720947 ACZ720946:ACZ720947 AMV720946:AMV720947 AWR720946:AWR720947 BGN720946:BGN720947 BQJ720946:BQJ720947 CAF720946:CAF720947 CKB720946:CKB720947 CTX720946:CTX720947 DDT720946:DDT720947 DNP720946:DNP720947 DXL720946:DXL720947 EHH720946:EHH720947 ERD720946:ERD720947 FAZ720946:FAZ720947 FKV720946:FKV720947 FUR720946:FUR720947 GEN720946:GEN720947 GOJ720946:GOJ720947 GYF720946:GYF720947 HIB720946:HIB720947 HRX720946:HRX720947 IBT720946:IBT720947 ILP720946:ILP720947 IVL720946:IVL720947 JFH720946:JFH720947 JPD720946:JPD720947 JYZ720946:JYZ720947 KIV720946:KIV720947 KSR720946:KSR720947 LCN720946:LCN720947 LMJ720946:LMJ720947 LWF720946:LWF720947 MGB720946:MGB720947 MPX720946:MPX720947 MZT720946:MZT720947 NJP720946:NJP720947 NTL720946:NTL720947 ODH720946:ODH720947 OND720946:OND720947 OWZ720946:OWZ720947 PGV720946:PGV720947 PQR720946:PQR720947 QAN720946:QAN720947 QKJ720946:QKJ720947 QUF720946:QUF720947 REB720946:REB720947 RNX720946:RNX720947 RXT720946:RXT720947 SHP720946:SHP720947 SRL720946:SRL720947 TBH720946:TBH720947 TLD720946:TLD720947 TUZ720946:TUZ720947 UEV720946:UEV720947 UOR720946:UOR720947 UYN720946:UYN720947 VIJ720946:VIJ720947 VSF720946:VSF720947 WCB720946:WCB720947 WLX720946:WLX720947 WVT720946:WVT720947 L786482:L786483 JH786482:JH786483 TD786482:TD786483 ACZ786482:ACZ786483 AMV786482:AMV786483 AWR786482:AWR786483 BGN786482:BGN786483 BQJ786482:BQJ786483 CAF786482:CAF786483 CKB786482:CKB786483 CTX786482:CTX786483 DDT786482:DDT786483 DNP786482:DNP786483 DXL786482:DXL786483 EHH786482:EHH786483 ERD786482:ERD786483 FAZ786482:FAZ786483 FKV786482:FKV786483 FUR786482:FUR786483 GEN786482:GEN786483 GOJ786482:GOJ786483 GYF786482:GYF786483 HIB786482:HIB786483 HRX786482:HRX786483 IBT786482:IBT786483 ILP786482:ILP786483 IVL786482:IVL786483 JFH786482:JFH786483 JPD786482:JPD786483 JYZ786482:JYZ786483 KIV786482:KIV786483 KSR786482:KSR786483 LCN786482:LCN786483 LMJ786482:LMJ786483 LWF786482:LWF786483 MGB786482:MGB786483 MPX786482:MPX786483 MZT786482:MZT786483 NJP786482:NJP786483 NTL786482:NTL786483 ODH786482:ODH786483 OND786482:OND786483 OWZ786482:OWZ786483 PGV786482:PGV786483 PQR786482:PQR786483 QAN786482:QAN786483 QKJ786482:QKJ786483 QUF786482:QUF786483 REB786482:REB786483 RNX786482:RNX786483 RXT786482:RXT786483 SHP786482:SHP786483 SRL786482:SRL786483 TBH786482:TBH786483 TLD786482:TLD786483 TUZ786482:TUZ786483 UEV786482:UEV786483 UOR786482:UOR786483 UYN786482:UYN786483 VIJ786482:VIJ786483 VSF786482:VSF786483 WCB786482:WCB786483 WLX786482:WLX786483 WVT786482:WVT786483 L852018:L852019 JH852018:JH852019 TD852018:TD852019 ACZ852018:ACZ852019 AMV852018:AMV852019 AWR852018:AWR852019 BGN852018:BGN852019 BQJ852018:BQJ852019 CAF852018:CAF852019 CKB852018:CKB852019 CTX852018:CTX852019 DDT852018:DDT852019 DNP852018:DNP852019 DXL852018:DXL852019 EHH852018:EHH852019 ERD852018:ERD852019 FAZ852018:FAZ852019 FKV852018:FKV852019 FUR852018:FUR852019 GEN852018:GEN852019 GOJ852018:GOJ852019 GYF852018:GYF852019 HIB852018:HIB852019 HRX852018:HRX852019 IBT852018:IBT852019 ILP852018:ILP852019 IVL852018:IVL852019 JFH852018:JFH852019 JPD852018:JPD852019 JYZ852018:JYZ852019 KIV852018:KIV852019 KSR852018:KSR852019 LCN852018:LCN852019 LMJ852018:LMJ852019 LWF852018:LWF852019 MGB852018:MGB852019 MPX852018:MPX852019 MZT852018:MZT852019 NJP852018:NJP852019 NTL852018:NTL852019 ODH852018:ODH852019 OND852018:OND852019 OWZ852018:OWZ852019 PGV852018:PGV852019 PQR852018:PQR852019 QAN852018:QAN852019 QKJ852018:QKJ852019 QUF852018:QUF852019 REB852018:REB852019 RNX852018:RNX852019 RXT852018:RXT852019 SHP852018:SHP852019 SRL852018:SRL852019 TBH852018:TBH852019 TLD852018:TLD852019 TUZ852018:TUZ852019 UEV852018:UEV852019 UOR852018:UOR852019 UYN852018:UYN852019 VIJ852018:VIJ852019 VSF852018:VSF852019 WCB852018:WCB852019 WLX852018:WLX852019 WVT852018:WVT852019 L917554:L917555 JH917554:JH917555 TD917554:TD917555 ACZ917554:ACZ917555 AMV917554:AMV917555 AWR917554:AWR917555 BGN917554:BGN917555 BQJ917554:BQJ917555 CAF917554:CAF917555 CKB917554:CKB917555 CTX917554:CTX917555 DDT917554:DDT917555 DNP917554:DNP917555 DXL917554:DXL917555 EHH917554:EHH917555 ERD917554:ERD917555 FAZ917554:FAZ917555 FKV917554:FKV917555 FUR917554:FUR917555 GEN917554:GEN917555 GOJ917554:GOJ917555 GYF917554:GYF917555 HIB917554:HIB917555 HRX917554:HRX917555 IBT917554:IBT917555 ILP917554:ILP917555 IVL917554:IVL917555 JFH917554:JFH917555 JPD917554:JPD917555 JYZ917554:JYZ917555 KIV917554:KIV917555 KSR917554:KSR917555 LCN917554:LCN917555 LMJ917554:LMJ917555 LWF917554:LWF917555 MGB917554:MGB917555 MPX917554:MPX917555 MZT917554:MZT917555 NJP917554:NJP917555 NTL917554:NTL917555 ODH917554:ODH917555 OND917554:OND917555 OWZ917554:OWZ917555 PGV917554:PGV917555 PQR917554:PQR917555 QAN917554:QAN917555 QKJ917554:QKJ917555 QUF917554:QUF917555 REB917554:REB917555 RNX917554:RNX917555 RXT917554:RXT917555 SHP917554:SHP917555 SRL917554:SRL917555 TBH917554:TBH917555 TLD917554:TLD917555 TUZ917554:TUZ917555 UEV917554:UEV917555 UOR917554:UOR917555 UYN917554:UYN917555 VIJ917554:VIJ917555 VSF917554:VSF917555 WCB917554:WCB917555 WLX917554:WLX917555 WVT917554:WVT917555 L983090:L983091 JH983090:JH983091 TD983090:TD983091 ACZ983090:ACZ983091 AMV983090:AMV983091 AWR983090:AWR983091 BGN983090:BGN983091 BQJ983090:BQJ983091 CAF983090:CAF983091 CKB983090:CKB983091 CTX983090:CTX983091 DDT983090:DDT983091 DNP983090:DNP983091 DXL983090:DXL983091 EHH983090:EHH983091 ERD983090:ERD983091 FAZ983090:FAZ983091 FKV983090:FKV983091 FUR983090:FUR983091 GEN983090:GEN983091 GOJ983090:GOJ983091 GYF983090:GYF983091 HIB983090:HIB983091 HRX983090:HRX983091 IBT983090:IBT983091 ILP983090:ILP983091 IVL983090:IVL983091 JFH983090:JFH983091 JPD983090:JPD983091 JYZ983090:JYZ983091 KIV983090:KIV983091 KSR983090:KSR983091 LCN983090:LCN983091 LMJ983090:LMJ983091 LWF983090:LWF983091 MGB983090:MGB983091 MPX983090:MPX983091 MZT983090:MZT983091 NJP983090:NJP983091 NTL983090:NTL983091 ODH983090:ODH983091 OND983090:OND983091 OWZ983090:OWZ983091 PGV983090:PGV983091 PQR983090:PQR983091 QAN983090:QAN983091 QKJ983090:QKJ983091 QUF983090:QUF983091 REB983090:REB983091 RNX983090:RNX983091 RXT983090:RXT983091 SHP983090:SHP983091 SRL983090:SRL983091 TBH983090:TBH983091 TLD983090:TLD983091 TUZ983090:TUZ983091 UEV983090:UEV983091 UOR983090:UOR983091 UYN983090:UYN983091 VIJ983090:VIJ983091 VSF983090:VSF983091 WCB983090:WCB983091 WLX983090:WLX983091 WVT983090:WVT983091 WVT53 WLX53 WCB53 VSF53 VIJ53 UYN53 UOR53 UEV53 TUZ53 TLD53 TBH53 SRL53 SHP53 RXT53 RNX53 REB53 QUF53 QKJ53 QAN53 PQR53 PGV53 OWZ53 OND53 ODH53 NTL53 NJP53 MZT53 MPX53 MGB53 LWF53 LMJ53 LCN53 KSR53 KIV53 JYZ53 JPD53 JFH53 IVL53 ILP53 IBT53 HRX53 HIB53 GYF53 GOJ53 GEN53 FUR53 FKV53 FAZ53 ERD53 EHH53 DXL53 DNP53 DDT53 CTX53 CKB53 CAF53 BQJ53 BGN53 AWR53 AMV53 ACZ53 TD53 JH53 L53" xr:uid="{73A76EF2-3E91-41B5-8377-FEC075629242}">
      <formula1>0</formula1>
      <formula2>0.03</formula2>
    </dataValidation>
    <dataValidation type="whole" allowBlank="1" showInputMessage="1" showErrorMessage="1" error="U moet een geheel aantal jaren met een maximum van 20 jaar invullen." sqref="B118:C118" xr:uid="{048F095C-1B2B-4520-8F9F-A2AE4CFD612B}">
      <formula1>1</formula1>
      <formula2>$B12</formula2>
    </dataValidation>
    <dataValidation type="whole" allowBlank="1" showInputMessage="1" showErrorMessage="1" error="U moet hier een geheel aantal jaren met een maximum van de subsidielooptijd invullen." sqref="E34" xr:uid="{F6B01555-9CBB-40F3-994A-77E5085A0F2E}">
      <formula1>0</formula1>
      <formula2>$B$12</formula2>
    </dataValidation>
  </dataValidations>
  <pageMargins left="0.7" right="0.7" top="0.75" bottom="0.75" header="0.3" footer="0.3"/>
  <pageSetup paperSize="9" orientation="portrait" r:id="rId1"/>
  <ignoredErrors>
    <ignoredError sqref="W79:W89 W70:W71 Z70:AB70 X70:X71 Y70:Y71 Z71:AA71 AH70:AH71 AG70:AG71 AF70:AF71 AE70:AE71 AD70:AD71 AC70:AC71 AB71 X79:AH89 W78:AH78 H49" unlockedFormula="1"/>
    <ignoredError sqref="B34 B31 E31 H31 L31 O125:O144 P127:W127 X127:Z127 AA127:AC127 AA133 AA143:AC143 N149:S149 O154:S154 AA144 AA149 AA154 X131:Z132 AA130 X143:Z143 AA141 AA142 X138:Z140 AA137 X136:Z136 AA136:AC136 AA135 X129:Z129 AA129:AC129 AA128 AA134 AA125 AA126 P129:W129 P128:S128 W128 P131:W132 P130:S130 W130 P125:S125 W125 P126:S126 W126 P136:W136 P133:S133 W133 P134:S134 W134 P135:S135 W135 P138:W140 P137:S137 W137 P143:W143 P141:S141 W141 P142:S142 W142 P144:S144 W144 W149 W15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List Box 1">
              <controlPr defaultSize="0" autoLine="0" autoPict="0">
                <anchor moveWithCells="1" sizeWithCells="1">
                  <from>
                    <xdr:col>7</xdr:col>
                    <xdr:colOff>19050</xdr:colOff>
                    <xdr:row>32</xdr:row>
                    <xdr:rowOff>152400</xdr:rowOff>
                  </from>
                  <to>
                    <xdr:col>10</xdr:col>
                    <xdr:colOff>9525</xdr:colOff>
                    <xdr:row>34</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 id="{8068B790-8341-42C5-8486-3E38B712D5C3}">
            <xm:f>OR(Hulpblad_categorieën_parameters!D29="Zon-PV",Hulpblad_categorieën_parameters!D29="Wind")</xm:f>
            <x14:dxf>
              <border>
                <left style="thin">
                  <color auto="1"/>
                </left>
                <right style="thin">
                  <color auto="1"/>
                </right>
                <bottom style="thin">
                  <color auto="1"/>
                </bottom>
                <vertical/>
                <horizontal/>
              </border>
            </x14:dxf>
          </x14:cfRule>
          <xm:sqref>E55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7880C-9D8F-421B-B3F3-A2380F56FA79}">
  <dimension ref="A1:P149"/>
  <sheetViews>
    <sheetView workbookViewId="0">
      <selection activeCell="B35" sqref="B35"/>
    </sheetView>
  </sheetViews>
  <sheetFormatPr defaultColWidth="8.7109375" defaultRowHeight="15" x14ac:dyDescent="0.25"/>
  <cols>
    <col min="1" max="1" width="132.28515625" style="4" customWidth="1"/>
    <col min="2" max="2" width="86.7109375" style="30" customWidth="1"/>
    <col min="3" max="3" width="3.42578125" style="30" customWidth="1"/>
    <col min="4" max="4" width="14" style="4" bestFit="1" customWidth="1"/>
    <col min="5" max="5" width="90.7109375" style="4" customWidth="1"/>
    <col min="6" max="11" width="12.7109375" style="4" customWidth="1"/>
    <col min="12" max="12" width="13.7109375" style="4" customWidth="1"/>
    <col min="13" max="13" width="12.42578125" style="4" customWidth="1"/>
    <col min="14" max="256" width="8.7109375" style="4"/>
    <col min="257" max="257" width="132.28515625" style="4" customWidth="1"/>
    <col min="258" max="258" width="86.7109375" style="4" customWidth="1"/>
    <col min="259" max="259" width="3.42578125" style="4" customWidth="1"/>
    <col min="260" max="260" width="14" style="4" bestFit="1" customWidth="1"/>
    <col min="261" max="261" width="90.7109375" style="4" customWidth="1"/>
    <col min="262" max="267" width="12.7109375" style="4" customWidth="1"/>
    <col min="268" max="268" width="13.7109375" style="4" customWidth="1"/>
    <col min="269" max="269" width="12.42578125" style="4" customWidth="1"/>
    <col min="270" max="512" width="8.7109375" style="4"/>
    <col min="513" max="513" width="132.28515625" style="4" customWidth="1"/>
    <col min="514" max="514" width="86.7109375" style="4" customWidth="1"/>
    <col min="515" max="515" width="3.42578125" style="4" customWidth="1"/>
    <col min="516" max="516" width="14" style="4" bestFit="1" customWidth="1"/>
    <col min="517" max="517" width="90.7109375" style="4" customWidth="1"/>
    <col min="518" max="523" width="12.7109375" style="4" customWidth="1"/>
    <col min="524" max="524" width="13.7109375" style="4" customWidth="1"/>
    <col min="525" max="525" width="12.42578125" style="4" customWidth="1"/>
    <col min="526" max="768" width="8.7109375" style="4"/>
    <col min="769" max="769" width="132.28515625" style="4" customWidth="1"/>
    <col min="770" max="770" width="86.7109375" style="4" customWidth="1"/>
    <col min="771" max="771" width="3.42578125" style="4" customWidth="1"/>
    <col min="772" max="772" width="14" style="4" bestFit="1" customWidth="1"/>
    <col min="773" max="773" width="90.7109375" style="4" customWidth="1"/>
    <col min="774" max="779" width="12.7109375" style="4" customWidth="1"/>
    <col min="780" max="780" width="13.7109375" style="4" customWidth="1"/>
    <col min="781" max="781" width="12.42578125" style="4" customWidth="1"/>
    <col min="782" max="1024" width="8.7109375" style="4"/>
    <col min="1025" max="1025" width="132.28515625" style="4" customWidth="1"/>
    <col min="1026" max="1026" width="86.7109375" style="4" customWidth="1"/>
    <col min="1027" max="1027" width="3.42578125" style="4" customWidth="1"/>
    <col min="1028" max="1028" width="14" style="4" bestFit="1" customWidth="1"/>
    <col min="1029" max="1029" width="90.7109375" style="4" customWidth="1"/>
    <col min="1030" max="1035" width="12.7109375" style="4" customWidth="1"/>
    <col min="1036" max="1036" width="13.7109375" style="4" customWidth="1"/>
    <col min="1037" max="1037" width="12.42578125" style="4" customWidth="1"/>
    <col min="1038" max="1280" width="8.7109375" style="4"/>
    <col min="1281" max="1281" width="132.28515625" style="4" customWidth="1"/>
    <col min="1282" max="1282" width="86.7109375" style="4" customWidth="1"/>
    <col min="1283" max="1283" width="3.42578125" style="4" customWidth="1"/>
    <col min="1284" max="1284" width="14" style="4" bestFit="1" customWidth="1"/>
    <col min="1285" max="1285" width="90.7109375" style="4" customWidth="1"/>
    <col min="1286" max="1291" width="12.7109375" style="4" customWidth="1"/>
    <col min="1292" max="1292" width="13.7109375" style="4" customWidth="1"/>
    <col min="1293" max="1293" width="12.42578125" style="4" customWidth="1"/>
    <col min="1294" max="1536" width="8.7109375" style="4"/>
    <col min="1537" max="1537" width="132.28515625" style="4" customWidth="1"/>
    <col min="1538" max="1538" width="86.7109375" style="4" customWidth="1"/>
    <col min="1539" max="1539" width="3.42578125" style="4" customWidth="1"/>
    <col min="1540" max="1540" width="14" style="4" bestFit="1" customWidth="1"/>
    <col min="1541" max="1541" width="90.7109375" style="4" customWidth="1"/>
    <col min="1542" max="1547" width="12.7109375" style="4" customWidth="1"/>
    <col min="1548" max="1548" width="13.7109375" style="4" customWidth="1"/>
    <col min="1549" max="1549" width="12.42578125" style="4" customWidth="1"/>
    <col min="1550" max="1792" width="8.7109375" style="4"/>
    <col min="1793" max="1793" width="132.28515625" style="4" customWidth="1"/>
    <col min="1794" max="1794" width="86.7109375" style="4" customWidth="1"/>
    <col min="1795" max="1795" width="3.42578125" style="4" customWidth="1"/>
    <col min="1796" max="1796" width="14" style="4" bestFit="1" customWidth="1"/>
    <col min="1797" max="1797" width="90.7109375" style="4" customWidth="1"/>
    <col min="1798" max="1803" width="12.7109375" style="4" customWidth="1"/>
    <col min="1804" max="1804" width="13.7109375" style="4" customWidth="1"/>
    <col min="1805" max="1805" width="12.42578125" style="4" customWidth="1"/>
    <col min="1806" max="2048" width="8.7109375" style="4"/>
    <col min="2049" max="2049" width="132.28515625" style="4" customWidth="1"/>
    <col min="2050" max="2050" width="86.7109375" style="4" customWidth="1"/>
    <col min="2051" max="2051" width="3.42578125" style="4" customWidth="1"/>
    <col min="2052" max="2052" width="14" style="4" bestFit="1" customWidth="1"/>
    <col min="2053" max="2053" width="90.7109375" style="4" customWidth="1"/>
    <col min="2054" max="2059" width="12.7109375" style="4" customWidth="1"/>
    <col min="2060" max="2060" width="13.7109375" style="4" customWidth="1"/>
    <col min="2061" max="2061" width="12.42578125" style="4" customWidth="1"/>
    <col min="2062" max="2304" width="8.7109375" style="4"/>
    <col min="2305" max="2305" width="132.28515625" style="4" customWidth="1"/>
    <col min="2306" max="2306" width="86.7109375" style="4" customWidth="1"/>
    <col min="2307" max="2307" width="3.42578125" style="4" customWidth="1"/>
    <col min="2308" max="2308" width="14" style="4" bestFit="1" customWidth="1"/>
    <col min="2309" max="2309" width="90.7109375" style="4" customWidth="1"/>
    <col min="2310" max="2315" width="12.7109375" style="4" customWidth="1"/>
    <col min="2316" max="2316" width="13.7109375" style="4" customWidth="1"/>
    <col min="2317" max="2317" width="12.42578125" style="4" customWidth="1"/>
    <col min="2318" max="2560" width="8.7109375" style="4"/>
    <col min="2561" max="2561" width="132.28515625" style="4" customWidth="1"/>
    <col min="2562" max="2562" width="86.7109375" style="4" customWidth="1"/>
    <col min="2563" max="2563" width="3.42578125" style="4" customWidth="1"/>
    <col min="2564" max="2564" width="14" style="4" bestFit="1" customWidth="1"/>
    <col min="2565" max="2565" width="90.7109375" style="4" customWidth="1"/>
    <col min="2566" max="2571" width="12.7109375" style="4" customWidth="1"/>
    <col min="2572" max="2572" width="13.7109375" style="4" customWidth="1"/>
    <col min="2573" max="2573" width="12.42578125" style="4" customWidth="1"/>
    <col min="2574" max="2816" width="8.7109375" style="4"/>
    <col min="2817" max="2817" width="132.28515625" style="4" customWidth="1"/>
    <col min="2818" max="2818" width="86.7109375" style="4" customWidth="1"/>
    <col min="2819" max="2819" width="3.42578125" style="4" customWidth="1"/>
    <col min="2820" max="2820" width="14" style="4" bestFit="1" customWidth="1"/>
    <col min="2821" max="2821" width="90.7109375" style="4" customWidth="1"/>
    <col min="2822" max="2827" width="12.7109375" style="4" customWidth="1"/>
    <col min="2828" max="2828" width="13.7109375" style="4" customWidth="1"/>
    <col min="2829" max="2829" width="12.42578125" style="4" customWidth="1"/>
    <col min="2830" max="3072" width="8.7109375" style="4"/>
    <col min="3073" max="3073" width="132.28515625" style="4" customWidth="1"/>
    <col min="3074" max="3074" width="86.7109375" style="4" customWidth="1"/>
    <col min="3075" max="3075" width="3.42578125" style="4" customWidth="1"/>
    <col min="3076" max="3076" width="14" style="4" bestFit="1" customWidth="1"/>
    <col min="3077" max="3077" width="90.7109375" style="4" customWidth="1"/>
    <col min="3078" max="3083" width="12.7109375" style="4" customWidth="1"/>
    <col min="3084" max="3084" width="13.7109375" style="4" customWidth="1"/>
    <col min="3085" max="3085" width="12.42578125" style="4" customWidth="1"/>
    <col min="3086" max="3328" width="8.7109375" style="4"/>
    <col min="3329" max="3329" width="132.28515625" style="4" customWidth="1"/>
    <col min="3330" max="3330" width="86.7109375" style="4" customWidth="1"/>
    <col min="3331" max="3331" width="3.42578125" style="4" customWidth="1"/>
    <col min="3332" max="3332" width="14" style="4" bestFit="1" customWidth="1"/>
    <col min="3333" max="3333" width="90.7109375" style="4" customWidth="1"/>
    <col min="3334" max="3339" width="12.7109375" style="4" customWidth="1"/>
    <col min="3340" max="3340" width="13.7109375" style="4" customWidth="1"/>
    <col min="3341" max="3341" width="12.42578125" style="4" customWidth="1"/>
    <col min="3342" max="3584" width="8.7109375" style="4"/>
    <col min="3585" max="3585" width="132.28515625" style="4" customWidth="1"/>
    <col min="3586" max="3586" width="86.7109375" style="4" customWidth="1"/>
    <col min="3587" max="3587" width="3.42578125" style="4" customWidth="1"/>
    <col min="3588" max="3588" width="14" style="4" bestFit="1" customWidth="1"/>
    <col min="3589" max="3589" width="90.7109375" style="4" customWidth="1"/>
    <col min="3590" max="3595" width="12.7109375" style="4" customWidth="1"/>
    <col min="3596" max="3596" width="13.7109375" style="4" customWidth="1"/>
    <col min="3597" max="3597" width="12.42578125" style="4" customWidth="1"/>
    <col min="3598" max="3840" width="8.7109375" style="4"/>
    <col min="3841" max="3841" width="132.28515625" style="4" customWidth="1"/>
    <col min="3842" max="3842" width="86.7109375" style="4" customWidth="1"/>
    <col min="3843" max="3843" width="3.42578125" style="4" customWidth="1"/>
    <col min="3844" max="3844" width="14" style="4" bestFit="1" customWidth="1"/>
    <col min="3845" max="3845" width="90.7109375" style="4" customWidth="1"/>
    <col min="3846" max="3851" width="12.7109375" style="4" customWidth="1"/>
    <col min="3852" max="3852" width="13.7109375" style="4" customWidth="1"/>
    <col min="3853" max="3853" width="12.42578125" style="4" customWidth="1"/>
    <col min="3854" max="4096" width="8.7109375" style="4"/>
    <col min="4097" max="4097" width="132.28515625" style="4" customWidth="1"/>
    <col min="4098" max="4098" width="86.7109375" style="4" customWidth="1"/>
    <col min="4099" max="4099" width="3.42578125" style="4" customWidth="1"/>
    <col min="4100" max="4100" width="14" style="4" bestFit="1" customWidth="1"/>
    <col min="4101" max="4101" width="90.7109375" style="4" customWidth="1"/>
    <col min="4102" max="4107" width="12.7109375" style="4" customWidth="1"/>
    <col min="4108" max="4108" width="13.7109375" style="4" customWidth="1"/>
    <col min="4109" max="4109" width="12.42578125" style="4" customWidth="1"/>
    <col min="4110" max="4352" width="8.7109375" style="4"/>
    <col min="4353" max="4353" width="132.28515625" style="4" customWidth="1"/>
    <col min="4354" max="4354" width="86.7109375" style="4" customWidth="1"/>
    <col min="4355" max="4355" width="3.42578125" style="4" customWidth="1"/>
    <col min="4356" max="4356" width="14" style="4" bestFit="1" customWidth="1"/>
    <col min="4357" max="4357" width="90.7109375" style="4" customWidth="1"/>
    <col min="4358" max="4363" width="12.7109375" style="4" customWidth="1"/>
    <col min="4364" max="4364" width="13.7109375" style="4" customWidth="1"/>
    <col min="4365" max="4365" width="12.42578125" style="4" customWidth="1"/>
    <col min="4366" max="4608" width="8.7109375" style="4"/>
    <col min="4609" max="4609" width="132.28515625" style="4" customWidth="1"/>
    <col min="4610" max="4610" width="86.7109375" style="4" customWidth="1"/>
    <col min="4611" max="4611" width="3.42578125" style="4" customWidth="1"/>
    <col min="4612" max="4612" width="14" style="4" bestFit="1" customWidth="1"/>
    <col min="4613" max="4613" width="90.7109375" style="4" customWidth="1"/>
    <col min="4614" max="4619" width="12.7109375" style="4" customWidth="1"/>
    <col min="4620" max="4620" width="13.7109375" style="4" customWidth="1"/>
    <col min="4621" max="4621" width="12.42578125" style="4" customWidth="1"/>
    <col min="4622" max="4864" width="8.7109375" style="4"/>
    <col min="4865" max="4865" width="132.28515625" style="4" customWidth="1"/>
    <col min="4866" max="4866" width="86.7109375" style="4" customWidth="1"/>
    <col min="4867" max="4867" width="3.42578125" style="4" customWidth="1"/>
    <col min="4868" max="4868" width="14" style="4" bestFit="1" customWidth="1"/>
    <col min="4869" max="4869" width="90.7109375" style="4" customWidth="1"/>
    <col min="4870" max="4875" width="12.7109375" style="4" customWidth="1"/>
    <col min="4876" max="4876" width="13.7109375" style="4" customWidth="1"/>
    <col min="4877" max="4877" width="12.42578125" style="4" customWidth="1"/>
    <col min="4878" max="5120" width="8.7109375" style="4"/>
    <col min="5121" max="5121" width="132.28515625" style="4" customWidth="1"/>
    <col min="5122" max="5122" width="86.7109375" style="4" customWidth="1"/>
    <col min="5123" max="5123" width="3.42578125" style="4" customWidth="1"/>
    <col min="5124" max="5124" width="14" style="4" bestFit="1" customWidth="1"/>
    <col min="5125" max="5125" width="90.7109375" style="4" customWidth="1"/>
    <col min="5126" max="5131" width="12.7109375" style="4" customWidth="1"/>
    <col min="5132" max="5132" width="13.7109375" style="4" customWidth="1"/>
    <col min="5133" max="5133" width="12.42578125" style="4" customWidth="1"/>
    <col min="5134" max="5376" width="8.7109375" style="4"/>
    <col min="5377" max="5377" width="132.28515625" style="4" customWidth="1"/>
    <col min="5378" max="5378" width="86.7109375" style="4" customWidth="1"/>
    <col min="5379" max="5379" width="3.42578125" style="4" customWidth="1"/>
    <col min="5380" max="5380" width="14" style="4" bestFit="1" customWidth="1"/>
    <col min="5381" max="5381" width="90.7109375" style="4" customWidth="1"/>
    <col min="5382" max="5387" width="12.7109375" style="4" customWidth="1"/>
    <col min="5388" max="5388" width="13.7109375" style="4" customWidth="1"/>
    <col min="5389" max="5389" width="12.42578125" style="4" customWidth="1"/>
    <col min="5390" max="5632" width="8.7109375" style="4"/>
    <col min="5633" max="5633" width="132.28515625" style="4" customWidth="1"/>
    <col min="5634" max="5634" width="86.7109375" style="4" customWidth="1"/>
    <col min="5635" max="5635" width="3.42578125" style="4" customWidth="1"/>
    <col min="5636" max="5636" width="14" style="4" bestFit="1" customWidth="1"/>
    <col min="5637" max="5637" width="90.7109375" style="4" customWidth="1"/>
    <col min="5638" max="5643" width="12.7109375" style="4" customWidth="1"/>
    <col min="5644" max="5644" width="13.7109375" style="4" customWidth="1"/>
    <col min="5645" max="5645" width="12.42578125" style="4" customWidth="1"/>
    <col min="5646" max="5888" width="8.7109375" style="4"/>
    <col min="5889" max="5889" width="132.28515625" style="4" customWidth="1"/>
    <col min="5890" max="5890" width="86.7109375" style="4" customWidth="1"/>
    <col min="5891" max="5891" width="3.42578125" style="4" customWidth="1"/>
    <col min="5892" max="5892" width="14" style="4" bestFit="1" customWidth="1"/>
    <col min="5893" max="5893" width="90.7109375" style="4" customWidth="1"/>
    <col min="5894" max="5899" width="12.7109375" style="4" customWidth="1"/>
    <col min="5900" max="5900" width="13.7109375" style="4" customWidth="1"/>
    <col min="5901" max="5901" width="12.42578125" style="4" customWidth="1"/>
    <col min="5902" max="6144" width="8.7109375" style="4"/>
    <col min="6145" max="6145" width="132.28515625" style="4" customWidth="1"/>
    <col min="6146" max="6146" width="86.7109375" style="4" customWidth="1"/>
    <col min="6147" max="6147" width="3.42578125" style="4" customWidth="1"/>
    <col min="6148" max="6148" width="14" style="4" bestFit="1" customWidth="1"/>
    <col min="6149" max="6149" width="90.7109375" style="4" customWidth="1"/>
    <col min="6150" max="6155" width="12.7109375" style="4" customWidth="1"/>
    <col min="6156" max="6156" width="13.7109375" style="4" customWidth="1"/>
    <col min="6157" max="6157" width="12.42578125" style="4" customWidth="1"/>
    <col min="6158" max="6400" width="8.7109375" style="4"/>
    <col min="6401" max="6401" width="132.28515625" style="4" customWidth="1"/>
    <col min="6402" max="6402" width="86.7109375" style="4" customWidth="1"/>
    <col min="6403" max="6403" width="3.42578125" style="4" customWidth="1"/>
    <col min="6404" max="6404" width="14" style="4" bestFit="1" customWidth="1"/>
    <col min="6405" max="6405" width="90.7109375" style="4" customWidth="1"/>
    <col min="6406" max="6411" width="12.7109375" style="4" customWidth="1"/>
    <col min="6412" max="6412" width="13.7109375" style="4" customWidth="1"/>
    <col min="6413" max="6413" width="12.42578125" style="4" customWidth="1"/>
    <col min="6414" max="6656" width="8.7109375" style="4"/>
    <col min="6657" max="6657" width="132.28515625" style="4" customWidth="1"/>
    <col min="6658" max="6658" width="86.7109375" style="4" customWidth="1"/>
    <col min="6659" max="6659" width="3.42578125" style="4" customWidth="1"/>
    <col min="6660" max="6660" width="14" style="4" bestFit="1" customWidth="1"/>
    <col min="6661" max="6661" width="90.7109375" style="4" customWidth="1"/>
    <col min="6662" max="6667" width="12.7109375" style="4" customWidth="1"/>
    <col min="6668" max="6668" width="13.7109375" style="4" customWidth="1"/>
    <col min="6669" max="6669" width="12.42578125" style="4" customWidth="1"/>
    <col min="6670" max="6912" width="8.7109375" style="4"/>
    <col min="6913" max="6913" width="132.28515625" style="4" customWidth="1"/>
    <col min="6914" max="6914" width="86.7109375" style="4" customWidth="1"/>
    <col min="6915" max="6915" width="3.42578125" style="4" customWidth="1"/>
    <col min="6916" max="6916" width="14" style="4" bestFit="1" customWidth="1"/>
    <col min="6917" max="6917" width="90.7109375" style="4" customWidth="1"/>
    <col min="6918" max="6923" width="12.7109375" style="4" customWidth="1"/>
    <col min="6924" max="6924" width="13.7109375" style="4" customWidth="1"/>
    <col min="6925" max="6925" width="12.42578125" style="4" customWidth="1"/>
    <col min="6926" max="7168" width="8.7109375" style="4"/>
    <col min="7169" max="7169" width="132.28515625" style="4" customWidth="1"/>
    <col min="7170" max="7170" width="86.7109375" style="4" customWidth="1"/>
    <col min="7171" max="7171" width="3.42578125" style="4" customWidth="1"/>
    <col min="7172" max="7172" width="14" style="4" bestFit="1" customWidth="1"/>
    <col min="7173" max="7173" width="90.7109375" style="4" customWidth="1"/>
    <col min="7174" max="7179" width="12.7109375" style="4" customWidth="1"/>
    <col min="7180" max="7180" width="13.7109375" style="4" customWidth="1"/>
    <col min="7181" max="7181" width="12.42578125" style="4" customWidth="1"/>
    <col min="7182" max="7424" width="8.7109375" style="4"/>
    <col min="7425" max="7425" width="132.28515625" style="4" customWidth="1"/>
    <col min="7426" max="7426" width="86.7109375" style="4" customWidth="1"/>
    <col min="7427" max="7427" width="3.42578125" style="4" customWidth="1"/>
    <col min="7428" max="7428" width="14" style="4" bestFit="1" customWidth="1"/>
    <col min="7429" max="7429" width="90.7109375" style="4" customWidth="1"/>
    <col min="7430" max="7435" width="12.7109375" style="4" customWidth="1"/>
    <col min="7436" max="7436" width="13.7109375" style="4" customWidth="1"/>
    <col min="7437" max="7437" width="12.42578125" style="4" customWidth="1"/>
    <col min="7438" max="7680" width="8.7109375" style="4"/>
    <col min="7681" max="7681" width="132.28515625" style="4" customWidth="1"/>
    <col min="7682" max="7682" width="86.7109375" style="4" customWidth="1"/>
    <col min="7683" max="7683" width="3.42578125" style="4" customWidth="1"/>
    <col min="7684" max="7684" width="14" style="4" bestFit="1" customWidth="1"/>
    <col min="7685" max="7685" width="90.7109375" style="4" customWidth="1"/>
    <col min="7686" max="7691" width="12.7109375" style="4" customWidth="1"/>
    <col min="7692" max="7692" width="13.7109375" style="4" customWidth="1"/>
    <col min="7693" max="7693" width="12.42578125" style="4" customWidth="1"/>
    <col min="7694" max="7936" width="8.7109375" style="4"/>
    <col min="7937" max="7937" width="132.28515625" style="4" customWidth="1"/>
    <col min="7938" max="7938" width="86.7109375" style="4" customWidth="1"/>
    <col min="7939" max="7939" width="3.42578125" style="4" customWidth="1"/>
    <col min="7940" max="7940" width="14" style="4" bestFit="1" customWidth="1"/>
    <col min="7941" max="7941" width="90.7109375" style="4" customWidth="1"/>
    <col min="7942" max="7947" width="12.7109375" style="4" customWidth="1"/>
    <col min="7948" max="7948" width="13.7109375" style="4" customWidth="1"/>
    <col min="7949" max="7949" width="12.42578125" style="4" customWidth="1"/>
    <col min="7950" max="8192" width="8.7109375" style="4"/>
    <col min="8193" max="8193" width="132.28515625" style="4" customWidth="1"/>
    <col min="8194" max="8194" width="86.7109375" style="4" customWidth="1"/>
    <col min="8195" max="8195" width="3.42578125" style="4" customWidth="1"/>
    <col min="8196" max="8196" width="14" style="4" bestFit="1" customWidth="1"/>
    <col min="8197" max="8197" width="90.7109375" style="4" customWidth="1"/>
    <col min="8198" max="8203" width="12.7109375" style="4" customWidth="1"/>
    <col min="8204" max="8204" width="13.7109375" style="4" customWidth="1"/>
    <col min="8205" max="8205" width="12.42578125" style="4" customWidth="1"/>
    <col min="8206" max="8448" width="8.7109375" style="4"/>
    <col min="8449" max="8449" width="132.28515625" style="4" customWidth="1"/>
    <col min="8450" max="8450" width="86.7109375" style="4" customWidth="1"/>
    <col min="8451" max="8451" width="3.42578125" style="4" customWidth="1"/>
    <col min="8452" max="8452" width="14" style="4" bestFit="1" customWidth="1"/>
    <col min="8453" max="8453" width="90.7109375" style="4" customWidth="1"/>
    <col min="8454" max="8459" width="12.7109375" style="4" customWidth="1"/>
    <col min="8460" max="8460" width="13.7109375" style="4" customWidth="1"/>
    <col min="8461" max="8461" width="12.42578125" style="4" customWidth="1"/>
    <col min="8462" max="8704" width="8.7109375" style="4"/>
    <col min="8705" max="8705" width="132.28515625" style="4" customWidth="1"/>
    <col min="8706" max="8706" width="86.7109375" style="4" customWidth="1"/>
    <col min="8707" max="8707" width="3.42578125" style="4" customWidth="1"/>
    <col min="8708" max="8708" width="14" style="4" bestFit="1" customWidth="1"/>
    <col min="8709" max="8709" width="90.7109375" style="4" customWidth="1"/>
    <col min="8710" max="8715" width="12.7109375" style="4" customWidth="1"/>
    <col min="8716" max="8716" width="13.7109375" style="4" customWidth="1"/>
    <col min="8717" max="8717" width="12.42578125" style="4" customWidth="1"/>
    <col min="8718" max="8960" width="8.7109375" style="4"/>
    <col min="8961" max="8961" width="132.28515625" style="4" customWidth="1"/>
    <col min="8962" max="8962" width="86.7109375" style="4" customWidth="1"/>
    <col min="8963" max="8963" width="3.42578125" style="4" customWidth="1"/>
    <col min="8964" max="8964" width="14" style="4" bestFit="1" customWidth="1"/>
    <col min="8965" max="8965" width="90.7109375" style="4" customWidth="1"/>
    <col min="8966" max="8971" width="12.7109375" style="4" customWidth="1"/>
    <col min="8972" max="8972" width="13.7109375" style="4" customWidth="1"/>
    <col min="8973" max="8973" width="12.42578125" style="4" customWidth="1"/>
    <col min="8974" max="9216" width="8.7109375" style="4"/>
    <col min="9217" max="9217" width="132.28515625" style="4" customWidth="1"/>
    <col min="9218" max="9218" width="86.7109375" style="4" customWidth="1"/>
    <col min="9219" max="9219" width="3.42578125" style="4" customWidth="1"/>
    <col min="9220" max="9220" width="14" style="4" bestFit="1" customWidth="1"/>
    <col min="9221" max="9221" width="90.7109375" style="4" customWidth="1"/>
    <col min="9222" max="9227" width="12.7109375" style="4" customWidth="1"/>
    <col min="9228" max="9228" width="13.7109375" style="4" customWidth="1"/>
    <col min="9229" max="9229" width="12.42578125" style="4" customWidth="1"/>
    <col min="9230" max="9472" width="8.7109375" style="4"/>
    <col min="9473" max="9473" width="132.28515625" style="4" customWidth="1"/>
    <col min="9474" max="9474" width="86.7109375" style="4" customWidth="1"/>
    <col min="9475" max="9475" width="3.42578125" style="4" customWidth="1"/>
    <col min="9476" max="9476" width="14" style="4" bestFit="1" customWidth="1"/>
    <col min="9477" max="9477" width="90.7109375" style="4" customWidth="1"/>
    <col min="9478" max="9483" width="12.7109375" style="4" customWidth="1"/>
    <col min="9484" max="9484" width="13.7109375" style="4" customWidth="1"/>
    <col min="9485" max="9485" width="12.42578125" style="4" customWidth="1"/>
    <col min="9486" max="9728" width="8.7109375" style="4"/>
    <col min="9729" max="9729" width="132.28515625" style="4" customWidth="1"/>
    <col min="9730" max="9730" width="86.7109375" style="4" customWidth="1"/>
    <col min="9731" max="9731" width="3.42578125" style="4" customWidth="1"/>
    <col min="9732" max="9732" width="14" style="4" bestFit="1" customWidth="1"/>
    <col min="9733" max="9733" width="90.7109375" style="4" customWidth="1"/>
    <col min="9734" max="9739" width="12.7109375" style="4" customWidth="1"/>
    <col min="9740" max="9740" width="13.7109375" style="4" customWidth="1"/>
    <col min="9741" max="9741" width="12.42578125" style="4" customWidth="1"/>
    <col min="9742" max="9984" width="8.7109375" style="4"/>
    <col min="9985" max="9985" width="132.28515625" style="4" customWidth="1"/>
    <col min="9986" max="9986" width="86.7109375" style="4" customWidth="1"/>
    <col min="9987" max="9987" width="3.42578125" style="4" customWidth="1"/>
    <col min="9988" max="9988" width="14" style="4" bestFit="1" customWidth="1"/>
    <col min="9989" max="9989" width="90.7109375" style="4" customWidth="1"/>
    <col min="9990" max="9995" width="12.7109375" style="4" customWidth="1"/>
    <col min="9996" max="9996" width="13.7109375" style="4" customWidth="1"/>
    <col min="9997" max="9997" width="12.42578125" style="4" customWidth="1"/>
    <col min="9998" max="10240" width="8.7109375" style="4"/>
    <col min="10241" max="10241" width="132.28515625" style="4" customWidth="1"/>
    <col min="10242" max="10242" width="86.7109375" style="4" customWidth="1"/>
    <col min="10243" max="10243" width="3.42578125" style="4" customWidth="1"/>
    <col min="10244" max="10244" width="14" style="4" bestFit="1" customWidth="1"/>
    <col min="10245" max="10245" width="90.7109375" style="4" customWidth="1"/>
    <col min="10246" max="10251" width="12.7109375" style="4" customWidth="1"/>
    <col min="10252" max="10252" width="13.7109375" style="4" customWidth="1"/>
    <col min="10253" max="10253" width="12.42578125" style="4" customWidth="1"/>
    <col min="10254" max="10496" width="8.7109375" style="4"/>
    <col min="10497" max="10497" width="132.28515625" style="4" customWidth="1"/>
    <col min="10498" max="10498" width="86.7109375" style="4" customWidth="1"/>
    <col min="10499" max="10499" width="3.42578125" style="4" customWidth="1"/>
    <col min="10500" max="10500" width="14" style="4" bestFit="1" customWidth="1"/>
    <col min="10501" max="10501" width="90.7109375" style="4" customWidth="1"/>
    <col min="10502" max="10507" width="12.7109375" style="4" customWidth="1"/>
    <col min="10508" max="10508" width="13.7109375" style="4" customWidth="1"/>
    <col min="10509" max="10509" width="12.42578125" style="4" customWidth="1"/>
    <col min="10510" max="10752" width="8.7109375" style="4"/>
    <col min="10753" max="10753" width="132.28515625" style="4" customWidth="1"/>
    <col min="10754" max="10754" width="86.7109375" style="4" customWidth="1"/>
    <col min="10755" max="10755" width="3.42578125" style="4" customWidth="1"/>
    <col min="10756" max="10756" width="14" style="4" bestFit="1" customWidth="1"/>
    <col min="10757" max="10757" width="90.7109375" style="4" customWidth="1"/>
    <col min="10758" max="10763" width="12.7109375" style="4" customWidth="1"/>
    <col min="10764" max="10764" width="13.7109375" style="4" customWidth="1"/>
    <col min="10765" max="10765" width="12.42578125" style="4" customWidth="1"/>
    <col min="10766" max="11008" width="8.7109375" style="4"/>
    <col min="11009" max="11009" width="132.28515625" style="4" customWidth="1"/>
    <col min="11010" max="11010" width="86.7109375" style="4" customWidth="1"/>
    <col min="11011" max="11011" width="3.42578125" style="4" customWidth="1"/>
    <col min="11012" max="11012" width="14" style="4" bestFit="1" customWidth="1"/>
    <col min="11013" max="11013" width="90.7109375" style="4" customWidth="1"/>
    <col min="11014" max="11019" width="12.7109375" style="4" customWidth="1"/>
    <col min="11020" max="11020" width="13.7109375" style="4" customWidth="1"/>
    <col min="11021" max="11021" width="12.42578125" style="4" customWidth="1"/>
    <col min="11022" max="11264" width="8.7109375" style="4"/>
    <col min="11265" max="11265" width="132.28515625" style="4" customWidth="1"/>
    <col min="11266" max="11266" width="86.7109375" style="4" customWidth="1"/>
    <col min="11267" max="11267" width="3.42578125" style="4" customWidth="1"/>
    <col min="11268" max="11268" width="14" style="4" bestFit="1" customWidth="1"/>
    <col min="11269" max="11269" width="90.7109375" style="4" customWidth="1"/>
    <col min="11270" max="11275" width="12.7109375" style="4" customWidth="1"/>
    <col min="11276" max="11276" width="13.7109375" style="4" customWidth="1"/>
    <col min="11277" max="11277" width="12.42578125" style="4" customWidth="1"/>
    <col min="11278" max="11520" width="8.7109375" style="4"/>
    <col min="11521" max="11521" width="132.28515625" style="4" customWidth="1"/>
    <col min="11522" max="11522" width="86.7109375" style="4" customWidth="1"/>
    <col min="11523" max="11523" width="3.42578125" style="4" customWidth="1"/>
    <col min="11524" max="11524" width="14" style="4" bestFit="1" customWidth="1"/>
    <col min="11525" max="11525" width="90.7109375" style="4" customWidth="1"/>
    <col min="11526" max="11531" width="12.7109375" style="4" customWidth="1"/>
    <col min="11532" max="11532" width="13.7109375" style="4" customWidth="1"/>
    <col min="11533" max="11533" width="12.42578125" style="4" customWidth="1"/>
    <col min="11534" max="11776" width="8.7109375" style="4"/>
    <col min="11777" max="11777" width="132.28515625" style="4" customWidth="1"/>
    <col min="11778" max="11778" width="86.7109375" style="4" customWidth="1"/>
    <col min="11779" max="11779" width="3.42578125" style="4" customWidth="1"/>
    <col min="11780" max="11780" width="14" style="4" bestFit="1" customWidth="1"/>
    <col min="11781" max="11781" width="90.7109375" style="4" customWidth="1"/>
    <col min="11782" max="11787" width="12.7109375" style="4" customWidth="1"/>
    <col min="11788" max="11788" width="13.7109375" style="4" customWidth="1"/>
    <col min="11789" max="11789" width="12.42578125" style="4" customWidth="1"/>
    <col min="11790" max="12032" width="8.7109375" style="4"/>
    <col min="12033" max="12033" width="132.28515625" style="4" customWidth="1"/>
    <col min="12034" max="12034" width="86.7109375" style="4" customWidth="1"/>
    <col min="12035" max="12035" width="3.42578125" style="4" customWidth="1"/>
    <col min="12036" max="12036" width="14" style="4" bestFit="1" customWidth="1"/>
    <col min="12037" max="12037" width="90.7109375" style="4" customWidth="1"/>
    <col min="12038" max="12043" width="12.7109375" style="4" customWidth="1"/>
    <col min="12044" max="12044" width="13.7109375" style="4" customWidth="1"/>
    <col min="12045" max="12045" width="12.42578125" style="4" customWidth="1"/>
    <col min="12046" max="12288" width="8.7109375" style="4"/>
    <col min="12289" max="12289" width="132.28515625" style="4" customWidth="1"/>
    <col min="12290" max="12290" width="86.7109375" style="4" customWidth="1"/>
    <col min="12291" max="12291" width="3.42578125" style="4" customWidth="1"/>
    <col min="12292" max="12292" width="14" style="4" bestFit="1" customWidth="1"/>
    <col min="12293" max="12293" width="90.7109375" style="4" customWidth="1"/>
    <col min="12294" max="12299" width="12.7109375" style="4" customWidth="1"/>
    <col min="12300" max="12300" width="13.7109375" style="4" customWidth="1"/>
    <col min="12301" max="12301" width="12.42578125" style="4" customWidth="1"/>
    <col min="12302" max="12544" width="8.7109375" style="4"/>
    <col min="12545" max="12545" width="132.28515625" style="4" customWidth="1"/>
    <col min="12546" max="12546" width="86.7109375" style="4" customWidth="1"/>
    <col min="12547" max="12547" width="3.42578125" style="4" customWidth="1"/>
    <col min="12548" max="12548" width="14" style="4" bestFit="1" customWidth="1"/>
    <col min="12549" max="12549" width="90.7109375" style="4" customWidth="1"/>
    <col min="12550" max="12555" width="12.7109375" style="4" customWidth="1"/>
    <col min="12556" max="12556" width="13.7109375" style="4" customWidth="1"/>
    <col min="12557" max="12557" width="12.42578125" style="4" customWidth="1"/>
    <col min="12558" max="12800" width="8.7109375" style="4"/>
    <col min="12801" max="12801" width="132.28515625" style="4" customWidth="1"/>
    <col min="12802" max="12802" width="86.7109375" style="4" customWidth="1"/>
    <col min="12803" max="12803" width="3.42578125" style="4" customWidth="1"/>
    <col min="12804" max="12804" width="14" style="4" bestFit="1" customWidth="1"/>
    <col min="12805" max="12805" width="90.7109375" style="4" customWidth="1"/>
    <col min="12806" max="12811" width="12.7109375" style="4" customWidth="1"/>
    <col min="12812" max="12812" width="13.7109375" style="4" customWidth="1"/>
    <col min="12813" max="12813" width="12.42578125" style="4" customWidth="1"/>
    <col min="12814" max="13056" width="8.7109375" style="4"/>
    <col min="13057" max="13057" width="132.28515625" style="4" customWidth="1"/>
    <col min="13058" max="13058" width="86.7109375" style="4" customWidth="1"/>
    <col min="13059" max="13059" width="3.42578125" style="4" customWidth="1"/>
    <col min="13060" max="13060" width="14" style="4" bestFit="1" customWidth="1"/>
    <col min="13061" max="13061" width="90.7109375" style="4" customWidth="1"/>
    <col min="13062" max="13067" width="12.7109375" style="4" customWidth="1"/>
    <col min="13068" max="13068" width="13.7109375" style="4" customWidth="1"/>
    <col min="13069" max="13069" width="12.42578125" style="4" customWidth="1"/>
    <col min="13070" max="13312" width="8.7109375" style="4"/>
    <col min="13313" max="13313" width="132.28515625" style="4" customWidth="1"/>
    <col min="13314" max="13314" width="86.7109375" style="4" customWidth="1"/>
    <col min="13315" max="13315" width="3.42578125" style="4" customWidth="1"/>
    <col min="13316" max="13316" width="14" style="4" bestFit="1" customWidth="1"/>
    <col min="13317" max="13317" width="90.7109375" style="4" customWidth="1"/>
    <col min="13318" max="13323" width="12.7109375" style="4" customWidth="1"/>
    <col min="13324" max="13324" width="13.7109375" style="4" customWidth="1"/>
    <col min="13325" max="13325" width="12.42578125" style="4" customWidth="1"/>
    <col min="13326" max="13568" width="8.7109375" style="4"/>
    <col min="13569" max="13569" width="132.28515625" style="4" customWidth="1"/>
    <col min="13570" max="13570" width="86.7109375" style="4" customWidth="1"/>
    <col min="13571" max="13571" width="3.42578125" style="4" customWidth="1"/>
    <col min="13572" max="13572" width="14" style="4" bestFit="1" customWidth="1"/>
    <col min="13573" max="13573" width="90.7109375" style="4" customWidth="1"/>
    <col min="13574" max="13579" width="12.7109375" style="4" customWidth="1"/>
    <col min="13580" max="13580" width="13.7109375" style="4" customWidth="1"/>
    <col min="13581" max="13581" width="12.42578125" style="4" customWidth="1"/>
    <col min="13582" max="13824" width="8.7109375" style="4"/>
    <col min="13825" max="13825" width="132.28515625" style="4" customWidth="1"/>
    <col min="13826" max="13826" width="86.7109375" style="4" customWidth="1"/>
    <col min="13827" max="13827" width="3.42578125" style="4" customWidth="1"/>
    <col min="13828" max="13828" width="14" style="4" bestFit="1" customWidth="1"/>
    <col min="13829" max="13829" width="90.7109375" style="4" customWidth="1"/>
    <col min="13830" max="13835" width="12.7109375" style="4" customWidth="1"/>
    <col min="13836" max="13836" width="13.7109375" style="4" customWidth="1"/>
    <col min="13837" max="13837" width="12.42578125" style="4" customWidth="1"/>
    <col min="13838" max="14080" width="8.7109375" style="4"/>
    <col min="14081" max="14081" width="132.28515625" style="4" customWidth="1"/>
    <col min="14082" max="14082" width="86.7109375" style="4" customWidth="1"/>
    <col min="14083" max="14083" width="3.42578125" style="4" customWidth="1"/>
    <col min="14084" max="14084" width="14" style="4" bestFit="1" customWidth="1"/>
    <col min="14085" max="14085" width="90.7109375" style="4" customWidth="1"/>
    <col min="14086" max="14091" width="12.7109375" style="4" customWidth="1"/>
    <col min="14092" max="14092" width="13.7109375" style="4" customWidth="1"/>
    <col min="14093" max="14093" width="12.42578125" style="4" customWidth="1"/>
    <col min="14094" max="14336" width="8.7109375" style="4"/>
    <col min="14337" max="14337" width="132.28515625" style="4" customWidth="1"/>
    <col min="14338" max="14338" width="86.7109375" style="4" customWidth="1"/>
    <col min="14339" max="14339" width="3.42578125" style="4" customWidth="1"/>
    <col min="14340" max="14340" width="14" style="4" bestFit="1" customWidth="1"/>
    <col min="14341" max="14341" width="90.7109375" style="4" customWidth="1"/>
    <col min="14342" max="14347" width="12.7109375" style="4" customWidth="1"/>
    <col min="14348" max="14348" width="13.7109375" style="4" customWidth="1"/>
    <col min="14349" max="14349" width="12.42578125" style="4" customWidth="1"/>
    <col min="14350" max="14592" width="8.7109375" style="4"/>
    <col min="14593" max="14593" width="132.28515625" style="4" customWidth="1"/>
    <col min="14594" max="14594" width="86.7109375" style="4" customWidth="1"/>
    <col min="14595" max="14595" width="3.42578125" style="4" customWidth="1"/>
    <col min="14596" max="14596" width="14" style="4" bestFit="1" customWidth="1"/>
    <col min="14597" max="14597" width="90.7109375" style="4" customWidth="1"/>
    <col min="14598" max="14603" width="12.7109375" style="4" customWidth="1"/>
    <col min="14604" max="14604" width="13.7109375" style="4" customWidth="1"/>
    <col min="14605" max="14605" width="12.42578125" style="4" customWidth="1"/>
    <col min="14606" max="14848" width="8.7109375" style="4"/>
    <col min="14849" max="14849" width="132.28515625" style="4" customWidth="1"/>
    <col min="14850" max="14850" width="86.7109375" style="4" customWidth="1"/>
    <col min="14851" max="14851" width="3.42578125" style="4" customWidth="1"/>
    <col min="14852" max="14852" width="14" style="4" bestFit="1" customWidth="1"/>
    <col min="14853" max="14853" width="90.7109375" style="4" customWidth="1"/>
    <col min="14854" max="14859" width="12.7109375" style="4" customWidth="1"/>
    <col min="14860" max="14860" width="13.7109375" style="4" customWidth="1"/>
    <col min="14861" max="14861" width="12.42578125" style="4" customWidth="1"/>
    <col min="14862" max="15104" width="8.7109375" style="4"/>
    <col min="15105" max="15105" width="132.28515625" style="4" customWidth="1"/>
    <col min="15106" max="15106" width="86.7109375" style="4" customWidth="1"/>
    <col min="15107" max="15107" width="3.42578125" style="4" customWidth="1"/>
    <col min="15108" max="15108" width="14" style="4" bestFit="1" customWidth="1"/>
    <col min="15109" max="15109" width="90.7109375" style="4" customWidth="1"/>
    <col min="15110" max="15115" width="12.7109375" style="4" customWidth="1"/>
    <col min="15116" max="15116" width="13.7109375" style="4" customWidth="1"/>
    <col min="15117" max="15117" width="12.42578125" style="4" customWidth="1"/>
    <col min="15118" max="15360" width="8.7109375" style="4"/>
    <col min="15361" max="15361" width="132.28515625" style="4" customWidth="1"/>
    <col min="15362" max="15362" width="86.7109375" style="4" customWidth="1"/>
    <col min="15363" max="15363" width="3.42578125" style="4" customWidth="1"/>
    <col min="15364" max="15364" width="14" style="4" bestFit="1" customWidth="1"/>
    <col min="15365" max="15365" width="90.7109375" style="4" customWidth="1"/>
    <col min="15366" max="15371" width="12.7109375" style="4" customWidth="1"/>
    <col min="15372" max="15372" width="13.7109375" style="4" customWidth="1"/>
    <col min="15373" max="15373" width="12.42578125" style="4" customWidth="1"/>
    <col min="15374" max="15616" width="8.7109375" style="4"/>
    <col min="15617" max="15617" width="132.28515625" style="4" customWidth="1"/>
    <col min="15618" max="15618" width="86.7109375" style="4" customWidth="1"/>
    <col min="15619" max="15619" width="3.42578125" style="4" customWidth="1"/>
    <col min="15620" max="15620" width="14" style="4" bestFit="1" customWidth="1"/>
    <col min="15621" max="15621" width="90.7109375" style="4" customWidth="1"/>
    <col min="15622" max="15627" width="12.7109375" style="4" customWidth="1"/>
    <col min="15628" max="15628" width="13.7109375" style="4" customWidth="1"/>
    <col min="15629" max="15629" width="12.42578125" style="4" customWidth="1"/>
    <col min="15630" max="15872" width="8.7109375" style="4"/>
    <col min="15873" max="15873" width="132.28515625" style="4" customWidth="1"/>
    <col min="15874" max="15874" width="86.7109375" style="4" customWidth="1"/>
    <col min="15875" max="15875" width="3.42578125" style="4" customWidth="1"/>
    <col min="15876" max="15876" width="14" style="4" bestFit="1" customWidth="1"/>
    <col min="15877" max="15877" width="90.7109375" style="4" customWidth="1"/>
    <col min="15878" max="15883" width="12.7109375" style="4" customWidth="1"/>
    <col min="15884" max="15884" width="13.7109375" style="4" customWidth="1"/>
    <col min="15885" max="15885" width="12.42578125" style="4" customWidth="1"/>
    <col min="15886" max="16128" width="8.7109375" style="4"/>
    <col min="16129" max="16129" width="132.28515625" style="4" customWidth="1"/>
    <col min="16130" max="16130" width="86.7109375" style="4" customWidth="1"/>
    <col min="16131" max="16131" width="3.42578125" style="4" customWidth="1"/>
    <col min="16132" max="16132" width="14" style="4" bestFit="1" customWidth="1"/>
    <col min="16133" max="16133" width="90.7109375" style="4" customWidth="1"/>
    <col min="16134" max="16139" width="12.7109375" style="4" customWidth="1"/>
    <col min="16140" max="16140" width="13.7109375" style="4" customWidth="1"/>
    <col min="16141" max="16141" width="12.42578125" style="4" customWidth="1"/>
    <col min="16142" max="16384" width="8.7109375" style="4"/>
  </cols>
  <sheetData>
    <row r="1" spans="1:12" ht="45" x14ac:dyDescent="0.6">
      <c r="A1" s="26" t="str">
        <f>Invulinstructie_disclaimer!A2</f>
        <v>Model haalbaarheidsstudie SDE++ 2025</v>
      </c>
      <c r="B1" s="58"/>
      <c r="F1" s="27"/>
    </row>
    <row r="2" spans="1:12" ht="11.25" customHeight="1" x14ac:dyDescent="0.6">
      <c r="A2" s="26"/>
      <c r="F2" s="27"/>
    </row>
    <row r="3" spans="1:12" ht="20.100000000000001" customHeight="1" x14ac:dyDescent="0.3">
      <c r="A3" s="28" t="s">
        <v>127</v>
      </c>
      <c r="D3" s="28"/>
      <c r="F3" s="29"/>
    </row>
    <row r="4" spans="1:12" ht="28.5" customHeight="1" x14ac:dyDescent="0.3">
      <c r="A4" s="29"/>
      <c r="F4" s="29"/>
    </row>
    <row r="5" spans="1:12" x14ac:dyDescent="0.25">
      <c r="A5" s="12" t="str">
        <f>"Projectnaam                    "&amp;Productie_en_afzet!B6</f>
        <v xml:space="preserve">Projectnaam                    </v>
      </c>
      <c r="B5" s="12"/>
      <c r="C5" s="12"/>
    </row>
    <row r="6" spans="1:12" x14ac:dyDescent="0.25">
      <c r="A6" s="12" t="str">
        <f>"Categorie SDE+               "&amp;Hulpblad_categorieën_parameters!D81</f>
        <v>Categorie SDE+               Zon-PV ≥ 15 kWp en &lt; 1 MWp aansluiting &gt; 3*80 A, gebouwgebonden (net = 50%)</v>
      </c>
      <c r="B6" s="12"/>
      <c r="C6" s="12"/>
    </row>
    <row r="7" spans="1:12" ht="26.25" customHeight="1" x14ac:dyDescent="0.25">
      <c r="A7" s="30"/>
      <c r="D7" s="30"/>
      <c r="E7" s="30"/>
      <c r="F7" s="30"/>
      <c r="G7" s="30"/>
      <c r="H7" s="30"/>
      <c r="I7" s="30"/>
      <c r="J7" s="30"/>
      <c r="K7" s="30"/>
      <c r="L7" s="30"/>
    </row>
    <row r="8" spans="1:12" ht="18" x14ac:dyDescent="0.25">
      <c r="A8" s="28" t="s">
        <v>128</v>
      </c>
    </row>
    <row r="9" spans="1:12" ht="18" x14ac:dyDescent="0.25">
      <c r="A9" s="28"/>
    </row>
    <row r="10" spans="1:12" x14ac:dyDescent="0.25">
      <c r="A10" s="30" t="s">
        <v>129</v>
      </c>
    </row>
    <row r="11" spans="1:12" ht="12.75" customHeight="1" x14ac:dyDescent="0.25">
      <c r="A11" s="100" t="str">
        <f>Financiering_en_projectplan!H56</f>
        <v/>
      </c>
      <c r="B11" s="4"/>
      <c r="C11" s="40"/>
    </row>
    <row r="12" spans="1:12" ht="12.75" customHeight="1" x14ac:dyDescent="0.25">
      <c r="A12" s="30"/>
      <c r="B12" s="101"/>
      <c r="C12" s="40"/>
    </row>
    <row r="13" spans="1:12" x14ac:dyDescent="0.25">
      <c r="A13" s="102" t="s">
        <v>130</v>
      </c>
      <c r="B13" s="4"/>
      <c r="C13" s="40"/>
    </row>
    <row r="14" spans="1:12" ht="15" customHeight="1" x14ac:dyDescent="0.25">
      <c r="A14" s="100" t="str">
        <f>Financiering_en_projectplan!H15</f>
        <v>Voeg de meest recente (concept) jaarrekening van de aanvrager toe.</v>
      </c>
      <c r="B14" s="40"/>
      <c r="C14" s="40"/>
    </row>
    <row r="15" spans="1:12" x14ac:dyDescent="0.25">
      <c r="A15" s="50"/>
      <c r="B15" s="40"/>
      <c r="C15" s="40"/>
    </row>
    <row r="16" spans="1:12" x14ac:dyDescent="0.25">
      <c r="A16" s="30" t="s">
        <v>131</v>
      </c>
      <c r="B16" s="4"/>
      <c r="C16" s="40"/>
    </row>
    <row r="17" spans="1:12" x14ac:dyDescent="0.25">
      <c r="A17" s="104" t="str">
        <f>Financiering_en_projectplan!H61</f>
        <v/>
      </c>
      <c r="B17" s="4"/>
      <c r="C17" s="40"/>
      <c r="D17" s="14"/>
      <c r="F17" s="38"/>
      <c r="G17" s="38"/>
      <c r="H17" s="38"/>
      <c r="I17" s="38"/>
      <c r="J17" s="38"/>
      <c r="K17" s="38"/>
      <c r="L17" s="38"/>
    </row>
    <row r="18" spans="1:12" x14ac:dyDescent="0.25">
      <c r="A18" s="105" t="str">
        <f>Financiering_en_projectplan!H62</f>
        <v/>
      </c>
      <c r="B18" s="4"/>
      <c r="C18" s="40"/>
      <c r="D18" s="57"/>
      <c r="F18" s="38"/>
      <c r="G18" s="38"/>
      <c r="H18" s="38"/>
      <c r="I18" s="38"/>
      <c r="J18" s="38"/>
      <c r="K18" s="38"/>
      <c r="L18" s="38"/>
    </row>
    <row r="19" spans="1:12" x14ac:dyDescent="0.25">
      <c r="A19" s="105" t="str">
        <f>Financiering_en_projectplan!H63</f>
        <v/>
      </c>
      <c r="B19" s="4"/>
      <c r="C19" s="40"/>
      <c r="D19" s="57"/>
      <c r="F19" s="38"/>
      <c r="G19" s="38"/>
      <c r="H19" s="38"/>
      <c r="I19" s="38"/>
      <c r="J19" s="38"/>
      <c r="K19" s="38"/>
      <c r="L19" s="38"/>
    </row>
    <row r="20" spans="1:12" x14ac:dyDescent="0.25">
      <c r="A20" s="105" t="str">
        <f>Financiering_en_projectplan!H64</f>
        <v/>
      </c>
      <c r="B20" s="4"/>
      <c r="C20" s="40"/>
      <c r="D20" s="57"/>
      <c r="F20" s="38"/>
      <c r="G20" s="38"/>
      <c r="H20" s="38"/>
      <c r="I20" s="38"/>
      <c r="J20" s="38"/>
      <c r="K20" s="38"/>
      <c r="L20" s="38"/>
    </row>
    <row r="21" spans="1:12" x14ac:dyDescent="0.25">
      <c r="A21" s="105" t="str">
        <f>Financiering_en_projectplan!H65</f>
        <v/>
      </c>
      <c r="B21" s="4"/>
      <c r="C21" s="40"/>
      <c r="D21" s="57"/>
      <c r="F21" s="38"/>
      <c r="G21" s="38"/>
      <c r="H21" s="38"/>
      <c r="I21" s="38"/>
      <c r="J21" s="38"/>
      <c r="K21" s="38"/>
      <c r="L21" s="38"/>
    </row>
    <row r="22" spans="1:12" x14ac:dyDescent="0.25">
      <c r="A22" s="105" t="str">
        <f>Financiering_en_projectplan!H66</f>
        <v/>
      </c>
      <c r="B22" s="4"/>
      <c r="C22" s="40"/>
      <c r="D22" s="14"/>
      <c r="E22" s="38"/>
      <c r="F22" s="38"/>
      <c r="G22" s="38"/>
      <c r="H22" s="38"/>
      <c r="I22" s="38"/>
      <c r="J22" s="38"/>
      <c r="K22" s="38"/>
      <c r="L22" s="38"/>
    </row>
    <row r="23" spans="1:12" x14ac:dyDescent="0.25">
      <c r="A23" s="105" t="str">
        <f>Financiering_en_projectplan!H67</f>
        <v/>
      </c>
      <c r="B23" s="4"/>
      <c r="C23" s="40"/>
      <c r="D23" s="14"/>
      <c r="E23" s="38"/>
      <c r="F23" s="38"/>
      <c r="G23" s="38"/>
      <c r="H23" s="38"/>
      <c r="I23" s="38"/>
      <c r="J23" s="38"/>
      <c r="K23" s="38"/>
      <c r="L23" s="38"/>
    </row>
    <row r="24" spans="1:12" x14ac:dyDescent="0.25">
      <c r="A24" s="105" t="str">
        <f>Financiering_en_projectplan!H68</f>
        <v/>
      </c>
      <c r="B24" s="4"/>
      <c r="C24" s="40"/>
      <c r="E24" s="38"/>
      <c r="F24" s="38"/>
      <c r="G24" s="38"/>
      <c r="H24" s="38"/>
      <c r="I24" s="38"/>
      <c r="J24" s="38"/>
      <c r="K24" s="38"/>
      <c r="L24" s="38"/>
    </row>
    <row r="25" spans="1:12" x14ac:dyDescent="0.25">
      <c r="A25" s="105" t="str">
        <f>Financiering_en_projectplan!H69</f>
        <v/>
      </c>
      <c r="B25" s="4"/>
      <c r="C25" s="40"/>
      <c r="D25" s="14"/>
      <c r="E25" s="38"/>
      <c r="F25" s="38"/>
      <c r="G25" s="38"/>
      <c r="H25" s="38"/>
      <c r="I25" s="38"/>
      <c r="J25" s="38"/>
      <c r="K25" s="38"/>
      <c r="L25" s="38"/>
    </row>
    <row r="26" spans="1:12" x14ac:dyDescent="0.25">
      <c r="A26" s="106" t="str">
        <f>Financiering_en_projectplan!H70</f>
        <v/>
      </c>
      <c r="B26" s="40"/>
      <c r="C26" s="40"/>
      <c r="D26" s="14"/>
      <c r="E26" s="38"/>
      <c r="F26" s="38"/>
      <c r="G26" s="38"/>
      <c r="H26" s="38"/>
      <c r="I26" s="38"/>
      <c r="J26" s="38"/>
      <c r="K26" s="38"/>
      <c r="L26" s="38"/>
    </row>
    <row r="27" spans="1:12" x14ac:dyDescent="0.25">
      <c r="A27" s="40"/>
      <c r="B27" s="40"/>
      <c r="C27" s="40"/>
      <c r="D27" s="14"/>
      <c r="E27" s="38"/>
      <c r="F27" s="38"/>
      <c r="G27" s="38"/>
      <c r="H27" s="38"/>
      <c r="I27" s="38"/>
      <c r="J27" s="38"/>
      <c r="K27" s="38"/>
      <c r="L27" s="38"/>
    </row>
    <row r="28" spans="1:12" x14ac:dyDescent="0.25">
      <c r="A28" s="30" t="s">
        <v>132</v>
      </c>
      <c r="B28" s="4"/>
      <c r="C28" s="40"/>
      <c r="D28" s="14"/>
      <c r="E28" s="38"/>
      <c r="F28" s="38"/>
      <c r="G28" s="38"/>
      <c r="H28" s="38"/>
      <c r="I28" s="38"/>
      <c r="J28" s="38"/>
      <c r="K28" s="38"/>
      <c r="L28" s="38"/>
    </row>
    <row r="29" spans="1:12" x14ac:dyDescent="0.25">
      <c r="A29" s="104" t="str">
        <f>Financiering_en_projectplan!H72</f>
        <v/>
      </c>
      <c r="B29" s="4"/>
      <c r="C29" s="40"/>
      <c r="D29" s="14"/>
      <c r="E29" s="38"/>
      <c r="F29" s="38"/>
      <c r="G29" s="38"/>
      <c r="H29" s="38"/>
      <c r="I29" s="38"/>
      <c r="J29" s="38"/>
      <c r="K29" s="38"/>
      <c r="L29" s="38"/>
    </row>
    <row r="30" spans="1:12" x14ac:dyDescent="0.25">
      <c r="A30" s="105" t="str">
        <f>Financiering_en_projectplan!H73</f>
        <v/>
      </c>
      <c r="B30" s="4"/>
      <c r="C30" s="40"/>
      <c r="D30" s="14"/>
      <c r="E30" s="38"/>
      <c r="F30" s="38"/>
      <c r="G30" s="38"/>
      <c r="H30" s="38"/>
      <c r="I30" s="38"/>
      <c r="J30" s="38"/>
      <c r="K30" s="38"/>
      <c r="L30" s="38"/>
    </row>
    <row r="31" spans="1:12" x14ac:dyDescent="0.25">
      <c r="A31" s="105" t="str">
        <f>Financiering_en_projectplan!H74</f>
        <v/>
      </c>
      <c r="B31" s="4"/>
      <c r="C31" s="40"/>
      <c r="D31" s="14"/>
      <c r="E31" s="38"/>
      <c r="F31" s="38"/>
      <c r="G31" s="38"/>
      <c r="H31" s="38"/>
      <c r="I31" s="38"/>
      <c r="J31" s="38"/>
      <c r="K31" s="38"/>
      <c r="L31" s="38"/>
    </row>
    <row r="32" spans="1:12" x14ac:dyDescent="0.25">
      <c r="A32" s="105" t="str">
        <f>Financiering_en_projectplan!H75</f>
        <v/>
      </c>
      <c r="B32" s="4"/>
      <c r="C32" s="40"/>
      <c r="D32" s="14"/>
      <c r="E32" s="38"/>
      <c r="F32" s="38"/>
      <c r="G32" s="38"/>
      <c r="H32" s="38"/>
      <c r="I32" s="38"/>
      <c r="J32" s="38"/>
      <c r="K32" s="38"/>
      <c r="L32" s="38"/>
    </row>
    <row r="33" spans="1:12" x14ac:dyDescent="0.25">
      <c r="A33" s="106" t="str">
        <f>Financiering_en_projectplan!H76</f>
        <v/>
      </c>
      <c r="B33" s="40"/>
      <c r="C33" s="40"/>
      <c r="D33" s="14"/>
      <c r="E33" s="38"/>
      <c r="F33" s="38"/>
      <c r="G33" s="38"/>
      <c r="H33" s="38"/>
      <c r="I33" s="38"/>
      <c r="J33" s="38"/>
      <c r="K33" s="38"/>
      <c r="L33" s="38"/>
    </row>
    <row r="34" spans="1:12" x14ac:dyDescent="0.25">
      <c r="A34" s="40"/>
      <c r="B34" s="40"/>
      <c r="C34" s="40"/>
      <c r="D34" s="14"/>
      <c r="E34" s="38"/>
      <c r="F34" s="38"/>
      <c r="G34" s="38"/>
      <c r="H34" s="38"/>
      <c r="I34" s="38"/>
      <c r="J34" s="38"/>
      <c r="K34" s="38"/>
      <c r="L34" s="38"/>
    </row>
    <row r="35" spans="1:12" x14ac:dyDescent="0.25">
      <c r="A35" s="30" t="s">
        <v>133</v>
      </c>
      <c r="B35" s="4"/>
      <c r="C35" s="40"/>
      <c r="D35" s="14"/>
      <c r="E35" s="38"/>
      <c r="F35" s="38"/>
      <c r="G35" s="38"/>
      <c r="H35" s="38"/>
      <c r="I35" s="38"/>
      <c r="J35" s="38"/>
      <c r="K35" s="38"/>
      <c r="L35" s="38"/>
    </row>
    <row r="36" spans="1:12" ht="27.75" customHeight="1" x14ac:dyDescent="0.25">
      <c r="A36" s="107" t="str">
        <f>IF(Hulpblad_overig!B25=1,Financiering_en_projectplan!H58,"")</f>
        <v/>
      </c>
      <c r="B36" s="40"/>
      <c r="C36" s="40"/>
      <c r="D36" s="14"/>
      <c r="E36" s="38"/>
      <c r="F36" s="38"/>
      <c r="G36" s="38"/>
      <c r="H36" s="38"/>
      <c r="I36" s="38"/>
      <c r="J36" s="38"/>
      <c r="K36" s="38"/>
      <c r="L36" s="38"/>
    </row>
    <row r="37" spans="1:12" x14ac:dyDescent="0.25">
      <c r="A37" s="40"/>
      <c r="B37" s="40"/>
      <c r="C37" s="40"/>
      <c r="D37" s="14"/>
      <c r="E37" s="38"/>
      <c r="F37" s="38"/>
      <c r="G37" s="38"/>
      <c r="H37" s="38"/>
      <c r="I37" s="38"/>
      <c r="J37" s="38"/>
      <c r="K37" s="38"/>
      <c r="L37" s="38"/>
    </row>
    <row r="38" spans="1:12" x14ac:dyDescent="0.25">
      <c r="A38" s="30" t="s">
        <v>134</v>
      </c>
      <c r="B38" s="40"/>
      <c r="C38" s="40"/>
      <c r="D38" s="14"/>
      <c r="E38" s="38"/>
      <c r="F38" s="38"/>
      <c r="G38" s="38"/>
      <c r="H38" s="38"/>
      <c r="I38" s="38"/>
      <c r="J38" s="38"/>
      <c r="K38" s="38"/>
      <c r="L38" s="38"/>
    </row>
    <row r="39" spans="1:12" x14ac:dyDescent="0.25">
      <c r="A39" s="108" t="e">
        <f>IF(AND(Hulpblad_overig!B8=2,Financiering_en_projectplan!$E$13&lt;20%),"Voeg contract, offerte of intentieverklaring toe van financier ",IF(AND(Hulpblad_overig!B8=1,Financiering_en_projectplan!$G$78&lt;20%),"Voeg contract, offerte of intentieverklaring toe van financier "&amp;Financiering_en_projectplan!B84&amp;"",""))</f>
        <v>#DIV/0!</v>
      </c>
      <c r="B39" s="40"/>
      <c r="C39" s="40"/>
      <c r="D39" s="14"/>
      <c r="E39" s="38"/>
      <c r="F39" s="38"/>
      <c r="G39" s="38"/>
      <c r="H39" s="38"/>
      <c r="I39" s="38"/>
      <c r="J39" s="38"/>
      <c r="K39" s="38"/>
      <c r="L39" s="38"/>
    </row>
    <row r="40" spans="1:12" x14ac:dyDescent="0.25">
      <c r="A40" s="109" t="e">
        <f>IF(AND(Financiering_en_projectplan!G85&gt;0,Financiering_en_projectplan!$G$78&lt;20%),"Voeg contract, offerte of intentieverklaring toe van financier "&amp;Financiering_en_projectplan!B85&amp;"","")</f>
        <v>#DIV/0!</v>
      </c>
      <c r="B40" s="40"/>
      <c r="C40" s="40"/>
      <c r="D40" s="14"/>
      <c r="E40" s="38"/>
      <c r="F40" s="38"/>
      <c r="G40" s="38"/>
      <c r="H40" s="38"/>
      <c r="I40" s="38"/>
      <c r="J40" s="38"/>
      <c r="K40" s="38"/>
      <c r="L40" s="38"/>
    </row>
    <row r="41" spans="1:12" x14ac:dyDescent="0.25">
      <c r="A41" s="105" t="e">
        <f>IF(AND(Financiering_en_projectplan!G86&gt;0,Financiering_en_projectplan!$G$78&lt;20%),"Voeg contract, offerte of intentieverklaring toe van financier "&amp;Financiering_en_projectplan!B86&amp;"","")</f>
        <v>#DIV/0!</v>
      </c>
      <c r="B41" s="40"/>
      <c r="C41" s="40"/>
      <c r="D41" s="14"/>
      <c r="E41" s="38"/>
      <c r="F41" s="38"/>
      <c r="G41" s="38"/>
      <c r="H41" s="38"/>
      <c r="I41" s="38"/>
      <c r="J41" s="38"/>
      <c r="K41" s="38"/>
      <c r="L41" s="38"/>
    </row>
    <row r="42" spans="1:12" x14ac:dyDescent="0.25">
      <c r="A42" s="105" t="e">
        <f>IF(AND(Financiering_en_projectplan!G87&gt;0,Financiering_en_projectplan!$G$78&lt;20%),"Voeg contract, offerte of intentieverklaring toe van financier "&amp;Financiering_en_projectplan!B87&amp;"","")</f>
        <v>#DIV/0!</v>
      </c>
      <c r="B42" s="40"/>
      <c r="C42" s="40"/>
      <c r="D42" s="14"/>
      <c r="E42" s="38"/>
      <c r="F42" s="38"/>
      <c r="G42" s="38"/>
      <c r="H42" s="38"/>
      <c r="I42" s="38"/>
      <c r="J42" s="38"/>
      <c r="K42" s="38"/>
      <c r="L42" s="38"/>
    </row>
    <row r="43" spans="1:12" x14ac:dyDescent="0.25">
      <c r="A43" s="105" t="e">
        <f>IF(AND(Financiering_en_projectplan!G88&gt;0,Financiering_en_projectplan!$G$78&lt;20%),"Voeg contract, offerte of intentieverklaring toe van financier "&amp;Financiering_en_projectplan!B88&amp;"","")</f>
        <v>#DIV/0!</v>
      </c>
      <c r="B43" s="40"/>
      <c r="C43" s="40"/>
      <c r="D43" s="14"/>
      <c r="E43" s="38"/>
      <c r="F43" s="38"/>
      <c r="G43" s="38"/>
      <c r="H43" s="38"/>
      <c r="I43" s="38"/>
      <c r="J43" s="38"/>
      <c r="K43" s="38"/>
      <c r="L43" s="38"/>
    </row>
    <row r="44" spans="1:12" x14ac:dyDescent="0.25">
      <c r="A44" s="105" t="e">
        <f>IF(AND(Financiering_en_projectplan!G89&gt;0,Financiering_en_projectplan!$G$78&lt;20%),"Voeg contract, offerte of intentieverklaring toe van financier "&amp;Financiering_en_projectplan!B89&amp;"","")</f>
        <v>#DIV/0!</v>
      </c>
      <c r="B44" s="40"/>
      <c r="C44" s="40"/>
      <c r="D44" s="14"/>
      <c r="E44" s="38"/>
      <c r="F44" s="38"/>
      <c r="G44" s="38"/>
      <c r="H44" s="38"/>
      <c r="I44" s="38"/>
      <c r="J44" s="38"/>
      <c r="K44" s="38"/>
      <c r="L44" s="38"/>
    </row>
    <row r="45" spans="1:12" x14ac:dyDescent="0.25">
      <c r="A45" s="105" t="e">
        <f>IF(AND(Financiering_en_projectplan!G90&gt;0,Financiering_en_projectplan!$G$78&lt;20%),"Voeg contract, offerte of intentieverklaring toe van financier "&amp;Financiering_en_projectplan!B90&amp;"","")</f>
        <v>#DIV/0!</v>
      </c>
      <c r="B45" s="40"/>
      <c r="C45" s="40"/>
      <c r="D45" s="14"/>
      <c r="E45" s="38"/>
      <c r="F45" s="38"/>
      <c r="G45" s="38"/>
      <c r="H45" s="38"/>
      <c r="I45" s="38"/>
      <c r="J45" s="38"/>
      <c r="K45" s="38"/>
      <c r="L45" s="38"/>
    </row>
    <row r="46" spans="1:12" x14ac:dyDescent="0.25">
      <c r="A46" s="105" t="e">
        <f>IF(AND(Financiering_en_projectplan!G91&gt;0,Financiering_en_projectplan!$G$78&lt;20%),"Voeg contract, offerte of intentieverklaring toe van financier "&amp;Financiering_en_projectplan!B91&amp;"","")</f>
        <v>#DIV/0!</v>
      </c>
      <c r="B46" s="40"/>
      <c r="C46" s="40"/>
      <c r="D46" s="14"/>
      <c r="E46" s="38"/>
      <c r="F46" s="38"/>
      <c r="G46" s="38"/>
      <c r="H46" s="38"/>
      <c r="I46" s="38"/>
      <c r="J46" s="38"/>
      <c r="K46" s="38"/>
      <c r="L46" s="38"/>
    </row>
    <row r="47" spans="1:12" x14ac:dyDescent="0.25">
      <c r="A47" s="105" t="e">
        <f>IF(AND(Financiering_en_projectplan!G92&gt;0,Financiering_en_projectplan!$G$78&lt;20%),"Voeg contract, offerte of intentieverklaring toe van financier "&amp;Financiering_en_projectplan!B92&amp;"","")</f>
        <v>#DIV/0!</v>
      </c>
      <c r="B47" s="40"/>
      <c r="C47" s="40"/>
      <c r="D47" s="14"/>
      <c r="E47" s="38"/>
      <c r="F47" s="38"/>
      <c r="G47" s="38"/>
      <c r="H47" s="38"/>
      <c r="I47" s="38"/>
      <c r="J47" s="38"/>
      <c r="K47" s="38"/>
      <c r="L47" s="38"/>
    </row>
    <row r="48" spans="1:12" x14ac:dyDescent="0.25">
      <c r="A48" s="106" t="e">
        <f>IF(AND(Financiering_en_projectplan!G93&gt;0,Financiering_en_projectplan!$G$78&lt;20%),"Voeg contract, offerte of intentieverklaring toe van financier "&amp;Financiering_en_projectplan!B93&amp;"","")</f>
        <v>#DIV/0!</v>
      </c>
      <c r="B48" s="40"/>
      <c r="C48" s="40"/>
      <c r="D48" s="14"/>
      <c r="E48" s="38"/>
      <c r="F48" s="38"/>
      <c r="G48" s="38"/>
      <c r="H48" s="38"/>
      <c r="I48" s="38"/>
      <c r="J48" s="38"/>
      <c r="K48" s="38"/>
      <c r="L48" s="38"/>
    </row>
    <row r="49" spans="1:12" x14ac:dyDescent="0.25">
      <c r="A49" s="12"/>
      <c r="B49" s="40"/>
      <c r="C49" s="40"/>
      <c r="D49" s="14"/>
      <c r="E49" s="38"/>
      <c r="F49" s="38"/>
      <c r="G49" s="38"/>
      <c r="H49" s="38"/>
      <c r="I49" s="38"/>
      <c r="J49" s="38"/>
      <c r="K49" s="38"/>
      <c r="L49" s="38"/>
    </row>
    <row r="50" spans="1:12" x14ac:dyDescent="0.25">
      <c r="D50" s="14"/>
      <c r="E50" s="38"/>
      <c r="F50" s="38"/>
      <c r="G50" s="38"/>
      <c r="H50" s="38"/>
      <c r="I50" s="38"/>
      <c r="J50" s="38"/>
      <c r="K50" s="38"/>
      <c r="L50" s="38"/>
    </row>
    <row r="51" spans="1:12" ht="18" x14ac:dyDescent="0.25">
      <c r="A51" s="28" t="s">
        <v>135</v>
      </c>
      <c r="E51" s="38"/>
      <c r="F51" s="38"/>
      <c r="G51" s="38"/>
      <c r="H51" s="38"/>
      <c r="I51" s="38"/>
      <c r="J51" s="38"/>
      <c r="K51" s="38"/>
      <c r="L51" s="38"/>
    </row>
    <row r="52" spans="1:12" ht="44.25" customHeight="1" x14ac:dyDescent="0.25">
      <c r="A52" s="374" t="str">
        <f>VLOOKUP(Hulpblad_categorieën_parameters!D81,Hulpblad_categorieën_parameters!A87:AH332,25,FALSE)</f>
        <v xml:space="preserve">Voeg een gedetailleerde tekening op schaal waarop de aangevraagde Zon-PV-installatie nauwkeurig is ingetekend en een ‘Verklaring van een constructeur’ toe. </v>
      </c>
      <c r="B52" s="4"/>
      <c r="C52" s="40"/>
      <c r="E52" s="38"/>
      <c r="F52" s="38"/>
      <c r="G52" s="38"/>
      <c r="H52" s="38"/>
      <c r="I52" s="38"/>
      <c r="J52" s="38"/>
      <c r="K52" s="38"/>
      <c r="L52" s="38"/>
    </row>
    <row r="53" spans="1:12" ht="12.75" customHeight="1" x14ac:dyDescent="0.25">
      <c r="A53" s="106" t="str">
        <f>IF(Productie_en_afzet!A35="U gaat warmte leveren aan derden","Voeg een contract, samenwerkingsplannen of intentieverklaring voor de warmtelevering aan derden toe",IF(Productie_en_afzet!A47="U moet een Capaciteitsverklaring van de partij die de transport en opslag van CO₂ zal realiseren toevoegen aan de haalbaarheidsstudie.","Voeg een Capaciteitsverklaring van de partij die de transport en opslag van CO₂ zal realiseren toe",IF(Productie_en_afzet!A42="Niet van toepassing","","Voeg een een verklaring met prijsindicatie van de netbeheerder voor het invoeden van hernieuwbaar gas toe")))</f>
        <v/>
      </c>
      <c r="B53" s="4"/>
      <c r="C53" s="40"/>
      <c r="E53" s="38"/>
      <c r="F53" s="38"/>
      <c r="G53" s="38"/>
      <c r="H53" s="38"/>
      <c r="I53" s="38"/>
      <c r="J53" s="38"/>
      <c r="K53" s="38"/>
      <c r="L53" s="38"/>
    </row>
    <row r="54" spans="1:12" ht="12.75" customHeight="1" x14ac:dyDescent="0.25">
      <c r="A54" s="30"/>
      <c r="E54" s="42"/>
      <c r="F54" s="42"/>
      <c r="G54" s="42"/>
      <c r="H54" s="42"/>
      <c r="I54" s="42"/>
      <c r="J54" s="42"/>
      <c r="K54" s="42"/>
      <c r="L54" s="42"/>
    </row>
    <row r="55" spans="1:12" ht="12.75" customHeight="1" x14ac:dyDescent="0.25">
      <c r="A55" s="28"/>
      <c r="E55" s="38"/>
      <c r="F55" s="38"/>
      <c r="G55" s="38"/>
      <c r="H55" s="38"/>
      <c r="I55" s="38"/>
      <c r="J55" s="38"/>
      <c r="K55" s="38"/>
      <c r="L55" s="38"/>
    </row>
    <row r="56" spans="1:12" ht="18" x14ac:dyDescent="0.25">
      <c r="A56" s="28" t="s">
        <v>136</v>
      </c>
      <c r="E56" s="38"/>
      <c r="F56" s="38"/>
      <c r="G56" s="38"/>
      <c r="H56" s="38"/>
      <c r="I56" s="38"/>
      <c r="J56" s="38"/>
      <c r="K56" s="38"/>
      <c r="L56" s="38"/>
    </row>
    <row r="57" spans="1:12" ht="18" x14ac:dyDescent="0.25">
      <c r="A57" s="28"/>
      <c r="E57" s="38"/>
      <c r="F57" s="38"/>
      <c r="G57" s="38"/>
      <c r="H57" s="38"/>
      <c r="I57" s="38"/>
      <c r="J57" s="38"/>
      <c r="K57" s="38"/>
      <c r="L57" s="38"/>
    </row>
    <row r="58" spans="1:12" x14ac:dyDescent="0.25">
      <c r="A58" s="30" t="s">
        <v>1032</v>
      </c>
      <c r="E58" s="38"/>
      <c r="F58" s="38"/>
      <c r="G58" s="38"/>
      <c r="H58" s="38"/>
      <c r="I58" s="38"/>
      <c r="J58" s="38"/>
      <c r="K58" s="38"/>
      <c r="L58" s="38"/>
    </row>
    <row r="59" spans="1:12" ht="30" customHeight="1" x14ac:dyDescent="0.25">
      <c r="A59" s="100" t="str">
        <f>Financiering_en_projectplan!H17</f>
        <v>Indien de onderneming deel uitmaakt van een groter verband (zoals een holding), voeg dan in aanvulling op de jaarrekening van de aanvrager zelf, de meest recente geconsolideerde (concept) jaarrekening toe (optioneel voor een sterkere haalbaarheidstudie).</v>
      </c>
      <c r="E59" s="38"/>
      <c r="F59" s="38"/>
      <c r="G59" s="38"/>
      <c r="H59" s="38"/>
      <c r="I59" s="38"/>
      <c r="J59" s="38"/>
      <c r="K59" s="38"/>
      <c r="L59" s="38"/>
    </row>
    <row r="60" spans="1:12" x14ac:dyDescent="0.25">
      <c r="E60" s="12"/>
      <c r="F60" s="38"/>
      <c r="G60" s="38"/>
      <c r="H60" s="38"/>
      <c r="I60" s="38"/>
      <c r="J60" s="38"/>
      <c r="K60" s="38"/>
      <c r="L60" s="38"/>
    </row>
    <row r="61" spans="1:12" ht="12.75" customHeight="1" x14ac:dyDescent="0.25">
      <c r="A61" s="30" t="s">
        <v>137</v>
      </c>
      <c r="B61" s="4"/>
      <c r="F61" s="38"/>
      <c r="G61" s="38"/>
      <c r="H61" s="38"/>
      <c r="I61" s="38"/>
      <c r="J61" s="38"/>
      <c r="K61" s="38"/>
      <c r="L61" s="38"/>
    </row>
    <row r="62" spans="1:12" ht="12.75" customHeight="1" x14ac:dyDescent="0.25">
      <c r="A62" s="104" t="str">
        <f>Financiering_en_projectplan!H30</f>
        <v/>
      </c>
      <c r="B62" s="4"/>
      <c r="F62" s="38"/>
      <c r="G62" s="38"/>
      <c r="H62" s="38"/>
      <c r="I62" s="38"/>
      <c r="J62" s="38"/>
      <c r="K62" s="38"/>
      <c r="L62" s="38"/>
    </row>
    <row r="63" spans="1:12" ht="12.75" customHeight="1" x14ac:dyDescent="0.25">
      <c r="A63" s="105" t="str">
        <f>Financiering_en_projectplan!H31</f>
        <v/>
      </c>
      <c r="B63" s="4"/>
      <c r="F63" s="38"/>
      <c r="G63" s="38"/>
      <c r="H63" s="38"/>
      <c r="I63" s="38"/>
      <c r="J63" s="38"/>
      <c r="K63" s="38"/>
      <c r="L63" s="38"/>
    </row>
    <row r="64" spans="1:12" ht="12.75" customHeight="1" x14ac:dyDescent="0.25">
      <c r="A64" s="105" t="str">
        <f>Financiering_en_projectplan!H32</f>
        <v/>
      </c>
      <c r="B64" s="4"/>
      <c r="F64" s="38"/>
      <c r="G64" s="38"/>
      <c r="H64" s="38"/>
      <c r="I64" s="38"/>
      <c r="J64" s="38"/>
      <c r="K64" s="38"/>
      <c r="L64" s="38"/>
    </row>
    <row r="65" spans="1:12" ht="12.75" customHeight="1" x14ac:dyDescent="0.25">
      <c r="A65" s="105" t="str">
        <f>Financiering_en_projectplan!H33</f>
        <v/>
      </c>
      <c r="B65" s="4"/>
      <c r="F65" s="65"/>
      <c r="G65" s="65"/>
      <c r="H65" s="65"/>
      <c r="I65" s="65"/>
      <c r="J65" s="65"/>
      <c r="K65" s="65"/>
      <c r="L65" s="65"/>
    </row>
    <row r="66" spans="1:12" ht="12.75" customHeight="1" x14ac:dyDescent="0.25">
      <c r="A66" s="105" t="str">
        <f>Financiering_en_projectplan!H34</f>
        <v/>
      </c>
      <c r="B66" s="4"/>
      <c r="F66" s="42"/>
      <c r="G66" s="42"/>
      <c r="H66" s="42"/>
      <c r="I66" s="42"/>
      <c r="J66" s="42"/>
      <c r="K66" s="42"/>
      <c r="L66" s="42"/>
    </row>
    <row r="67" spans="1:12" ht="12.75" customHeight="1" x14ac:dyDescent="0.25">
      <c r="A67" s="105" t="str">
        <f>Financiering_en_projectplan!H35</f>
        <v/>
      </c>
      <c r="B67" s="4"/>
      <c r="F67" s="42"/>
      <c r="G67" s="42"/>
      <c r="H67" s="42"/>
      <c r="I67" s="42"/>
      <c r="J67" s="42"/>
      <c r="K67" s="42"/>
      <c r="L67" s="42"/>
    </row>
    <row r="68" spans="1:12" x14ac:dyDescent="0.25">
      <c r="A68" s="105" t="str">
        <f>Financiering_en_projectplan!H36</f>
        <v/>
      </c>
      <c r="B68" s="4"/>
      <c r="F68" s="38"/>
      <c r="G68" s="38"/>
      <c r="H68" s="38"/>
      <c r="I68" s="38"/>
      <c r="J68" s="38"/>
      <c r="K68" s="38"/>
      <c r="L68" s="38"/>
    </row>
    <row r="69" spans="1:12" x14ac:dyDescent="0.25">
      <c r="A69" s="105" t="str">
        <f>Financiering_en_projectplan!H37</f>
        <v/>
      </c>
      <c r="B69" s="4"/>
      <c r="C69" s="16"/>
      <c r="D69" s="38"/>
      <c r="F69" s="14"/>
      <c r="G69" s="14"/>
      <c r="H69" s="14"/>
      <c r="I69" s="14"/>
      <c r="J69" s="14"/>
      <c r="K69" s="14"/>
      <c r="L69" s="14"/>
    </row>
    <row r="70" spans="1:12" x14ac:dyDescent="0.25">
      <c r="A70" s="110" t="str">
        <f>Financiering_en_projectplan!H38</f>
        <v/>
      </c>
      <c r="B70" s="4"/>
      <c r="C70" s="12"/>
      <c r="D70" s="38"/>
      <c r="F70" s="14"/>
      <c r="G70" s="14"/>
      <c r="H70" s="14"/>
      <c r="I70" s="14"/>
      <c r="J70" s="14"/>
      <c r="K70" s="14"/>
      <c r="L70" s="14"/>
    </row>
    <row r="71" spans="1:12" x14ac:dyDescent="0.25">
      <c r="A71" s="106" t="str">
        <f>Financiering_en_projectplan!H39</f>
        <v/>
      </c>
      <c r="B71" s="40"/>
      <c r="C71" s="12"/>
      <c r="D71" s="38"/>
      <c r="E71" s="14"/>
      <c r="F71" s="14"/>
      <c r="G71" s="14"/>
      <c r="H71" s="14"/>
      <c r="I71" s="14"/>
      <c r="J71" s="14"/>
      <c r="K71" s="14"/>
      <c r="L71" s="14"/>
    </row>
    <row r="72" spans="1:12" x14ac:dyDescent="0.25">
      <c r="B72" s="40"/>
      <c r="F72" s="42"/>
      <c r="G72" s="42"/>
      <c r="H72" s="42"/>
      <c r="I72" s="42"/>
      <c r="J72" s="42"/>
      <c r="K72" s="42"/>
      <c r="L72" s="42"/>
    </row>
    <row r="73" spans="1:12" x14ac:dyDescent="0.25">
      <c r="A73" s="30" t="s">
        <v>138</v>
      </c>
      <c r="B73" s="4"/>
      <c r="D73" s="38"/>
      <c r="F73" s="14"/>
      <c r="G73" s="14"/>
      <c r="H73" s="14"/>
      <c r="I73" s="14"/>
      <c r="J73" s="14"/>
      <c r="K73" s="14"/>
      <c r="L73" s="14"/>
    </row>
    <row r="74" spans="1:12" s="30" customFormat="1" ht="12.75" x14ac:dyDescent="0.2">
      <c r="A74" s="103" t="str">
        <f>Financiering_en_projectplan!H40</f>
        <v/>
      </c>
      <c r="D74" s="43"/>
      <c r="E74" s="42"/>
      <c r="F74" s="42"/>
      <c r="G74" s="42"/>
      <c r="H74" s="42"/>
      <c r="I74" s="42"/>
      <c r="J74" s="42"/>
      <c r="K74" s="42"/>
      <c r="L74" s="42"/>
    </row>
    <row r="75" spans="1:12" x14ac:dyDescent="0.25">
      <c r="E75" s="14"/>
      <c r="F75" s="14"/>
      <c r="G75" s="14"/>
      <c r="H75" s="14"/>
      <c r="I75" s="14"/>
      <c r="J75" s="14"/>
      <c r="K75" s="14"/>
      <c r="L75" s="14"/>
    </row>
    <row r="76" spans="1:12" x14ac:dyDescent="0.25">
      <c r="A76" s="30" t="s">
        <v>134</v>
      </c>
      <c r="E76" s="38"/>
      <c r="F76" s="38"/>
      <c r="G76" s="38"/>
      <c r="H76" s="38"/>
      <c r="I76" s="38"/>
      <c r="J76" s="38"/>
      <c r="K76" s="38"/>
      <c r="L76" s="38"/>
    </row>
    <row r="77" spans="1:12" x14ac:dyDescent="0.25">
      <c r="A77" s="104" t="str">
        <f>IF(Hulpblad_overig!B4=1,Financiering_en_projectplan!H8,"")</f>
        <v>Voeg voor een sterkere haalbaarheidsstudie een juridisch organogram (UBO-overzicht) toe</v>
      </c>
      <c r="E77" s="38"/>
      <c r="F77" s="38"/>
      <c r="G77" s="38"/>
      <c r="H77" s="38"/>
      <c r="I77" s="38"/>
      <c r="J77" s="38"/>
      <c r="K77" s="38"/>
      <c r="L77" s="38"/>
    </row>
    <row r="78" spans="1:12" x14ac:dyDescent="0.25">
      <c r="A78" s="110" t="e">
        <f>IF(AND(Financiering_en_projectplan!G84&gt;0,Financiering_en_projectplan!$G$78&gt;20%),"Voeg eventueel contract, offerte of intentieverklaring toe van "&amp;Financiering_en_projectplan!B84&amp;"","")</f>
        <v>#DIV/0!</v>
      </c>
      <c r="E78" s="38"/>
      <c r="F78" s="38"/>
      <c r="G78" s="38"/>
      <c r="H78" s="38"/>
      <c r="I78" s="38"/>
      <c r="J78" s="38"/>
      <c r="K78" s="38"/>
      <c r="L78" s="38"/>
    </row>
    <row r="79" spans="1:12" x14ac:dyDescent="0.25">
      <c r="A79" s="110" t="e">
        <f>IF(AND(Financiering_en_projectplan!G85&gt;0,Financiering_en_projectplan!$G$78&gt;20%),"Voeg eventueel contract, offerte of intentieverklaring toe van "&amp;Financiering_en_projectplan!B85&amp;"","")</f>
        <v>#DIV/0!</v>
      </c>
      <c r="B79" s="16"/>
      <c r="C79" s="16"/>
      <c r="D79" s="14"/>
      <c r="E79" s="14"/>
      <c r="F79" s="14"/>
      <c r="G79" s="14"/>
      <c r="H79" s="14"/>
      <c r="I79" s="14"/>
      <c r="J79" s="14"/>
      <c r="K79" s="14"/>
      <c r="L79" s="14"/>
    </row>
    <row r="80" spans="1:12" x14ac:dyDescent="0.25">
      <c r="A80" s="110" t="e">
        <f>IF(AND(Financiering_en_projectplan!G86&gt;0,Financiering_en_projectplan!$G$78&gt;20%),"Voeg eventueel contract, offerte of intentieverklaring toe van "&amp;Financiering_en_projectplan!B86&amp;"","")</f>
        <v>#DIV/0!</v>
      </c>
      <c r="B80" s="38"/>
      <c r="C80" s="38"/>
      <c r="D80" s="14"/>
      <c r="E80" s="14"/>
      <c r="F80" s="14"/>
      <c r="G80" s="14"/>
      <c r="H80" s="14"/>
      <c r="I80" s="14"/>
      <c r="J80" s="14"/>
      <c r="K80" s="14"/>
      <c r="L80" s="14"/>
    </row>
    <row r="81" spans="1:12" x14ac:dyDescent="0.25">
      <c r="A81" s="110" t="e">
        <f>IF(AND(Financiering_en_projectplan!G87&gt;0,Financiering_en_projectplan!$G$78&gt;20%),"Voeg eventueel contract, offerte of intentieverklaring toe van "&amp;Financiering_en_projectplan!B87&amp;"","")</f>
        <v>#DIV/0!</v>
      </c>
      <c r="B81" s="38"/>
      <c r="C81" s="38"/>
      <c r="D81" s="14"/>
      <c r="E81" s="14"/>
      <c r="F81" s="14"/>
      <c r="G81" s="14"/>
      <c r="H81" s="14"/>
      <c r="I81" s="14"/>
      <c r="J81" s="14"/>
      <c r="K81" s="14"/>
      <c r="L81" s="14"/>
    </row>
    <row r="82" spans="1:12" x14ac:dyDescent="0.25">
      <c r="A82" s="111" t="e">
        <f>IF(AND(Financiering_en_projectplan!G88&gt;0,Financiering_en_projectplan!$G$78&gt;20%),"Voeg eventueel contract, offerte of intentieverklaring toe van "&amp;Financiering_en_projectplan!B88&amp;"","")</f>
        <v>#DIV/0!</v>
      </c>
      <c r="B82" s="38"/>
      <c r="C82" s="38"/>
      <c r="D82" s="14"/>
      <c r="E82" s="14"/>
      <c r="F82" s="14"/>
      <c r="G82" s="14"/>
      <c r="H82" s="14"/>
      <c r="I82" s="14"/>
      <c r="J82" s="14"/>
      <c r="K82" s="14"/>
      <c r="L82" s="14"/>
    </row>
    <row r="83" spans="1:12" x14ac:dyDescent="0.25">
      <c r="A83" s="112" t="e">
        <f>IF(AND(Financiering_en_projectplan!G89&gt;0,Financiering_en_projectplan!$G$78&gt;20%),"Voeg eventueel contract, offerte of intentieverklaring toe van "&amp;Financiering_en_projectplan!B89&amp;"","")</f>
        <v>#DIV/0!</v>
      </c>
      <c r="B83" s="16"/>
      <c r="C83" s="16"/>
      <c r="D83" s="14"/>
      <c r="E83" s="14"/>
      <c r="F83" s="14"/>
      <c r="G83" s="14"/>
      <c r="H83" s="14"/>
      <c r="I83" s="14"/>
      <c r="J83" s="14"/>
      <c r="K83" s="14"/>
      <c r="L83" s="14"/>
    </row>
    <row r="84" spans="1:12" x14ac:dyDescent="0.25">
      <c r="A84" s="112" t="e">
        <f>IF(AND(Financiering_en_projectplan!G90&gt;0,Financiering_en_projectplan!$G$78&gt;20%),"Voeg eventueel contract, offerte of intentieverklaring toe van "&amp;Financiering_en_projectplan!B90&amp;"","")</f>
        <v>#DIV/0!</v>
      </c>
      <c r="B84" s="38"/>
      <c r="C84" s="38"/>
      <c r="D84" s="14"/>
      <c r="E84" s="14"/>
      <c r="F84" s="14"/>
      <c r="G84" s="14"/>
      <c r="H84" s="14"/>
      <c r="I84" s="14"/>
      <c r="J84" s="14"/>
      <c r="K84" s="14"/>
      <c r="L84" s="14"/>
    </row>
    <row r="85" spans="1:12" x14ac:dyDescent="0.25">
      <c r="A85" s="110" t="e">
        <f>IF(AND(Financiering_en_projectplan!G91&gt;0,Financiering_en_projectplan!$G$78&gt;20%),"Voeg eventueel contract, offerte of intentieverklaring toe van "&amp;Financiering_en_projectplan!B91&amp;"","")</f>
        <v>#DIV/0!</v>
      </c>
      <c r="B85" s="38"/>
      <c r="C85" s="38"/>
      <c r="D85" s="14"/>
      <c r="E85" s="14"/>
      <c r="F85" s="14"/>
      <c r="G85" s="14"/>
      <c r="H85" s="14"/>
      <c r="I85" s="14"/>
      <c r="J85" s="14"/>
      <c r="K85" s="14"/>
      <c r="L85" s="14"/>
    </row>
    <row r="86" spans="1:12" x14ac:dyDescent="0.25">
      <c r="A86" s="112" t="e">
        <f>IF(AND(Financiering_en_projectplan!G92&gt;0,Financiering_en_projectplan!$G$78&gt;20%),"Voeg eventueel contract, offerte of intentieverklaring toe van "&amp;Financiering_en_projectplan!B92&amp;"","")</f>
        <v>#DIV/0!</v>
      </c>
      <c r="B86" s="38"/>
      <c r="C86" s="38"/>
      <c r="D86" s="14"/>
      <c r="E86" s="14"/>
      <c r="F86" s="14"/>
      <c r="G86" s="14"/>
      <c r="H86" s="14"/>
      <c r="I86" s="14"/>
      <c r="J86" s="14"/>
      <c r="K86" s="14"/>
      <c r="L86" s="14"/>
    </row>
    <row r="87" spans="1:12" x14ac:dyDescent="0.25">
      <c r="A87" s="113" t="e">
        <f>IF(AND(Financiering_en_projectplan!G93&gt;0,Financiering_en_projectplan!$G$78&gt;20%),"Voeg eventueel contract, offerte of intentieverklaring toe van "&amp;Financiering_en_projectplan!B93&amp;"","")</f>
        <v>#DIV/0!</v>
      </c>
      <c r="B87" s="38"/>
      <c r="C87" s="38"/>
      <c r="D87" s="14"/>
      <c r="E87" s="14"/>
      <c r="F87" s="14"/>
      <c r="G87" s="14"/>
      <c r="H87" s="14"/>
      <c r="I87" s="14"/>
      <c r="J87" s="14"/>
      <c r="K87" s="14"/>
      <c r="L87" s="14"/>
    </row>
    <row r="88" spans="1:12" x14ac:dyDescent="0.25">
      <c r="B88" s="38"/>
      <c r="C88" s="38"/>
      <c r="D88" s="14"/>
      <c r="E88" s="14"/>
      <c r="F88" s="14"/>
      <c r="G88" s="14"/>
      <c r="H88" s="14"/>
      <c r="I88" s="14"/>
      <c r="J88" s="14"/>
      <c r="K88" s="14"/>
      <c r="L88" s="14"/>
    </row>
    <row r="89" spans="1:12" s="30" customFormat="1" ht="12.75" x14ac:dyDescent="0.2">
      <c r="B89" s="43"/>
      <c r="C89" s="43"/>
      <c r="D89" s="42"/>
      <c r="E89" s="42"/>
      <c r="F89" s="42"/>
      <c r="G89" s="42"/>
      <c r="H89" s="42"/>
      <c r="I89" s="42"/>
      <c r="J89" s="42"/>
      <c r="K89" s="42"/>
      <c r="L89" s="42"/>
    </row>
    <row r="90" spans="1:12" s="30" customFormat="1" ht="12.75" x14ac:dyDescent="0.2">
      <c r="B90" s="43"/>
      <c r="C90" s="43"/>
      <c r="D90" s="43"/>
      <c r="E90" s="43"/>
      <c r="F90" s="43"/>
      <c r="G90" s="43"/>
      <c r="H90" s="43"/>
      <c r="I90" s="43"/>
      <c r="J90" s="43"/>
      <c r="K90" s="43"/>
      <c r="L90" s="43"/>
    </row>
    <row r="91" spans="1:12" s="30" customFormat="1" ht="12.75" x14ac:dyDescent="0.2">
      <c r="A91" s="12"/>
      <c r="B91" s="16"/>
      <c r="C91" s="16"/>
    </row>
    <row r="92" spans="1:12" s="30" customFormat="1" ht="12.75" x14ac:dyDescent="0.2">
      <c r="B92" s="15"/>
      <c r="C92" s="15"/>
      <c r="D92" s="42"/>
      <c r="E92" s="57"/>
      <c r="F92" s="57"/>
      <c r="G92" s="57"/>
      <c r="H92" s="57"/>
      <c r="I92" s="57"/>
      <c r="J92" s="57"/>
      <c r="K92" s="57"/>
      <c r="L92" s="57"/>
    </row>
    <row r="93" spans="1:12" s="30" customFormat="1" x14ac:dyDescent="0.25">
      <c r="B93" s="15"/>
      <c r="C93" s="15"/>
      <c r="D93" s="42"/>
      <c r="E93" s="14"/>
      <c r="F93" s="57"/>
      <c r="G93" s="57"/>
      <c r="H93" s="57"/>
      <c r="I93" s="57"/>
      <c r="J93" s="57"/>
      <c r="K93" s="57"/>
      <c r="L93" s="57"/>
    </row>
    <row r="94" spans="1:12" s="30" customFormat="1" x14ac:dyDescent="0.25">
      <c r="B94" s="15"/>
      <c r="C94" s="15"/>
      <c r="D94" s="42"/>
      <c r="E94" s="14"/>
      <c r="F94" s="57"/>
      <c r="G94" s="57"/>
      <c r="H94" s="57"/>
      <c r="I94" s="57"/>
      <c r="J94" s="57"/>
      <c r="K94" s="57"/>
      <c r="L94" s="57"/>
    </row>
    <row r="95" spans="1:12" s="30" customFormat="1" x14ac:dyDescent="0.25">
      <c r="B95" s="15"/>
      <c r="C95" s="15"/>
      <c r="D95" s="42"/>
      <c r="E95" s="14"/>
      <c r="F95" s="57"/>
      <c r="G95" s="57"/>
      <c r="H95" s="57"/>
      <c r="I95" s="57"/>
      <c r="J95" s="57"/>
      <c r="K95" s="57"/>
      <c r="L95" s="57"/>
    </row>
    <row r="96" spans="1:12" s="30" customFormat="1" x14ac:dyDescent="0.25">
      <c r="B96" s="15"/>
      <c r="C96" s="15"/>
      <c r="D96" s="42"/>
      <c r="E96" s="14"/>
      <c r="F96" s="57"/>
      <c r="G96" s="57"/>
      <c r="H96" s="57"/>
      <c r="I96" s="57"/>
      <c r="J96" s="57"/>
      <c r="K96" s="57"/>
      <c r="L96" s="57"/>
    </row>
    <row r="97" spans="1:13" s="30" customFormat="1" x14ac:dyDescent="0.25">
      <c r="B97" s="15"/>
      <c r="C97" s="15"/>
      <c r="D97" s="42"/>
      <c r="E97" s="14"/>
      <c r="F97" s="57"/>
      <c r="G97" s="57"/>
      <c r="H97" s="57"/>
      <c r="I97" s="57"/>
      <c r="J97" s="57"/>
      <c r="K97" s="57"/>
      <c r="L97" s="57"/>
    </row>
    <row r="98" spans="1:13" s="30" customFormat="1" x14ac:dyDescent="0.25">
      <c r="B98" s="15"/>
      <c r="C98" s="15"/>
      <c r="D98" s="42"/>
      <c r="E98" s="14"/>
      <c r="F98" s="57"/>
      <c r="G98" s="57"/>
      <c r="H98" s="57"/>
      <c r="I98" s="57"/>
      <c r="J98" s="57"/>
      <c r="K98" s="57"/>
      <c r="L98" s="57"/>
    </row>
    <row r="99" spans="1:13" s="30" customFormat="1" x14ac:dyDescent="0.25">
      <c r="B99" s="15"/>
      <c r="C99" s="15"/>
      <c r="D99" s="42"/>
      <c r="E99" s="14"/>
      <c r="F99" s="57"/>
      <c r="G99" s="57"/>
      <c r="H99" s="57"/>
      <c r="I99" s="57"/>
      <c r="J99" s="57"/>
      <c r="K99" s="57"/>
      <c r="L99" s="57"/>
    </row>
    <row r="100" spans="1:13" s="30" customFormat="1" ht="12.75" x14ac:dyDescent="0.2">
      <c r="B100" s="43"/>
      <c r="C100" s="43"/>
      <c r="D100" s="42"/>
      <c r="E100" s="9"/>
      <c r="F100" s="42"/>
      <c r="G100" s="42"/>
      <c r="H100" s="42"/>
      <c r="I100" s="42"/>
      <c r="J100" s="42"/>
      <c r="K100" s="42"/>
      <c r="L100" s="42"/>
    </row>
    <row r="101" spans="1:13" s="30" customFormat="1" ht="12.75" x14ac:dyDescent="0.2">
      <c r="A101" s="12"/>
      <c r="B101" s="43"/>
      <c r="C101" s="43"/>
      <c r="D101" s="42"/>
      <c r="E101" s="42"/>
      <c r="F101" s="42"/>
      <c r="G101" s="42"/>
      <c r="H101" s="42"/>
      <c r="I101" s="42"/>
      <c r="J101" s="42"/>
      <c r="K101" s="42"/>
      <c r="L101" s="42"/>
    </row>
    <row r="102" spans="1:13" s="30" customFormat="1" ht="12.75" x14ac:dyDescent="0.2">
      <c r="B102" s="43"/>
      <c r="C102" s="43"/>
      <c r="D102" s="42"/>
      <c r="E102" s="42"/>
      <c r="F102" s="42"/>
      <c r="G102" s="42"/>
      <c r="H102" s="42"/>
      <c r="I102" s="42"/>
      <c r="J102" s="42"/>
      <c r="K102" s="42"/>
      <c r="L102" s="42"/>
    </row>
    <row r="103" spans="1:13" s="30" customFormat="1" ht="12.75" x14ac:dyDescent="0.2">
      <c r="B103" s="43"/>
      <c r="C103" s="43"/>
      <c r="D103" s="43"/>
      <c r="E103" s="43"/>
      <c r="F103" s="43"/>
      <c r="G103" s="43"/>
      <c r="H103" s="43"/>
      <c r="I103" s="43"/>
      <c r="J103" s="43"/>
      <c r="K103" s="43"/>
      <c r="L103" s="43"/>
    </row>
    <row r="104" spans="1:13" x14ac:dyDescent="0.25">
      <c r="A104" s="12"/>
      <c r="D104" s="14"/>
      <c r="E104" s="14"/>
      <c r="F104" s="14"/>
      <c r="G104" s="14"/>
      <c r="H104" s="14"/>
      <c r="I104" s="14"/>
      <c r="J104" s="14"/>
      <c r="K104" s="14"/>
      <c r="L104" s="14"/>
      <c r="M104" s="38"/>
    </row>
    <row r="105" spans="1:13" hidden="1" x14ac:dyDescent="0.25">
      <c r="A105" s="12"/>
      <c r="D105" s="14"/>
      <c r="E105" s="14"/>
      <c r="F105" s="14"/>
      <c r="G105" s="14"/>
      <c r="H105" s="14"/>
      <c r="I105" s="14"/>
      <c r="J105" s="14"/>
      <c r="K105" s="14"/>
      <c r="L105" s="14"/>
    </row>
    <row r="106" spans="1:13" hidden="1" x14ac:dyDescent="0.25">
      <c r="A106" s="12"/>
      <c r="D106" s="14"/>
      <c r="E106" s="14"/>
      <c r="F106" s="14"/>
      <c r="G106" s="14"/>
      <c r="H106" s="14"/>
      <c r="I106" s="14"/>
      <c r="J106" s="14"/>
      <c r="K106" s="14"/>
      <c r="L106" s="14"/>
      <c r="M106" s="14"/>
    </row>
    <row r="107" spans="1:13" hidden="1" x14ac:dyDescent="0.25">
      <c r="A107" s="12"/>
      <c r="D107" s="14"/>
      <c r="E107" s="14"/>
      <c r="F107" s="14"/>
      <c r="G107" s="14"/>
      <c r="H107" s="14"/>
      <c r="I107" s="14"/>
      <c r="J107" s="14"/>
      <c r="K107" s="14"/>
      <c r="L107" s="14"/>
      <c r="M107" s="14"/>
    </row>
    <row r="108" spans="1:13" hidden="1" x14ac:dyDescent="0.25">
      <c r="A108" s="12"/>
      <c r="D108" s="14"/>
      <c r="E108" s="14"/>
      <c r="F108" s="14"/>
      <c r="G108" s="14"/>
      <c r="H108" s="14"/>
      <c r="I108" s="14"/>
      <c r="J108" s="14"/>
      <c r="K108" s="14"/>
      <c r="L108" s="14"/>
      <c r="M108" s="14"/>
    </row>
    <row r="109" spans="1:13" hidden="1" x14ac:dyDescent="0.25">
      <c r="A109" s="12"/>
      <c r="D109" s="14"/>
      <c r="E109" s="14"/>
      <c r="F109" s="14"/>
      <c r="G109" s="14"/>
      <c r="H109" s="14"/>
      <c r="I109" s="14"/>
      <c r="J109" s="14"/>
      <c r="K109" s="14"/>
      <c r="L109" s="14"/>
      <c r="M109" s="14"/>
    </row>
    <row r="110" spans="1:13" x14ac:dyDescent="0.25">
      <c r="A110" s="12"/>
      <c r="B110" s="62"/>
      <c r="C110" s="62"/>
      <c r="D110" s="14"/>
      <c r="E110" s="14"/>
      <c r="F110" s="14"/>
      <c r="G110" s="14"/>
      <c r="H110" s="14"/>
      <c r="I110" s="14"/>
      <c r="J110" s="14"/>
      <c r="K110" s="14"/>
      <c r="L110" s="14"/>
      <c r="M110" s="14"/>
    </row>
    <row r="111" spans="1:13" x14ac:dyDescent="0.25">
      <c r="A111" s="12"/>
      <c r="B111" s="69"/>
      <c r="C111" s="69"/>
      <c r="D111" s="14"/>
      <c r="E111" s="14"/>
      <c r="F111" s="14"/>
      <c r="G111" s="14"/>
      <c r="H111" s="14"/>
      <c r="I111" s="14"/>
      <c r="J111" s="14"/>
      <c r="K111" s="14"/>
      <c r="L111" s="14"/>
      <c r="M111" s="14"/>
    </row>
    <row r="112" spans="1:13" x14ac:dyDescent="0.25">
      <c r="A112" s="12"/>
      <c r="D112" s="14"/>
      <c r="E112" s="14"/>
      <c r="F112" s="14"/>
      <c r="G112" s="14"/>
      <c r="H112" s="14"/>
      <c r="I112" s="14"/>
      <c r="J112" s="14"/>
      <c r="K112" s="14"/>
      <c r="L112" s="14"/>
      <c r="M112" s="14"/>
    </row>
    <row r="113" spans="1:16" s="30" customFormat="1" ht="12.75" x14ac:dyDescent="0.2">
      <c r="A113" s="66"/>
      <c r="D113" s="42"/>
      <c r="E113" s="42"/>
      <c r="F113" s="42"/>
      <c r="G113" s="42"/>
      <c r="H113" s="42"/>
      <c r="I113" s="42"/>
      <c r="J113" s="42"/>
      <c r="K113" s="42"/>
      <c r="L113" s="42"/>
    </row>
    <row r="114" spans="1:16" s="30" customFormat="1" ht="12.75" x14ac:dyDescent="0.2">
      <c r="D114" s="42"/>
      <c r="E114" s="42"/>
      <c r="F114" s="42"/>
      <c r="G114" s="42"/>
      <c r="H114" s="42"/>
      <c r="I114" s="42"/>
      <c r="J114" s="42"/>
      <c r="K114" s="42"/>
      <c r="L114" s="42"/>
    </row>
    <row r="115" spans="1:16" s="30" customFormat="1" ht="12.75" x14ac:dyDescent="0.2">
      <c r="D115" s="42"/>
      <c r="E115" s="42"/>
      <c r="F115" s="42"/>
      <c r="G115" s="42"/>
      <c r="H115" s="42"/>
      <c r="I115" s="42"/>
      <c r="J115" s="42"/>
      <c r="K115" s="42"/>
      <c r="L115" s="42"/>
    </row>
    <row r="116" spans="1:16" s="30" customFormat="1" ht="12.75" x14ac:dyDescent="0.2">
      <c r="D116" s="42"/>
      <c r="E116" s="42"/>
      <c r="F116" s="42"/>
      <c r="G116" s="42"/>
      <c r="H116" s="42"/>
      <c r="I116" s="42"/>
      <c r="J116" s="42"/>
      <c r="K116" s="42"/>
      <c r="L116" s="42"/>
    </row>
    <row r="117" spans="1:16" x14ac:dyDescent="0.25">
      <c r="A117" s="12"/>
      <c r="D117" s="14"/>
      <c r="E117" s="14"/>
      <c r="F117" s="14"/>
      <c r="G117" s="14"/>
      <c r="H117" s="14"/>
      <c r="I117" s="14"/>
      <c r="J117" s="14"/>
      <c r="K117" s="14"/>
      <c r="L117" s="14"/>
    </row>
    <row r="118" spans="1:16" x14ac:dyDescent="0.25">
      <c r="A118" s="12"/>
      <c r="D118" s="14"/>
      <c r="E118" s="14"/>
      <c r="F118" s="14"/>
      <c r="G118" s="14"/>
      <c r="H118" s="14"/>
      <c r="I118" s="14"/>
      <c r="J118" s="14"/>
      <c r="K118" s="14"/>
      <c r="L118" s="14"/>
    </row>
    <row r="119" spans="1:16" x14ac:dyDescent="0.25">
      <c r="A119" s="12"/>
      <c r="D119" s="14"/>
      <c r="E119" s="14"/>
      <c r="F119" s="14"/>
      <c r="G119" s="14"/>
      <c r="H119" s="14"/>
      <c r="I119" s="14"/>
      <c r="J119" s="14"/>
      <c r="K119" s="14"/>
      <c r="L119" s="14"/>
    </row>
    <row r="120" spans="1:16" s="30" customFormat="1" ht="12.75" x14ac:dyDescent="0.2">
      <c r="D120" s="42"/>
      <c r="E120" s="42"/>
      <c r="F120" s="42"/>
      <c r="G120" s="42"/>
      <c r="H120" s="42"/>
      <c r="I120" s="42"/>
      <c r="J120" s="42"/>
      <c r="K120" s="42"/>
      <c r="L120" s="42"/>
    </row>
    <row r="121" spans="1:16" x14ac:dyDescent="0.25">
      <c r="D121" s="14"/>
      <c r="E121" s="14"/>
      <c r="F121" s="14"/>
      <c r="G121" s="14"/>
      <c r="H121" s="14"/>
      <c r="I121" s="14"/>
      <c r="J121" s="14"/>
      <c r="K121" s="14"/>
      <c r="L121" s="14"/>
    </row>
    <row r="122" spans="1:16" x14ac:dyDescent="0.25">
      <c r="A122" s="12"/>
      <c r="D122" s="14"/>
      <c r="E122" s="14"/>
      <c r="F122" s="14"/>
      <c r="G122" s="14"/>
      <c r="H122" s="14"/>
      <c r="I122" s="14"/>
      <c r="J122" s="14"/>
      <c r="K122" s="14"/>
      <c r="L122" s="14"/>
    </row>
    <row r="123" spans="1:16" x14ac:dyDescent="0.25">
      <c r="D123" s="14"/>
      <c r="E123" s="14"/>
      <c r="F123" s="14"/>
      <c r="G123" s="14"/>
      <c r="H123" s="14"/>
      <c r="I123" s="14"/>
      <c r="J123" s="14"/>
      <c r="K123" s="14"/>
      <c r="L123" s="14"/>
    </row>
    <row r="124" spans="1:16" x14ac:dyDescent="0.25">
      <c r="D124" s="14"/>
      <c r="E124" s="14"/>
      <c r="F124" s="14"/>
      <c r="G124" s="14"/>
      <c r="H124" s="14"/>
      <c r="I124" s="14"/>
      <c r="J124" s="14"/>
      <c r="K124" s="14"/>
      <c r="L124" s="14"/>
    </row>
    <row r="125" spans="1:16" s="30" customFormat="1" ht="12.75" x14ac:dyDescent="0.2">
      <c r="D125" s="42"/>
      <c r="E125" s="42"/>
      <c r="F125" s="42"/>
      <c r="G125" s="42"/>
      <c r="H125" s="42"/>
      <c r="I125" s="42"/>
      <c r="J125" s="42"/>
      <c r="K125" s="42"/>
      <c r="L125" s="42"/>
    </row>
    <row r="126" spans="1:16" s="30" customFormat="1" ht="12.75" x14ac:dyDescent="0.2">
      <c r="D126" s="42"/>
      <c r="E126" s="42"/>
      <c r="F126" s="42"/>
      <c r="G126" s="42"/>
      <c r="H126" s="42"/>
      <c r="I126" s="42"/>
      <c r="J126" s="42"/>
      <c r="K126" s="42"/>
      <c r="L126" s="42"/>
    </row>
    <row r="127" spans="1:16" s="30" customFormat="1" ht="12.75" x14ac:dyDescent="0.2">
      <c r="D127" s="42"/>
      <c r="E127" s="42"/>
      <c r="F127" s="42"/>
      <c r="G127" s="42"/>
      <c r="H127" s="42"/>
      <c r="I127" s="42"/>
      <c r="J127" s="42"/>
      <c r="K127" s="42"/>
      <c r="L127" s="42"/>
      <c r="M127" s="43"/>
      <c r="N127" s="43"/>
      <c r="O127" s="43"/>
      <c r="P127" s="43"/>
    </row>
    <row r="128" spans="1:16" x14ac:dyDescent="0.25">
      <c r="D128" s="14"/>
      <c r="E128" s="14"/>
      <c r="F128" s="14"/>
      <c r="G128" s="14"/>
      <c r="H128" s="14"/>
      <c r="I128" s="14"/>
      <c r="J128" s="14"/>
      <c r="K128" s="14"/>
      <c r="L128" s="14"/>
    </row>
    <row r="129" spans="1:12" ht="24.95" customHeight="1" x14ac:dyDescent="0.25">
      <c r="A129" s="72"/>
      <c r="B129" s="73"/>
      <c r="C129" s="73"/>
      <c r="D129" s="77"/>
      <c r="E129" s="78"/>
      <c r="F129" s="78"/>
      <c r="G129" s="78"/>
      <c r="H129" s="78"/>
      <c r="I129" s="78"/>
      <c r="J129" s="78"/>
      <c r="K129" s="78"/>
      <c r="L129" s="78"/>
    </row>
    <row r="132" spans="1:12" x14ac:dyDescent="0.25">
      <c r="A132" s="30"/>
      <c r="D132" s="42"/>
      <c r="E132" s="42"/>
      <c r="F132" s="42"/>
      <c r="G132" s="42"/>
      <c r="H132" s="42"/>
      <c r="I132" s="42"/>
      <c r="J132" s="42"/>
      <c r="K132" s="42"/>
      <c r="L132" s="42"/>
    </row>
    <row r="134" spans="1:12" ht="24.75" customHeight="1" x14ac:dyDescent="0.25">
      <c r="A134" s="72"/>
      <c r="B134" s="72"/>
      <c r="C134" s="72"/>
      <c r="E134" s="80"/>
    </row>
    <row r="137" spans="1:12" x14ac:dyDescent="0.25">
      <c r="A137" s="30"/>
      <c r="E137" s="81"/>
      <c r="F137" s="81"/>
      <c r="G137" s="81"/>
      <c r="H137" s="81"/>
      <c r="I137" s="81"/>
      <c r="J137" s="81"/>
      <c r="K137" s="81"/>
      <c r="L137" s="81"/>
    </row>
    <row r="139" spans="1:12" ht="24.75" customHeight="1" x14ac:dyDescent="0.25">
      <c r="A139" s="72"/>
    </row>
    <row r="142" spans="1:12" x14ac:dyDescent="0.25">
      <c r="A142" s="30"/>
    </row>
    <row r="143" spans="1:12" x14ac:dyDescent="0.25">
      <c r="A143" s="434"/>
      <c r="B143" s="434"/>
      <c r="C143" s="12"/>
    </row>
    <row r="144" spans="1:12" x14ac:dyDescent="0.25">
      <c r="A144" s="406"/>
      <c r="B144" s="406"/>
      <c r="C144" s="4"/>
    </row>
    <row r="145" spans="1:3" x14ac:dyDescent="0.25">
      <c r="A145" s="406"/>
      <c r="B145" s="406"/>
      <c r="C145" s="4"/>
    </row>
    <row r="146" spans="1:3" x14ac:dyDescent="0.25">
      <c r="A146" s="406"/>
      <c r="B146" s="406"/>
      <c r="C146" s="4"/>
    </row>
    <row r="147" spans="1:3" x14ac:dyDescent="0.25">
      <c r="A147" s="406"/>
      <c r="B147" s="406"/>
      <c r="C147" s="4"/>
    </row>
    <row r="148" spans="1:3" x14ac:dyDescent="0.25">
      <c r="A148" s="406"/>
      <c r="B148" s="406"/>
      <c r="C148" s="4"/>
    </row>
    <row r="149" spans="1:3" x14ac:dyDescent="0.25">
      <c r="A149" s="406"/>
      <c r="B149" s="406"/>
      <c r="C149" s="4"/>
    </row>
  </sheetData>
  <sheetProtection algorithmName="SHA-512" hashValue="1hglJSoCIJ3Eyx+Cv/hmmsLS2+WaOFIcDZfPPmUIqXuhreV9FIN1iPLj1jR9E3ZJshT5Vff+/iHUwXJomvhcxg==" saltValue="rF5Pyb+rfoNC6th74j4nmA==" spinCount="100000" sheet="1" objects="1" scenarios="1"/>
  <mergeCells count="7">
    <mergeCell ref="A149:B149"/>
    <mergeCell ref="A143:B143"/>
    <mergeCell ref="A144:B144"/>
    <mergeCell ref="A145:B145"/>
    <mergeCell ref="A146:B146"/>
    <mergeCell ref="A147:B147"/>
    <mergeCell ref="A148:B148"/>
  </mergeCells>
  <pageMargins left="0.7" right="0.7" top="0.75" bottom="0.75" header="0.3" footer="0.3"/>
  <ignoredErrors>
    <ignoredError sqref="A47:A48 A78:A87 A39:A46" evalError="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2B00B-0B8A-4D4B-B96C-6B2E39F3BD56}">
  <dimension ref="A1:AO333"/>
  <sheetViews>
    <sheetView zoomScale="75" zoomScaleNormal="75" workbookViewId="0">
      <pane xSplit="1" topLeftCell="B1" activePane="topRight" state="frozen"/>
      <selection activeCell="B42" sqref="B42"/>
      <selection pane="topRight" activeCell="A7" sqref="A7"/>
    </sheetView>
  </sheetViews>
  <sheetFormatPr defaultRowHeight="12.75" x14ac:dyDescent="0.2"/>
  <cols>
    <col min="1" max="1" width="121.28515625" style="115" customWidth="1"/>
    <col min="2" max="3" width="29.85546875" style="115" customWidth="1"/>
    <col min="4" max="4" width="28.85546875" style="115" customWidth="1"/>
    <col min="5" max="5" width="26.5703125" style="115" customWidth="1"/>
    <col min="6" max="6" width="25.7109375" style="115" customWidth="1"/>
    <col min="7" max="7" width="28.5703125" style="115" customWidth="1"/>
    <col min="8" max="8" width="32.140625" style="115" customWidth="1"/>
    <col min="9" max="17" width="25.7109375" style="115" customWidth="1"/>
    <col min="18" max="18" width="29.7109375" style="115" customWidth="1"/>
    <col min="19" max="19" width="25.7109375" style="115" customWidth="1"/>
    <col min="20" max="20" width="44.7109375" style="115" customWidth="1"/>
    <col min="21" max="21" width="25.7109375" style="115" customWidth="1"/>
    <col min="22" max="22" width="32.140625" style="115" customWidth="1"/>
    <col min="23" max="23" width="38.28515625" style="115" customWidth="1"/>
    <col min="24" max="24" width="32.7109375" style="115" customWidth="1"/>
    <col min="25" max="25" width="124.5703125" style="115" customWidth="1"/>
    <col min="26" max="26" width="25.7109375" style="115" customWidth="1"/>
    <col min="27" max="27" width="90.140625" style="115" customWidth="1"/>
    <col min="28" max="28" width="40" style="115" customWidth="1"/>
    <col min="29" max="30" width="32.42578125" style="115" customWidth="1"/>
    <col min="31" max="31" width="31.5703125" style="115" customWidth="1"/>
    <col min="32" max="32" width="76.42578125" style="115" customWidth="1"/>
    <col min="33" max="33" width="32.5703125" style="115" customWidth="1"/>
    <col min="34" max="34" width="32.140625" style="115" customWidth="1"/>
    <col min="35" max="35" width="51.85546875" style="115" customWidth="1"/>
    <col min="36" max="257" width="9.140625" style="115"/>
    <col min="258" max="258" width="155.28515625" style="115" customWidth="1"/>
    <col min="259" max="260" width="29.85546875" style="115" customWidth="1"/>
    <col min="261" max="261" width="26.7109375" style="115" customWidth="1"/>
    <col min="262" max="262" width="26.5703125" style="115" customWidth="1"/>
    <col min="263" max="263" width="25.7109375" style="115" customWidth="1"/>
    <col min="264" max="264" width="28.5703125" style="115" customWidth="1"/>
    <col min="265" max="265" width="27.7109375" style="115" customWidth="1"/>
    <col min="266" max="274" width="25.7109375" style="115" customWidth="1"/>
    <col min="275" max="275" width="29.7109375" style="115" customWidth="1"/>
    <col min="276" max="276" width="25.7109375" style="115" customWidth="1"/>
    <col min="277" max="277" width="44.7109375" style="115" customWidth="1"/>
    <col min="278" max="278" width="25.7109375" style="115" customWidth="1"/>
    <col min="279" max="279" width="32.140625" style="115" customWidth="1"/>
    <col min="280" max="280" width="38.28515625" style="115" customWidth="1"/>
    <col min="281" max="281" width="32.7109375" style="115" customWidth="1"/>
    <col min="282" max="282" width="61" style="115" customWidth="1"/>
    <col min="283" max="283" width="25.7109375" style="115" customWidth="1"/>
    <col min="284" max="284" width="206.85546875" style="115" customWidth="1"/>
    <col min="285" max="285" width="71.140625" style="115" customWidth="1"/>
    <col min="286" max="286" width="13.5703125" style="115" customWidth="1"/>
    <col min="287" max="513" width="9.140625" style="115"/>
    <col min="514" max="514" width="155.28515625" style="115" customWidth="1"/>
    <col min="515" max="516" width="29.85546875" style="115" customWidth="1"/>
    <col min="517" max="517" width="26.7109375" style="115" customWidth="1"/>
    <col min="518" max="518" width="26.5703125" style="115" customWidth="1"/>
    <col min="519" max="519" width="25.7109375" style="115" customWidth="1"/>
    <col min="520" max="520" width="28.5703125" style="115" customWidth="1"/>
    <col min="521" max="521" width="27.7109375" style="115" customWidth="1"/>
    <col min="522" max="530" width="25.7109375" style="115" customWidth="1"/>
    <col min="531" max="531" width="29.7109375" style="115" customWidth="1"/>
    <col min="532" max="532" width="25.7109375" style="115" customWidth="1"/>
    <col min="533" max="533" width="44.7109375" style="115" customWidth="1"/>
    <col min="534" max="534" width="25.7109375" style="115" customWidth="1"/>
    <col min="535" max="535" width="32.140625" style="115" customWidth="1"/>
    <col min="536" max="536" width="38.28515625" style="115" customWidth="1"/>
    <col min="537" max="537" width="32.7109375" style="115" customWidth="1"/>
    <col min="538" max="538" width="61" style="115" customWidth="1"/>
    <col min="539" max="539" width="25.7109375" style="115" customWidth="1"/>
    <col min="540" max="540" width="206.85546875" style="115" customWidth="1"/>
    <col min="541" max="541" width="71.140625" style="115" customWidth="1"/>
    <col min="542" max="542" width="13.5703125" style="115" customWidth="1"/>
    <col min="543" max="769" width="9.140625" style="115"/>
    <col min="770" max="770" width="155.28515625" style="115" customWidth="1"/>
    <col min="771" max="772" width="29.85546875" style="115" customWidth="1"/>
    <col min="773" max="773" width="26.7109375" style="115" customWidth="1"/>
    <col min="774" max="774" width="26.5703125" style="115" customWidth="1"/>
    <col min="775" max="775" width="25.7109375" style="115" customWidth="1"/>
    <col min="776" max="776" width="28.5703125" style="115" customWidth="1"/>
    <col min="777" max="777" width="27.7109375" style="115" customWidth="1"/>
    <col min="778" max="786" width="25.7109375" style="115" customWidth="1"/>
    <col min="787" max="787" width="29.7109375" style="115" customWidth="1"/>
    <col min="788" max="788" width="25.7109375" style="115" customWidth="1"/>
    <col min="789" max="789" width="44.7109375" style="115" customWidth="1"/>
    <col min="790" max="790" width="25.7109375" style="115" customWidth="1"/>
    <col min="791" max="791" width="32.140625" style="115" customWidth="1"/>
    <col min="792" max="792" width="38.28515625" style="115" customWidth="1"/>
    <col min="793" max="793" width="32.7109375" style="115" customWidth="1"/>
    <col min="794" max="794" width="61" style="115" customWidth="1"/>
    <col min="795" max="795" width="25.7109375" style="115" customWidth="1"/>
    <col min="796" max="796" width="206.85546875" style="115" customWidth="1"/>
    <col min="797" max="797" width="71.140625" style="115" customWidth="1"/>
    <col min="798" max="798" width="13.5703125" style="115" customWidth="1"/>
    <col min="799" max="1025" width="9.140625" style="115"/>
    <col min="1026" max="1026" width="155.28515625" style="115" customWidth="1"/>
    <col min="1027" max="1028" width="29.85546875" style="115" customWidth="1"/>
    <col min="1029" max="1029" width="26.7109375" style="115" customWidth="1"/>
    <col min="1030" max="1030" width="26.5703125" style="115" customWidth="1"/>
    <col min="1031" max="1031" width="25.7109375" style="115" customWidth="1"/>
    <col min="1032" max="1032" width="28.5703125" style="115" customWidth="1"/>
    <col min="1033" max="1033" width="27.7109375" style="115" customWidth="1"/>
    <col min="1034" max="1042" width="25.7109375" style="115" customWidth="1"/>
    <col min="1043" max="1043" width="29.7109375" style="115" customWidth="1"/>
    <col min="1044" max="1044" width="25.7109375" style="115" customWidth="1"/>
    <col min="1045" max="1045" width="44.7109375" style="115" customWidth="1"/>
    <col min="1046" max="1046" width="25.7109375" style="115" customWidth="1"/>
    <col min="1047" max="1047" width="32.140625" style="115" customWidth="1"/>
    <col min="1048" max="1048" width="38.28515625" style="115" customWidth="1"/>
    <col min="1049" max="1049" width="32.7109375" style="115" customWidth="1"/>
    <col min="1050" max="1050" width="61" style="115" customWidth="1"/>
    <col min="1051" max="1051" width="25.7109375" style="115" customWidth="1"/>
    <col min="1052" max="1052" width="206.85546875" style="115" customWidth="1"/>
    <col min="1053" max="1053" width="71.140625" style="115" customWidth="1"/>
    <col min="1054" max="1054" width="13.5703125" style="115" customWidth="1"/>
    <col min="1055" max="1281" width="9.140625" style="115"/>
    <col min="1282" max="1282" width="155.28515625" style="115" customWidth="1"/>
    <col min="1283" max="1284" width="29.85546875" style="115" customWidth="1"/>
    <col min="1285" max="1285" width="26.7109375" style="115" customWidth="1"/>
    <col min="1286" max="1286" width="26.5703125" style="115" customWidth="1"/>
    <col min="1287" max="1287" width="25.7109375" style="115" customWidth="1"/>
    <col min="1288" max="1288" width="28.5703125" style="115" customWidth="1"/>
    <col min="1289" max="1289" width="27.7109375" style="115" customWidth="1"/>
    <col min="1290" max="1298" width="25.7109375" style="115" customWidth="1"/>
    <col min="1299" max="1299" width="29.7109375" style="115" customWidth="1"/>
    <col min="1300" max="1300" width="25.7109375" style="115" customWidth="1"/>
    <col min="1301" max="1301" width="44.7109375" style="115" customWidth="1"/>
    <col min="1302" max="1302" width="25.7109375" style="115" customWidth="1"/>
    <col min="1303" max="1303" width="32.140625" style="115" customWidth="1"/>
    <col min="1304" max="1304" width="38.28515625" style="115" customWidth="1"/>
    <col min="1305" max="1305" width="32.7109375" style="115" customWidth="1"/>
    <col min="1306" max="1306" width="61" style="115" customWidth="1"/>
    <col min="1307" max="1307" width="25.7109375" style="115" customWidth="1"/>
    <col min="1308" max="1308" width="206.85546875" style="115" customWidth="1"/>
    <col min="1309" max="1309" width="71.140625" style="115" customWidth="1"/>
    <col min="1310" max="1310" width="13.5703125" style="115" customWidth="1"/>
    <col min="1311" max="1537" width="9.140625" style="115"/>
    <col min="1538" max="1538" width="155.28515625" style="115" customWidth="1"/>
    <col min="1539" max="1540" width="29.85546875" style="115" customWidth="1"/>
    <col min="1541" max="1541" width="26.7109375" style="115" customWidth="1"/>
    <col min="1542" max="1542" width="26.5703125" style="115" customWidth="1"/>
    <col min="1543" max="1543" width="25.7109375" style="115" customWidth="1"/>
    <col min="1544" max="1544" width="28.5703125" style="115" customWidth="1"/>
    <col min="1545" max="1545" width="27.7109375" style="115" customWidth="1"/>
    <col min="1546" max="1554" width="25.7109375" style="115" customWidth="1"/>
    <col min="1555" max="1555" width="29.7109375" style="115" customWidth="1"/>
    <col min="1556" max="1556" width="25.7109375" style="115" customWidth="1"/>
    <col min="1557" max="1557" width="44.7109375" style="115" customWidth="1"/>
    <col min="1558" max="1558" width="25.7109375" style="115" customWidth="1"/>
    <col min="1559" max="1559" width="32.140625" style="115" customWidth="1"/>
    <col min="1560" max="1560" width="38.28515625" style="115" customWidth="1"/>
    <col min="1561" max="1561" width="32.7109375" style="115" customWidth="1"/>
    <col min="1562" max="1562" width="61" style="115" customWidth="1"/>
    <col min="1563" max="1563" width="25.7109375" style="115" customWidth="1"/>
    <col min="1564" max="1564" width="206.85546875" style="115" customWidth="1"/>
    <col min="1565" max="1565" width="71.140625" style="115" customWidth="1"/>
    <col min="1566" max="1566" width="13.5703125" style="115" customWidth="1"/>
    <col min="1567" max="1793" width="9.140625" style="115"/>
    <col min="1794" max="1794" width="155.28515625" style="115" customWidth="1"/>
    <col min="1795" max="1796" width="29.85546875" style="115" customWidth="1"/>
    <col min="1797" max="1797" width="26.7109375" style="115" customWidth="1"/>
    <col min="1798" max="1798" width="26.5703125" style="115" customWidth="1"/>
    <col min="1799" max="1799" width="25.7109375" style="115" customWidth="1"/>
    <col min="1800" max="1800" width="28.5703125" style="115" customWidth="1"/>
    <col min="1801" max="1801" width="27.7109375" style="115" customWidth="1"/>
    <col min="1802" max="1810" width="25.7109375" style="115" customWidth="1"/>
    <col min="1811" max="1811" width="29.7109375" style="115" customWidth="1"/>
    <col min="1812" max="1812" width="25.7109375" style="115" customWidth="1"/>
    <col min="1813" max="1813" width="44.7109375" style="115" customWidth="1"/>
    <col min="1814" max="1814" width="25.7109375" style="115" customWidth="1"/>
    <col min="1815" max="1815" width="32.140625" style="115" customWidth="1"/>
    <col min="1816" max="1816" width="38.28515625" style="115" customWidth="1"/>
    <col min="1817" max="1817" width="32.7109375" style="115" customWidth="1"/>
    <col min="1818" max="1818" width="61" style="115" customWidth="1"/>
    <col min="1819" max="1819" width="25.7109375" style="115" customWidth="1"/>
    <col min="1820" max="1820" width="206.85546875" style="115" customWidth="1"/>
    <col min="1821" max="1821" width="71.140625" style="115" customWidth="1"/>
    <col min="1822" max="1822" width="13.5703125" style="115" customWidth="1"/>
    <col min="1823" max="2049" width="9.140625" style="115"/>
    <col min="2050" max="2050" width="155.28515625" style="115" customWidth="1"/>
    <col min="2051" max="2052" width="29.85546875" style="115" customWidth="1"/>
    <col min="2053" max="2053" width="26.7109375" style="115" customWidth="1"/>
    <col min="2054" max="2054" width="26.5703125" style="115" customWidth="1"/>
    <col min="2055" max="2055" width="25.7109375" style="115" customWidth="1"/>
    <col min="2056" max="2056" width="28.5703125" style="115" customWidth="1"/>
    <col min="2057" max="2057" width="27.7109375" style="115" customWidth="1"/>
    <col min="2058" max="2066" width="25.7109375" style="115" customWidth="1"/>
    <col min="2067" max="2067" width="29.7109375" style="115" customWidth="1"/>
    <col min="2068" max="2068" width="25.7109375" style="115" customWidth="1"/>
    <col min="2069" max="2069" width="44.7109375" style="115" customWidth="1"/>
    <col min="2070" max="2070" width="25.7109375" style="115" customWidth="1"/>
    <col min="2071" max="2071" width="32.140625" style="115" customWidth="1"/>
    <col min="2072" max="2072" width="38.28515625" style="115" customWidth="1"/>
    <col min="2073" max="2073" width="32.7109375" style="115" customWidth="1"/>
    <col min="2074" max="2074" width="61" style="115" customWidth="1"/>
    <col min="2075" max="2075" width="25.7109375" style="115" customWidth="1"/>
    <col min="2076" max="2076" width="206.85546875" style="115" customWidth="1"/>
    <col min="2077" max="2077" width="71.140625" style="115" customWidth="1"/>
    <col min="2078" max="2078" width="13.5703125" style="115" customWidth="1"/>
    <col min="2079" max="2305" width="9.140625" style="115"/>
    <col min="2306" max="2306" width="155.28515625" style="115" customWidth="1"/>
    <col min="2307" max="2308" width="29.85546875" style="115" customWidth="1"/>
    <col min="2309" max="2309" width="26.7109375" style="115" customWidth="1"/>
    <col min="2310" max="2310" width="26.5703125" style="115" customWidth="1"/>
    <col min="2311" max="2311" width="25.7109375" style="115" customWidth="1"/>
    <col min="2312" max="2312" width="28.5703125" style="115" customWidth="1"/>
    <col min="2313" max="2313" width="27.7109375" style="115" customWidth="1"/>
    <col min="2314" max="2322" width="25.7109375" style="115" customWidth="1"/>
    <col min="2323" max="2323" width="29.7109375" style="115" customWidth="1"/>
    <col min="2324" max="2324" width="25.7109375" style="115" customWidth="1"/>
    <col min="2325" max="2325" width="44.7109375" style="115" customWidth="1"/>
    <col min="2326" max="2326" width="25.7109375" style="115" customWidth="1"/>
    <col min="2327" max="2327" width="32.140625" style="115" customWidth="1"/>
    <col min="2328" max="2328" width="38.28515625" style="115" customWidth="1"/>
    <col min="2329" max="2329" width="32.7109375" style="115" customWidth="1"/>
    <col min="2330" max="2330" width="61" style="115" customWidth="1"/>
    <col min="2331" max="2331" width="25.7109375" style="115" customWidth="1"/>
    <col min="2332" max="2332" width="206.85546875" style="115" customWidth="1"/>
    <col min="2333" max="2333" width="71.140625" style="115" customWidth="1"/>
    <col min="2334" max="2334" width="13.5703125" style="115" customWidth="1"/>
    <col min="2335" max="2561" width="9.140625" style="115"/>
    <col min="2562" max="2562" width="155.28515625" style="115" customWidth="1"/>
    <col min="2563" max="2564" width="29.85546875" style="115" customWidth="1"/>
    <col min="2565" max="2565" width="26.7109375" style="115" customWidth="1"/>
    <col min="2566" max="2566" width="26.5703125" style="115" customWidth="1"/>
    <col min="2567" max="2567" width="25.7109375" style="115" customWidth="1"/>
    <col min="2568" max="2568" width="28.5703125" style="115" customWidth="1"/>
    <col min="2569" max="2569" width="27.7109375" style="115" customWidth="1"/>
    <col min="2570" max="2578" width="25.7109375" style="115" customWidth="1"/>
    <col min="2579" max="2579" width="29.7109375" style="115" customWidth="1"/>
    <col min="2580" max="2580" width="25.7109375" style="115" customWidth="1"/>
    <col min="2581" max="2581" width="44.7109375" style="115" customWidth="1"/>
    <col min="2582" max="2582" width="25.7109375" style="115" customWidth="1"/>
    <col min="2583" max="2583" width="32.140625" style="115" customWidth="1"/>
    <col min="2584" max="2584" width="38.28515625" style="115" customWidth="1"/>
    <col min="2585" max="2585" width="32.7109375" style="115" customWidth="1"/>
    <col min="2586" max="2586" width="61" style="115" customWidth="1"/>
    <col min="2587" max="2587" width="25.7109375" style="115" customWidth="1"/>
    <col min="2588" max="2588" width="206.85546875" style="115" customWidth="1"/>
    <col min="2589" max="2589" width="71.140625" style="115" customWidth="1"/>
    <col min="2590" max="2590" width="13.5703125" style="115" customWidth="1"/>
    <col min="2591" max="2817" width="9.140625" style="115"/>
    <col min="2818" max="2818" width="155.28515625" style="115" customWidth="1"/>
    <col min="2819" max="2820" width="29.85546875" style="115" customWidth="1"/>
    <col min="2821" max="2821" width="26.7109375" style="115" customWidth="1"/>
    <col min="2822" max="2822" width="26.5703125" style="115" customWidth="1"/>
    <col min="2823" max="2823" width="25.7109375" style="115" customWidth="1"/>
    <col min="2824" max="2824" width="28.5703125" style="115" customWidth="1"/>
    <col min="2825" max="2825" width="27.7109375" style="115" customWidth="1"/>
    <col min="2826" max="2834" width="25.7109375" style="115" customWidth="1"/>
    <col min="2835" max="2835" width="29.7109375" style="115" customWidth="1"/>
    <col min="2836" max="2836" width="25.7109375" style="115" customWidth="1"/>
    <col min="2837" max="2837" width="44.7109375" style="115" customWidth="1"/>
    <col min="2838" max="2838" width="25.7109375" style="115" customWidth="1"/>
    <col min="2839" max="2839" width="32.140625" style="115" customWidth="1"/>
    <col min="2840" max="2840" width="38.28515625" style="115" customWidth="1"/>
    <col min="2841" max="2841" width="32.7109375" style="115" customWidth="1"/>
    <col min="2842" max="2842" width="61" style="115" customWidth="1"/>
    <col min="2843" max="2843" width="25.7109375" style="115" customWidth="1"/>
    <col min="2844" max="2844" width="206.85546875" style="115" customWidth="1"/>
    <col min="2845" max="2845" width="71.140625" style="115" customWidth="1"/>
    <col min="2846" max="2846" width="13.5703125" style="115" customWidth="1"/>
    <col min="2847" max="3073" width="9.140625" style="115"/>
    <col min="3074" max="3074" width="155.28515625" style="115" customWidth="1"/>
    <col min="3075" max="3076" width="29.85546875" style="115" customWidth="1"/>
    <col min="3077" max="3077" width="26.7109375" style="115" customWidth="1"/>
    <col min="3078" max="3078" width="26.5703125" style="115" customWidth="1"/>
    <col min="3079" max="3079" width="25.7109375" style="115" customWidth="1"/>
    <col min="3080" max="3080" width="28.5703125" style="115" customWidth="1"/>
    <col min="3081" max="3081" width="27.7109375" style="115" customWidth="1"/>
    <col min="3082" max="3090" width="25.7109375" style="115" customWidth="1"/>
    <col min="3091" max="3091" width="29.7109375" style="115" customWidth="1"/>
    <col min="3092" max="3092" width="25.7109375" style="115" customWidth="1"/>
    <col min="3093" max="3093" width="44.7109375" style="115" customWidth="1"/>
    <col min="3094" max="3094" width="25.7109375" style="115" customWidth="1"/>
    <col min="3095" max="3095" width="32.140625" style="115" customWidth="1"/>
    <col min="3096" max="3096" width="38.28515625" style="115" customWidth="1"/>
    <col min="3097" max="3097" width="32.7109375" style="115" customWidth="1"/>
    <col min="3098" max="3098" width="61" style="115" customWidth="1"/>
    <col min="3099" max="3099" width="25.7109375" style="115" customWidth="1"/>
    <col min="3100" max="3100" width="206.85546875" style="115" customWidth="1"/>
    <col min="3101" max="3101" width="71.140625" style="115" customWidth="1"/>
    <col min="3102" max="3102" width="13.5703125" style="115" customWidth="1"/>
    <col min="3103" max="3329" width="9.140625" style="115"/>
    <col min="3330" max="3330" width="155.28515625" style="115" customWidth="1"/>
    <col min="3331" max="3332" width="29.85546875" style="115" customWidth="1"/>
    <col min="3333" max="3333" width="26.7109375" style="115" customWidth="1"/>
    <col min="3334" max="3334" width="26.5703125" style="115" customWidth="1"/>
    <col min="3335" max="3335" width="25.7109375" style="115" customWidth="1"/>
    <col min="3336" max="3336" width="28.5703125" style="115" customWidth="1"/>
    <col min="3337" max="3337" width="27.7109375" style="115" customWidth="1"/>
    <col min="3338" max="3346" width="25.7109375" style="115" customWidth="1"/>
    <col min="3347" max="3347" width="29.7109375" style="115" customWidth="1"/>
    <col min="3348" max="3348" width="25.7109375" style="115" customWidth="1"/>
    <col min="3349" max="3349" width="44.7109375" style="115" customWidth="1"/>
    <col min="3350" max="3350" width="25.7109375" style="115" customWidth="1"/>
    <col min="3351" max="3351" width="32.140625" style="115" customWidth="1"/>
    <col min="3352" max="3352" width="38.28515625" style="115" customWidth="1"/>
    <col min="3353" max="3353" width="32.7109375" style="115" customWidth="1"/>
    <col min="3354" max="3354" width="61" style="115" customWidth="1"/>
    <col min="3355" max="3355" width="25.7109375" style="115" customWidth="1"/>
    <col min="3356" max="3356" width="206.85546875" style="115" customWidth="1"/>
    <col min="3357" max="3357" width="71.140625" style="115" customWidth="1"/>
    <col min="3358" max="3358" width="13.5703125" style="115" customWidth="1"/>
    <col min="3359" max="3585" width="9.140625" style="115"/>
    <col min="3586" max="3586" width="155.28515625" style="115" customWidth="1"/>
    <col min="3587" max="3588" width="29.85546875" style="115" customWidth="1"/>
    <col min="3589" max="3589" width="26.7109375" style="115" customWidth="1"/>
    <col min="3590" max="3590" width="26.5703125" style="115" customWidth="1"/>
    <col min="3591" max="3591" width="25.7109375" style="115" customWidth="1"/>
    <col min="3592" max="3592" width="28.5703125" style="115" customWidth="1"/>
    <col min="3593" max="3593" width="27.7109375" style="115" customWidth="1"/>
    <col min="3594" max="3602" width="25.7109375" style="115" customWidth="1"/>
    <col min="3603" max="3603" width="29.7109375" style="115" customWidth="1"/>
    <col min="3604" max="3604" width="25.7109375" style="115" customWidth="1"/>
    <col min="3605" max="3605" width="44.7109375" style="115" customWidth="1"/>
    <col min="3606" max="3606" width="25.7109375" style="115" customWidth="1"/>
    <col min="3607" max="3607" width="32.140625" style="115" customWidth="1"/>
    <col min="3608" max="3608" width="38.28515625" style="115" customWidth="1"/>
    <col min="3609" max="3609" width="32.7109375" style="115" customWidth="1"/>
    <col min="3610" max="3610" width="61" style="115" customWidth="1"/>
    <col min="3611" max="3611" width="25.7109375" style="115" customWidth="1"/>
    <col min="3612" max="3612" width="206.85546875" style="115" customWidth="1"/>
    <col min="3613" max="3613" width="71.140625" style="115" customWidth="1"/>
    <col min="3614" max="3614" width="13.5703125" style="115" customWidth="1"/>
    <col min="3615" max="3841" width="9.140625" style="115"/>
    <col min="3842" max="3842" width="155.28515625" style="115" customWidth="1"/>
    <col min="3843" max="3844" width="29.85546875" style="115" customWidth="1"/>
    <col min="3845" max="3845" width="26.7109375" style="115" customWidth="1"/>
    <col min="3846" max="3846" width="26.5703125" style="115" customWidth="1"/>
    <col min="3847" max="3847" width="25.7109375" style="115" customWidth="1"/>
    <col min="3848" max="3848" width="28.5703125" style="115" customWidth="1"/>
    <col min="3849" max="3849" width="27.7109375" style="115" customWidth="1"/>
    <col min="3850" max="3858" width="25.7109375" style="115" customWidth="1"/>
    <col min="3859" max="3859" width="29.7109375" style="115" customWidth="1"/>
    <col min="3860" max="3860" width="25.7109375" style="115" customWidth="1"/>
    <col min="3861" max="3861" width="44.7109375" style="115" customWidth="1"/>
    <col min="3862" max="3862" width="25.7109375" style="115" customWidth="1"/>
    <col min="3863" max="3863" width="32.140625" style="115" customWidth="1"/>
    <col min="3864" max="3864" width="38.28515625" style="115" customWidth="1"/>
    <col min="3865" max="3865" width="32.7109375" style="115" customWidth="1"/>
    <col min="3866" max="3866" width="61" style="115" customWidth="1"/>
    <col min="3867" max="3867" width="25.7109375" style="115" customWidth="1"/>
    <col min="3868" max="3868" width="206.85546875" style="115" customWidth="1"/>
    <col min="3869" max="3869" width="71.140625" style="115" customWidth="1"/>
    <col min="3870" max="3870" width="13.5703125" style="115" customWidth="1"/>
    <col min="3871" max="4097" width="9.140625" style="115"/>
    <col min="4098" max="4098" width="155.28515625" style="115" customWidth="1"/>
    <col min="4099" max="4100" width="29.85546875" style="115" customWidth="1"/>
    <col min="4101" max="4101" width="26.7109375" style="115" customWidth="1"/>
    <col min="4102" max="4102" width="26.5703125" style="115" customWidth="1"/>
    <col min="4103" max="4103" width="25.7109375" style="115" customWidth="1"/>
    <col min="4104" max="4104" width="28.5703125" style="115" customWidth="1"/>
    <col min="4105" max="4105" width="27.7109375" style="115" customWidth="1"/>
    <col min="4106" max="4114" width="25.7109375" style="115" customWidth="1"/>
    <col min="4115" max="4115" width="29.7109375" style="115" customWidth="1"/>
    <col min="4116" max="4116" width="25.7109375" style="115" customWidth="1"/>
    <col min="4117" max="4117" width="44.7109375" style="115" customWidth="1"/>
    <col min="4118" max="4118" width="25.7109375" style="115" customWidth="1"/>
    <col min="4119" max="4119" width="32.140625" style="115" customWidth="1"/>
    <col min="4120" max="4120" width="38.28515625" style="115" customWidth="1"/>
    <col min="4121" max="4121" width="32.7109375" style="115" customWidth="1"/>
    <col min="4122" max="4122" width="61" style="115" customWidth="1"/>
    <col min="4123" max="4123" width="25.7109375" style="115" customWidth="1"/>
    <col min="4124" max="4124" width="206.85546875" style="115" customWidth="1"/>
    <col min="4125" max="4125" width="71.140625" style="115" customWidth="1"/>
    <col min="4126" max="4126" width="13.5703125" style="115" customWidth="1"/>
    <col min="4127" max="4353" width="9.140625" style="115"/>
    <col min="4354" max="4354" width="155.28515625" style="115" customWidth="1"/>
    <col min="4355" max="4356" width="29.85546875" style="115" customWidth="1"/>
    <col min="4357" max="4357" width="26.7109375" style="115" customWidth="1"/>
    <col min="4358" max="4358" width="26.5703125" style="115" customWidth="1"/>
    <col min="4359" max="4359" width="25.7109375" style="115" customWidth="1"/>
    <col min="4360" max="4360" width="28.5703125" style="115" customWidth="1"/>
    <col min="4361" max="4361" width="27.7109375" style="115" customWidth="1"/>
    <col min="4362" max="4370" width="25.7109375" style="115" customWidth="1"/>
    <col min="4371" max="4371" width="29.7109375" style="115" customWidth="1"/>
    <col min="4372" max="4372" width="25.7109375" style="115" customWidth="1"/>
    <col min="4373" max="4373" width="44.7109375" style="115" customWidth="1"/>
    <col min="4374" max="4374" width="25.7109375" style="115" customWidth="1"/>
    <col min="4375" max="4375" width="32.140625" style="115" customWidth="1"/>
    <col min="4376" max="4376" width="38.28515625" style="115" customWidth="1"/>
    <col min="4377" max="4377" width="32.7109375" style="115" customWidth="1"/>
    <col min="4378" max="4378" width="61" style="115" customWidth="1"/>
    <col min="4379" max="4379" width="25.7109375" style="115" customWidth="1"/>
    <col min="4380" max="4380" width="206.85546875" style="115" customWidth="1"/>
    <col min="4381" max="4381" width="71.140625" style="115" customWidth="1"/>
    <col min="4382" max="4382" width="13.5703125" style="115" customWidth="1"/>
    <col min="4383" max="4609" width="9.140625" style="115"/>
    <col min="4610" max="4610" width="155.28515625" style="115" customWidth="1"/>
    <col min="4611" max="4612" width="29.85546875" style="115" customWidth="1"/>
    <col min="4613" max="4613" width="26.7109375" style="115" customWidth="1"/>
    <col min="4614" max="4614" width="26.5703125" style="115" customWidth="1"/>
    <col min="4615" max="4615" width="25.7109375" style="115" customWidth="1"/>
    <col min="4616" max="4616" width="28.5703125" style="115" customWidth="1"/>
    <col min="4617" max="4617" width="27.7109375" style="115" customWidth="1"/>
    <col min="4618" max="4626" width="25.7109375" style="115" customWidth="1"/>
    <col min="4627" max="4627" width="29.7109375" style="115" customWidth="1"/>
    <col min="4628" max="4628" width="25.7109375" style="115" customWidth="1"/>
    <col min="4629" max="4629" width="44.7109375" style="115" customWidth="1"/>
    <col min="4630" max="4630" width="25.7109375" style="115" customWidth="1"/>
    <col min="4631" max="4631" width="32.140625" style="115" customWidth="1"/>
    <col min="4632" max="4632" width="38.28515625" style="115" customWidth="1"/>
    <col min="4633" max="4633" width="32.7109375" style="115" customWidth="1"/>
    <col min="4634" max="4634" width="61" style="115" customWidth="1"/>
    <col min="4635" max="4635" width="25.7109375" style="115" customWidth="1"/>
    <col min="4636" max="4636" width="206.85546875" style="115" customWidth="1"/>
    <col min="4637" max="4637" width="71.140625" style="115" customWidth="1"/>
    <col min="4638" max="4638" width="13.5703125" style="115" customWidth="1"/>
    <col min="4639" max="4865" width="9.140625" style="115"/>
    <col min="4866" max="4866" width="155.28515625" style="115" customWidth="1"/>
    <col min="4867" max="4868" width="29.85546875" style="115" customWidth="1"/>
    <col min="4869" max="4869" width="26.7109375" style="115" customWidth="1"/>
    <col min="4870" max="4870" width="26.5703125" style="115" customWidth="1"/>
    <col min="4871" max="4871" width="25.7109375" style="115" customWidth="1"/>
    <col min="4872" max="4872" width="28.5703125" style="115" customWidth="1"/>
    <col min="4873" max="4873" width="27.7109375" style="115" customWidth="1"/>
    <col min="4874" max="4882" width="25.7109375" style="115" customWidth="1"/>
    <col min="4883" max="4883" width="29.7109375" style="115" customWidth="1"/>
    <col min="4884" max="4884" width="25.7109375" style="115" customWidth="1"/>
    <col min="4885" max="4885" width="44.7109375" style="115" customWidth="1"/>
    <col min="4886" max="4886" width="25.7109375" style="115" customWidth="1"/>
    <col min="4887" max="4887" width="32.140625" style="115" customWidth="1"/>
    <col min="4888" max="4888" width="38.28515625" style="115" customWidth="1"/>
    <col min="4889" max="4889" width="32.7109375" style="115" customWidth="1"/>
    <col min="4890" max="4890" width="61" style="115" customWidth="1"/>
    <col min="4891" max="4891" width="25.7109375" style="115" customWidth="1"/>
    <col min="4892" max="4892" width="206.85546875" style="115" customWidth="1"/>
    <col min="4893" max="4893" width="71.140625" style="115" customWidth="1"/>
    <col min="4894" max="4894" width="13.5703125" style="115" customWidth="1"/>
    <col min="4895" max="5121" width="9.140625" style="115"/>
    <col min="5122" max="5122" width="155.28515625" style="115" customWidth="1"/>
    <col min="5123" max="5124" width="29.85546875" style="115" customWidth="1"/>
    <col min="5125" max="5125" width="26.7109375" style="115" customWidth="1"/>
    <col min="5126" max="5126" width="26.5703125" style="115" customWidth="1"/>
    <col min="5127" max="5127" width="25.7109375" style="115" customWidth="1"/>
    <col min="5128" max="5128" width="28.5703125" style="115" customWidth="1"/>
    <col min="5129" max="5129" width="27.7109375" style="115" customWidth="1"/>
    <col min="5130" max="5138" width="25.7109375" style="115" customWidth="1"/>
    <col min="5139" max="5139" width="29.7109375" style="115" customWidth="1"/>
    <col min="5140" max="5140" width="25.7109375" style="115" customWidth="1"/>
    <col min="5141" max="5141" width="44.7109375" style="115" customWidth="1"/>
    <col min="5142" max="5142" width="25.7109375" style="115" customWidth="1"/>
    <col min="5143" max="5143" width="32.140625" style="115" customWidth="1"/>
    <col min="5144" max="5144" width="38.28515625" style="115" customWidth="1"/>
    <col min="5145" max="5145" width="32.7109375" style="115" customWidth="1"/>
    <col min="5146" max="5146" width="61" style="115" customWidth="1"/>
    <col min="5147" max="5147" width="25.7109375" style="115" customWidth="1"/>
    <col min="5148" max="5148" width="206.85546875" style="115" customWidth="1"/>
    <col min="5149" max="5149" width="71.140625" style="115" customWidth="1"/>
    <col min="5150" max="5150" width="13.5703125" style="115" customWidth="1"/>
    <col min="5151" max="5377" width="9.140625" style="115"/>
    <col min="5378" max="5378" width="155.28515625" style="115" customWidth="1"/>
    <col min="5379" max="5380" width="29.85546875" style="115" customWidth="1"/>
    <col min="5381" max="5381" width="26.7109375" style="115" customWidth="1"/>
    <col min="5382" max="5382" width="26.5703125" style="115" customWidth="1"/>
    <col min="5383" max="5383" width="25.7109375" style="115" customWidth="1"/>
    <col min="5384" max="5384" width="28.5703125" style="115" customWidth="1"/>
    <col min="5385" max="5385" width="27.7109375" style="115" customWidth="1"/>
    <col min="5386" max="5394" width="25.7109375" style="115" customWidth="1"/>
    <col min="5395" max="5395" width="29.7109375" style="115" customWidth="1"/>
    <col min="5396" max="5396" width="25.7109375" style="115" customWidth="1"/>
    <col min="5397" max="5397" width="44.7109375" style="115" customWidth="1"/>
    <col min="5398" max="5398" width="25.7109375" style="115" customWidth="1"/>
    <col min="5399" max="5399" width="32.140625" style="115" customWidth="1"/>
    <col min="5400" max="5400" width="38.28515625" style="115" customWidth="1"/>
    <col min="5401" max="5401" width="32.7109375" style="115" customWidth="1"/>
    <col min="5402" max="5402" width="61" style="115" customWidth="1"/>
    <col min="5403" max="5403" width="25.7109375" style="115" customWidth="1"/>
    <col min="5404" max="5404" width="206.85546875" style="115" customWidth="1"/>
    <col min="5405" max="5405" width="71.140625" style="115" customWidth="1"/>
    <col min="5406" max="5406" width="13.5703125" style="115" customWidth="1"/>
    <col min="5407" max="5633" width="9.140625" style="115"/>
    <col min="5634" max="5634" width="155.28515625" style="115" customWidth="1"/>
    <col min="5635" max="5636" width="29.85546875" style="115" customWidth="1"/>
    <col min="5637" max="5637" width="26.7109375" style="115" customWidth="1"/>
    <col min="5638" max="5638" width="26.5703125" style="115" customWidth="1"/>
    <col min="5639" max="5639" width="25.7109375" style="115" customWidth="1"/>
    <col min="5640" max="5640" width="28.5703125" style="115" customWidth="1"/>
    <col min="5641" max="5641" width="27.7109375" style="115" customWidth="1"/>
    <col min="5642" max="5650" width="25.7109375" style="115" customWidth="1"/>
    <col min="5651" max="5651" width="29.7109375" style="115" customWidth="1"/>
    <col min="5652" max="5652" width="25.7109375" style="115" customWidth="1"/>
    <col min="5653" max="5653" width="44.7109375" style="115" customWidth="1"/>
    <col min="5654" max="5654" width="25.7109375" style="115" customWidth="1"/>
    <col min="5655" max="5655" width="32.140625" style="115" customWidth="1"/>
    <col min="5656" max="5656" width="38.28515625" style="115" customWidth="1"/>
    <col min="5657" max="5657" width="32.7109375" style="115" customWidth="1"/>
    <col min="5658" max="5658" width="61" style="115" customWidth="1"/>
    <col min="5659" max="5659" width="25.7109375" style="115" customWidth="1"/>
    <col min="5660" max="5660" width="206.85546875" style="115" customWidth="1"/>
    <col min="5661" max="5661" width="71.140625" style="115" customWidth="1"/>
    <col min="5662" max="5662" width="13.5703125" style="115" customWidth="1"/>
    <col min="5663" max="5889" width="9.140625" style="115"/>
    <col min="5890" max="5890" width="155.28515625" style="115" customWidth="1"/>
    <col min="5891" max="5892" width="29.85546875" style="115" customWidth="1"/>
    <col min="5893" max="5893" width="26.7109375" style="115" customWidth="1"/>
    <col min="5894" max="5894" width="26.5703125" style="115" customWidth="1"/>
    <col min="5895" max="5895" width="25.7109375" style="115" customWidth="1"/>
    <col min="5896" max="5896" width="28.5703125" style="115" customWidth="1"/>
    <col min="5897" max="5897" width="27.7109375" style="115" customWidth="1"/>
    <col min="5898" max="5906" width="25.7109375" style="115" customWidth="1"/>
    <col min="5907" max="5907" width="29.7109375" style="115" customWidth="1"/>
    <col min="5908" max="5908" width="25.7109375" style="115" customWidth="1"/>
    <col min="5909" max="5909" width="44.7109375" style="115" customWidth="1"/>
    <col min="5910" max="5910" width="25.7109375" style="115" customWidth="1"/>
    <col min="5911" max="5911" width="32.140625" style="115" customWidth="1"/>
    <col min="5912" max="5912" width="38.28515625" style="115" customWidth="1"/>
    <col min="5913" max="5913" width="32.7109375" style="115" customWidth="1"/>
    <col min="5914" max="5914" width="61" style="115" customWidth="1"/>
    <col min="5915" max="5915" width="25.7109375" style="115" customWidth="1"/>
    <col min="5916" max="5916" width="206.85546875" style="115" customWidth="1"/>
    <col min="5917" max="5917" width="71.140625" style="115" customWidth="1"/>
    <col min="5918" max="5918" width="13.5703125" style="115" customWidth="1"/>
    <col min="5919" max="6145" width="9.140625" style="115"/>
    <col min="6146" max="6146" width="155.28515625" style="115" customWidth="1"/>
    <col min="6147" max="6148" width="29.85546875" style="115" customWidth="1"/>
    <col min="6149" max="6149" width="26.7109375" style="115" customWidth="1"/>
    <col min="6150" max="6150" width="26.5703125" style="115" customWidth="1"/>
    <col min="6151" max="6151" width="25.7109375" style="115" customWidth="1"/>
    <col min="6152" max="6152" width="28.5703125" style="115" customWidth="1"/>
    <col min="6153" max="6153" width="27.7109375" style="115" customWidth="1"/>
    <col min="6154" max="6162" width="25.7109375" style="115" customWidth="1"/>
    <col min="6163" max="6163" width="29.7109375" style="115" customWidth="1"/>
    <col min="6164" max="6164" width="25.7109375" style="115" customWidth="1"/>
    <col min="6165" max="6165" width="44.7109375" style="115" customWidth="1"/>
    <col min="6166" max="6166" width="25.7109375" style="115" customWidth="1"/>
    <col min="6167" max="6167" width="32.140625" style="115" customWidth="1"/>
    <col min="6168" max="6168" width="38.28515625" style="115" customWidth="1"/>
    <col min="6169" max="6169" width="32.7109375" style="115" customWidth="1"/>
    <col min="6170" max="6170" width="61" style="115" customWidth="1"/>
    <col min="6171" max="6171" width="25.7109375" style="115" customWidth="1"/>
    <col min="6172" max="6172" width="206.85546875" style="115" customWidth="1"/>
    <col min="6173" max="6173" width="71.140625" style="115" customWidth="1"/>
    <col min="6174" max="6174" width="13.5703125" style="115" customWidth="1"/>
    <col min="6175" max="6401" width="9.140625" style="115"/>
    <col min="6402" max="6402" width="155.28515625" style="115" customWidth="1"/>
    <col min="6403" max="6404" width="29.85546875" style="115" customWidth="1"/>
    <col min="6405" max="6405" width="26.7109375" style="115" customWidth="1"/>
    <col min="6406" max="6406" width="26.5703125" style="115" customWidth="1"/>
    <col min="6407" max="6407" width="25.7109375" style="115" customWidth="1"/>
    <col min="6408" max="6408" width="28.5703125" style="115" customWidth="1"/>
    <col min="6409" max="6409" width="27.7109375" style="115" customWidth="1"/>
    <col min="6410" max="6418" width="25.7109375" style="115" customWidth="1"/>
    <col min="6419" max="6419" width="29.7109375" style="115" customWidth="1"/>
    <col min="6420" max="6420" width="25.7109375" style="115" customWidth="1"/>
    <col min="6421" max="6421" width="44.7109375" style="115" customWidth="1"/>
    <col min="6422" max="6422" width="25.7109375" style="115" customWidth="1"/>
    <col min="6423" max="6423" width="32.140625" style="115" customWidth="1"/>
    <col min="6424" max="6424" width="38.28515625" style="115" customWidth="1"/>
    <col min="6425" max="6425" width="32.7109375" style="115" customWidth="1"/>
    <col min="6426" max="6426" width="61" style="115" customWidth="1"/>
    <col min="6427" max="6427" width="25.7109375" style="115" customWidth="1"/>
    <col min="6428" max="6428" width="206.85546875" style="115" customWidth="1"/>
    <col min="6429" max="6429" width="71.140625" style="115" customWidth="1"/>
    <col min="6430" max="6430" width="13.5703125" style="115" customWidth="1"/>
    <col min="6431" max="6657" width="9.140625" style="115"/>
    <col min="6658" max="6658" width="155.28515625" style="115" customWidth="1"/>
    <col min="6659" max="6660" width="29.85546875" style="115" customWidth="1"/>
    <col min="6661" max="6661" width="26.7109375" style="115" customWidth="1"/>
    <col min="6662" max="6662" width="26.5703125" style="115" customWidth="1"/>
    <col min="6663" max="6663" width="25.7109375" style="115" customWidth="1"/>
    <col min="6664" max="6664" width="28.5703125" style="115" customWidth="1"/>
    <col min="6665" max="6665" width="27.7109375" style="115" customWidth="1"/>
    <col min="6666" max="6674" width="25.7109375" style="115" customWidth="1"/>
    <col min="6675" max="6675" width="29.7109375" style="115" customWidth="1"/>
    <col min="6676" max="6676" width="25.7109375" style="115" customWidth="1"/>
    <col min="6677" max="6677" width="44.7109375" style="115" customWidth="1"/>
    <col min="6678" max="6678" width="25.7109375" style="115" customWidth="1"/>
    <col min="6679" max="6679" width="32.140625" style="115" customWidth="1"/>
    <col min="6680" max="6680" width="38.28515625" style="115" customWidth="1"/>
    <col min="6681" max="6681" width="32.7109375" style="115" customWidth="1"/>
    <col min="6682" max="6682" width="61" style="115" customWidth="1"/>
    <col min="6683" max="6683" width="25.7109375" style="115" customWidth="1"/>
    <col min="6684" max="6684" width="206.85546875" style="115" customWidth="1"/>
    <col min="6685" max="6685" width="71.140625" style="115" customWidth="1"/>
    <col min="6686" max="6686" width="13.5703125" style="115" customWidth="1"/>
    <col min="6687" max="6913" width="9.140625" style="115"/>
    <col min="6914" max="6914" width="155.28515625" style="115" customWidth="1"/>
    <col min="6915" max="6916" width="29.85546875" style="115" customWidth="1"/>
    <col min="6917" max="6917" width="26.7109375" style="115" customWidth="1"/>
    <col min="6918" max="6918" width="26.5703125" style="115" customWidth="1"/>
    <col min="6919" max="6919" width="25.7109375" style="115" customWidth="1"/>
    <col min="6920" max="6920" width="28.5703125" style="115" customWidth="1"/>
    <col min="6921" max="6921" width="27.7109375" style="115" customWidth="1"/>
    <col min="6922" max="6930" width="25.7109375" style="115" customWidth="1"/>
    <col min="6931" max="6931" width="29.7109375" style="115" customWidth="1"/>
    <col min="6932" max="6932" width="25.7109375" style="115" customWidth="1"/>
    <col min="6933" max="6933" width="44.7109375" style="115" customWidth="1"/>
    <col min="6934" max="6934" width="25.7109375" style="115" customWidth="1"/>
    <col min="6935" max="6935" width="32.140625" style="115" customWidth="1"/>
    <col min="6936" max="6936" width="38.28515625" style="115" customWidth="1"/>
    <col min="6937" max="6937" width="32.7109375" style="115" customWidth="1"/>
    <col min="6938" max="6938" width="61" style="115" customWidth="1"/>
    <col min="6939" max="6939" width="25.7109375" style="115" customWidth="1"/>
    <col min="6940" max="6940" width="206.85546875" style="115" customWidth="1"/>
    <col min="6941" max="6941" width="71.140625" style="115" customWidth="1"/>
    <col min="6942" max="6942" width="13.5703125" style="115" customWidth="1"/>
    <col min="6943" max="7169" width="9.140625" style="115"/>
    <col min="7170" max="7170" width="155.28515625" style="115" customWidth="1"/>
    <col min="7171" max="7172" width="29.85546875" style="115" customWidth="1"/>
    <col min="7173" max="7173" width="26.7109375" style="115" customWidth="1"/>
    <col min="7174" max="7174" width="26.5703125" style="115" customWidth="1"/>
    <col min="7175" max="7175" width="25.7109375" style="115" customWidth="1"/>
    <col min="7176" max="7176" width="28.5703125" style="115" customWidth="1"/>
    <col min="7177" max="7177" width="27.7109375" style="115" customWidth="1"/>
    <col min="7178" max="7186" width="25.7109375" style="115" customWidth="1"/>
    <col min="7187" max="7187" width="29.7109375" style="115" customWidth="1"/>
    <col min="7188" max="7188" width="25.7109375" style="115" customWidth="1"/>
    <col min="7189" max="7189" width="44.7109375" style="115" customWidth="1"/>
    <col min="7190" max="7190" width="25.7109375" style="115" customWidth="1"/>
    <col min="7191" max="7191" width="32.140625" style="115" customWidth="1"/>
    <col min="7192" max="7192" width="38.28515625" style="115" customWidth="1"/>
    <col min="7193" max="7193" width="32.7109375" style="115" customWidth="1"/>
    <col min="7194" max="7194" width="61" style="115" customWidth="1"/>
    <col min="7195" max="7195" width="25.7109375" style="115" customWidth="1"/>
    <col min="7196" max="7196" width="206.85546875" style="115" customWidth="1"/>
    <col min="7197" max="7197" width="71.140625" style="115" customWidth="1"/>
    <col min="7198" max="7198" width="13.5703125" style="115" customWidth="1"/>
    <col min="7199" max="7425" width="9.140625" style="115"/>
    <col min="7426" max="7426" width="155.28515625" style="115" customWidth="1"/>
    <col min="7427" max="7428" width="29.85546875" style="115" customWidth="1"/>
    <col min="7429" max="7429" width="26.7109375" style="115" customWidth="1"/>
    <col min="7430" max="7430" width="26.5703125" style="115" customWidth="1"/>
    <col min="7431" max="7431" width="25.7109375" style="115" customWidth="1"/>
    <col min="7432" max="7432" width="28.5703125" style="115" customWidth="1"/>
    <col min="7433" max="7433" width="27.7109375" style="115" customWidth="1"/>
    <col min="7434" max="7442" width="25.7109375" style="115" customWidth="1"/>
    <col min="7443" max="7443" width="29.7109375" style="115" customWidth="1"/>
    <col min="7444" max="7444" width="25.7109375" style="115" customWidth="1"/>
    <col min="7445" max="7445" width="44.7109375" style="115" customWidth="1"/>
    <col min="7446" max="7446" width="25.7109375" style="115" customWidth="1"/>
    <col min="7447" max="7447" width="32.140625" style="115" customWidth="1"/>
    <col min="7448" max="7448" width="38.28515625" style="115" customWidth="1"/>
    <col min="7449" max="7449" width="32.7109375" style="115" customWidth="1"/>
    <col min="7450" max="7450" width="61" style="115" customWidth="1"/>
    <col min="7451" max="7451" width="25.7109375" style="115" customWidth="1"/>
    <col min="7452" max="7452" width="206.85546875" style="115" customWidth="1"/>
    <col min="7453" max="7453" width="71.140625" style="115" customWidth="1"/>
    <col min="7454" max="7454" width="13.5703125" style="115" customWidth="1"/>
    <col min="7455" max="7681" width="9.140625" style="115"/>
    <col min="7682" max="7682" width="155.28515625" style="115" customWidth="1"/>
    <col min="7683" max="7684" width="29.85546875" style="115" customWidth="1"/>
    <col min="7685" max="7685" width="26.7109375" style="115" customWidth="1"/>
    <col min="7686" max="7686" width="26.5703125" style="115" customWidth="1"/>
    <col min="7687" max="7687" width="25.7109375" style="115" customWidth="1"/>
    <col min="7688" max="7688" width="28.5703125" style="115" customWidth="1"/>
    <col min="7689" max="7689" width="27.7109375" style="115" customWidth="1"/>
    <col min="7690" max="7698" width="25.7109375" style="115" customWidth="1"/>
    <col min="7699" max="7699" width="29.7109375" style="115" customWidth="1"/>
    <col min="7700" max="7700" width="25.7109375" style="115" customWidth="1"/>
    <col min="7701" max="7701" width="44.7109375" style="115" customWidth="1"/>
    <col min="7702" max="7702" width="25.7109375" style="115" customWidth="1"/>
    <col min="7703" max="7703" width="32.140625" style="115" customWidth="1"/>
    <col min="7704" max="7704" width="38.28515625" style="115" customWidth="1"/>
    <col min="7705" max="7705" width="32.7109375" style="115" customWidth="1"/>
    <col min="7706" max="7706" width="61" style="115" customWidth="1"/>
    <col min="7707" max="7707" width="25.7109375" style="115" customWidth="1"/>
    <col min="7708" max="7708" width="206.85546875" style="115" customWidth="1"/>
    <col min="7709" max="7709" width="71.140625" style="115" customWidth="1"/>
    <col min="7710" max="7710" width="13.5703125" style="115" customWidth="1"/>
    <col min="7711" max="7937" width="9.140625" style="115"/>
    <col min="7938" max="7938" width="155.28515625" style="115" customWidth="1"/>
    <col min="7939" max="7940" width="29.85546875" style="115" customWidth="1"/>
    <col min="7941" max="7941" width="26.7109375" style="115" customWidth="1"/>
    <col min="7942" max="7942" width="26.5703125" style="115" customWidth="1"/>
    <col min="7943" max="7943" width="25.7109375" style="115" customWidth="1"/>
    <col min="7944" max="7944" width="28.5703125" style="115" customWidth="1"/>
    <col min="7945" max="7945" width="27.7109375" style="115" customWidth="1"/>
    <col min="7946" max="7954" width="25.7109375" style="115" customWidth="1"/>
    <col min="7955" max="7955" width="29.7109375" style="115" customWidth="1"/>
    <col min="7956" max="7956" width="25.7109375" style="115" customWidth="1"/>
    <col min="7957" max="7957" width="44.7109375" style="115" customWidth="1"/>
    <col min="7958" max="7958" width="25.7109375" style="115" customWidth="1"/>
    <col min="7959" max="7959" width="32.140625" style="115" customWidth="1"/>
    <col min="7960" max="7960" width="38.28515625" style="115" customWidth="1"/>
    <col min="7961" max="7961" width="32.7109375" style="115" customWidth="1"/>
    <col min="7962" max="7962" width="61" style="115" customWidth="1"/>
    <col min="7963" max="7963" width="25.7109375" style="115" customWidth="1"/>
    <col min="7964" max="7964" width="206.85546875" style="115" customWidth="1"/>
    <col min="7965" max="7965" width="71.140625" style="115" customWidth="1"/>
    <col min="7966" max="7966" width="13.5703125" style="115" customWidth="1"/>
    <col min="7967" max="8193" width="9.140625" style="115"/>
    <col min="8194" max="8194" width="155.28515625" style="115" customWidth="1"/>
    <col min="8195" max="8196" width="29.85546875" style="115" customWidth="1"/>
    <col min="8197" max="8197" width="26.7109375" style="115" customWidth="1"/>
    <col min="8198" max="8198" width="26.5703125" style="115" customWidth="1"/>
    <col min="8199" max="8199" width="25.7109375" style="115" customWidth="1"/>
    <col min="8200" max="8200" width="28.5703125" style="115" customWidth="1"/>
    <col min="8201" max="8201" width="27.7109375" style="115" customWidth="1"/>
    <col min="8202" max="8210" width="25.7109375" style="115" customWidth="1"/>
    <col min="8211" max="8211" width="29.7109375" style="115" customWidth="1"/>
    <col min="8212" max="8212" width="25.7109375" style="115" customWidth="1"/>
    <col min="8213" max="8213" width="44.7109375" style="115" customWidth="1"/>
    <col min="8214" max="8214" width="25.7109375" style="115" customWidth="1"/>
    <col min="8215" max="8215" width="32.140625" style="115" customWidth="1"/>
    <col min="8216" max="8216" width="38.28515625" style="115" customWidth="1"/>
    <col min="8217" max="8217" width="32.7109375" style="115" customWidth="1"/>
    <col min="8218" max="8218" width="61" style="115" customWidth="1"/>
    <col min="8219" max="8219" width="25.7109375" style="115" customWidth="1"/>
    <col min="8220" max="8220" width="206.85546875" style="115" customWidth="1"/>
    <col min="8221" max="8221" width="71.140625" style="115" customWidth="1"/>
    <col min="8222" max="8222" width="13.5703125" style="115" customWidth="1"/>
    <col min="8223" max="8449" width="9.140625" style="115"/>
    <col min="8450" max="8450" width="155.28515625" style="115" customWidth="1"/>
    <col min="8451" max="8452" width="29.85546875" style="115" customWidth="1"/>
    <col min="8453" max="8453" width="26.7109375" style="115" customWidth="1"/>
    <col min="8454" max="8454" width="26.5703125" style="115" customWidth="1"/>
    <col min="8455" max="8455" width="25.7109375" style="115" customWidth="1"/>
    <col min="8456" max="8456" width="28.5703125" style="115" customWidth="1"/>
    <col min="8457" max="8457" width="27.7109375" style="115" customWidth="1"/>
    <col min="8458" max="8466" width="25.7109375" style="115" customWidth="1"/>
    <col min="8467" max="8467" width="29.7109375" style="115" customWidth="1"/>
    <col min="8468" max="8468" width="25.7109375" style="115" customWidth="1"/>
    <col min="8469" max="8469" width="44.7109375" style="115" customWidth="1"/>
    <col min="8470" max="8470" width="25.7109375" style="115" customWidth="1"/>
    <col min="8471" max="8471" width="32.140625" style="115" customWidth="1"/>
    <col min="8472" max="8472" width="38.28515625" style="115" customWidth="1"/>
    <col min="8473" max="8473" width="32.7109375" style="115" customWidth="1"/>
    <col min="8474" max="8474" width="61" style="115" customWidth="1"/>
    <col min="8475" max="8475" width="25.7109375" style="115" customWidth="1"/>
    <col min="8476" max="8476" width="206.85546875" style="115" customWidth="1"/>
    <col min="8477" max="8477" width="71.140625" style="115" customWidth="1"/>
    <col min="8478" max="8478" width="13.5703125" style="115" customWidth="1"/>
    <col min="8479" max="8705" width="9.140625" style="115"/>
    <col min="8706" max="8706" width="155.28515625" style="115" customWidth="1"/>
    <col min="8707" max="8708" width="29.85546875" style="115" customWidth="1"/>
    <col min="8709" max="8709" width="26.7109375" style="115" customWidth="1"/>
    <col min="8710" max="8710" width="26.5703125" style="115" customWidth="1"/>
    <col min="8711" max="8711" width="25.7109375" style="115" customWidth="1"/>
    <col min="8712" max="8712" width="28.5703125" style="115" customWidth="1"/>
    <col min="8713" max="8713" width="27.7109375" style="115" customWidth="1"/>
    <col min="8714" max="8722" width="25.7109375" style="115" customWidth="1"/>
    <col min="8723" max="8723" width="29.7109375" style="115" customWidth="1"/>
    <col min="8724" max="8724" width="25.7109375" style="115" customWidth="1"/>
    <col min="8725" max="8725" width="44.7109375" style="115" customWidth="1"/>
    <col min="8726" max="8726" width="25.7109375" style="115" customWidth="1"/>
    <col min="8727" max="8727" width="32.140625" style="115" customWidth="1"/>
    <col min="8728" max="8728" width="38.28515625" style="115" customWidth="1"/>
    <col min="8729" max="8729" width="32.7109375" style="115" customWidth="1"/>
    <col min="8730" max="8730" width="61" style="115" customWidth="1"/>
    <col min="8731" max="8731" width="25.7109375" style="115" customWidth="1"/>
    <col min="8732" max="8732" width="206.85546875" style="115" customWidth="1"/>
    <col min="8733" max="8733" width="71.140625" style="115" customWidth="1"/>
    <col min="8734" max="8734" width="13.5703125" style="115" customWidth="1"/>
    <col min="8735" max="8961" width="9.140625" style="115"/>
    <col min="8962" max="8962" width="155.28515625" style="115" customWidth="1"/>
    <col min="8963" max="8964" width="29.85546875" style="115" customWidth="1"/>
    <col min="8965" max="8965" width="26.7109375" style="115" customWidth="1"/>
    <col min="8966" max="8966" width="26.5703125" style="115" customWidth="1"/>
    <col min="8967" max="8967" width="25.7109375" style="115" customWidth="1"/>
    <col min="8968" max="8968" width="28.5703125" style="115" customWidth="1"/>
    <col min="8969" max="8969" width="27.7109375" style="115" customWidth="1"/>
    <col min="8970" max="8978" width="25.7109375" style="115" customWidth="1"/>
    <col min="8979" max="8979" width="29.7109375" style="115" customWidth="1"/>
    <col min="8980" max="8980" width="25.7109375" style="115" customWidth="1"/>
    <col min="8981" max="8981" width="44.7109375" style="115" customWidth="1"/>
    <col min="8982" max="8982" width="25.7109375" style="115" customWidth="1"/>
    <col min="8983" max="8983" width="32.140625" style="115" customWidth="1"/>
    <col min="8984" max="8984" width="38.28515625" style="115" customWidth="1"/>
    <col min="8985" max="8985" width="32.7109375" style="115" customWidth="1"/>
    <col min="8986" max="8986" width="61" style="115" customWidth="1"/>
    <col min="8987" max="8987" width="25.7109375" style="115" customWidth="1"/>
    <col min="8988" max="8988" width="206.85546875" style="115" customWidth="1"/>
    <col min="8989" max="8989" width="71.140625" style="115" customWidth="1"/>
    <col min="8990" max="8990" width="13.5703125" style="115" customWidth="1"/>
    <col min="8991" max="9217" width="9.140625" style="115"/>
    <col min="9218" max="9218" width="155.28515625" style="115" customWidth="1"/>
    <col min="9219" max="9220" width="29.85546875" style="115" customWidth="1"/>
    <col min="9221" max="9221" width="26.7109375" style="115" customWidth="1"/>
    <col min="9222" max="9222" width="26.5703125" style="115" customWidth="1"/>
    <col min="9223" max="9223" width="25.7109375" style="115" customWidth="1"/>
    <col min="9224" max="9224" width="28.5703125" style="115" customWidth="1"/>
    <col min="9225" max="9225" width="27.7109375" style="115" customWidth="1"/>
    <col min="9226" max="9234" width="25.7109375" style="115" customWidth="1"/>
    <col min="9235" max="9235" width="29.7109375" style="115" customWidth="1"/>
    <col min="9236" max="9236" width="25.7109375" style="115" customWidth="1"/>
    <col min="9237" max="9237" width="44.7109375" style="115" customWidth="1"/>
    <col min="9238" max="9238" width="25.7109375" style="115" customWidth="1"/>
    <col min="9239" max="9239" width="32.140625" style="115" customWidth="1"/>
    <col min="9240" max="9240" width="38.28515625" style="115" customWidth="1"/>
    <col min="9241" max="9241" width="32.7109375" style="115" customWidth="1"/>
    <col min="9242" max="9242" width="61" style="115" customWidth="1"/>
    <col min="9243" max="9243" width="25.7109375" style="115" customWidth="1"/>
    <col min="9244" max="9244" width="206.85546875" style="115" customWidth="1"/>
    <col min="9245" max="9245" width="71.140625" style="115" customWidth="1"/>
    <col min="9246" max="9246" width="13.5703125" style="115" customWidth="1"/>
    <col min="9247" max="9473" width="9.140625" style="115"/>
    <col min="9474" max="9474" width="155.28515625" style="115" customWidth="1"/>
    <col min="9475" max="9476" width="29.85546875" style="115" customWidth="1"/>
    <col min="9477" max="9477" width="26.7109375" style="115" customWidth="1"/>
    <col min="9478" max="9478" width="26.5703125" style="115" customWidth="1"/>
    <col min="9479" max="9479" width="25.7109375" style="115" customWidth="1"/>
    <col min="9480" max="9480" width="28.5703125" style="115" customWidth="1"/>
    <col min="9481" max="9481" width="27.7109375" style="115" customWidth="1"/>
    <col min="9482" max="9490" width="25.7109375" style="115" customWidth="1"/>
    <col min="9491" max="9491" width="29.7109375" style="115" customWidth="1"/>
    <col min="9492" max="9492" width="25.7109375" style="115" customWidth="1"/>
    <col min="9493" max="9493" width="44.7109375" style="115" customWidth="1"/>
    <col min="9494" max="9494" width="25.7109375" style="115" customWidth="1"/>
    <col min="9495" max="9495" width="32.140625" style="115" customWidth="1"/>
    <col min="9496" max="9496" width="38.28515625" style="115" customWidth="1"/>
    <col min="9497" max="9497" width="32.7109375" style="115" customWidth="1"/>
    <col min="9498" max="9498" width="61" style="115" customWidth="1"/>
    <col min="9499" max="9499" width="25.7109375" style="115" customWidth="1"/>
    <col min="9500" max="9500" width="206.85546875" style="115" customWidth="1"/>
    <col min="9501" max="9501" width="71.140625" style="115" customWidth="1"/>
    <col min="9502" max="9502" width="13.5703125" style="115" customWidth="1"/>
    <col min="9503" max="9729" width="9.140625" style="115"/>
    <col min="9730" max="9730" width="155.28515625" style="115" customWidth="1"/>
    <col min="9731" max="9732" width="29.85546875" style="115" customWidth="1"/>
    <col min="9733" max="9733" width="26.7109375" style="115" customWidth="1"/>
    <col min="9734" max="9734" width="26.5703125" style="115" customWidth="1"/>
    <col min="9735" max="9735" width="25.7109375" style="115" customWidth="1"/>
    <col min="9736" max="9736" width="28.5703125" style="115" customWidth="1"/>
    <col min="9737" max="9737" width="27.7109375" style="115" customWidth="1"/>
    <col min="9738" max="9746" width="25.7109375" style="115" customWidth="1"/>
    <col min="9747" max="9747" width="29.7109375" style="115" customWidth="1"/>
    <col min="9748" max="9748" width="25.7109375" style="115" customWidth="1"/>
    <col min="9749" max="9749" width="44.7109375" style="115" customWidth="1"/>
    <col min="9750" max="9750" width="25.7109375" style="115" customWidth="1"/>
    <col min="9751" max="9751" width="32.140625" style="115" customWidth="1"/>
    <col min="9752" max="9752" width="38.28515625" style="115" customWidth="1"/>
    <col min="9753" max="9753" width="32.7109375" style="115" customWidth="1"/>
    <col min="9754" max="9754" width="61" style="115" customWidth="1"/>
    <col min="9755" max="9755" width="25.7109375" style="115" customWidth="1"/>
    <col min="9756" max="9756" width="206.85546875" style="115" customWidth="1"/>
    <col min="9757" max="9757" width="71.140625" style="115" customWidth="1"/>
    <col min="9758" max="9758" width="13.5703125" style="115" customWidth="1"/>
    <col min="9759" max="9985" width="9.140625" style="115"/>
    <col min="9986" max="9986" width="155.28515625" style="115" customWidth="1"/>
    <col min="9987" max="9988" width="29.85546875" style="115" customWidth="1"/>
    <col min="9989" max="9989" width="26.7109375" style="115" customWidth="1"/>
    <col min="9990" max="9990" width="26.5703125" style="115" customWidth="1"/>
    <col min="9991" max="9991" width="25.7109375" style="115" customWidth="1"/>
    <col min="9992" max="9992" width="28.5703125" style="115" customWidth="1"/>
    <col min="9993" max="9993" width="27.7109375" style="115" customWidth="1"/>
    <col min="9994" max="10002" width="25.7109375" style="115" customWidth="1"/>
    <col min="10003" max="10003" width="29.7109375" style="115" customWidth="1"/>
    <col min="10004" max="10004" width="25.7109375" style="115" customWidth="1"/>
    <col min="10005" max="10005" width="44.7109375" style="115" customWidth="1"/>
    <col min="10006" max="10006" width="25.7109375" style="115" customWidth="1"/>
    <col min="10007" max="10007" width="32.140625" style="115" customWidth="1"/>
    <col min="10008" max="10008" width="38.28515625" style="115" customWidth="1"/>
    <col min="10009" max="10009" width="32.7109375" style="115" customWidth="1"/>
    <col min="10010" max="10010" width="61" style="115" customWidth="1"/>
    <col min="10011" max="10011" width="25.7109375" style="115" customWidth="1"/>
    <col min="10012" max="10012" width="206.85546875" style="115" customWidth="1"/>
    <col min="10013" max="10013" width="71.140625" style="115" customWidth="1"/>
    <col min="10014" max="10014" width="13.5703125" style="115" customWidth="1"/>
    <col min="10015" max="10241" width="9.140625" style="115"/>
    <col min="10242" max="10242" width="155.28515625" style="115" customWidth="1"/>
    <col min="10243" max="10244" width="29.85546875" style="115" customWidth="1"/>
    <col min="10245" max="10245" width="26.7109375" style="115" customWidth="1"/>
    <col min="10246" max="10246" width="26.5703125" style="115" customWidth="1"/>
    <col min="10247" max="10247" width="25.7109375" style="115" customWidth="1"/>
    <col min="10248" max="10248" width="28.5703125" style="115" customWidth="1"/>
    <col min="10249" max="10249" width="27.7109375" style="115" customWidth="1"/>
    <col min="10250" max="10258" width="25.7109375" style="115" customWidth="1"/>
    <col min="10259" max="10259" width="29.7109375" style="115" customWidth="1"/>
    <col min="10260" max="10260" width="25.7109375" style="115" customWidth="1"/>
    <col min="10261" max="10261" width="44.7109375" style="115" customWidth="1"/>
    <col min="10262" max="10262" width="25.7109375" style="115" customWidth="1"/>
    <col min="10263" max="10263" width="32.140625" style="115" customWidth="1"/>
    <col min="10264" max="10264" width="38.28515625" style="115" customWidth="1"/>
    <col min="10265" max="10265" width="32.7109375" style="115" customWidth="1"/>
    <col min="10266" max="10266" width="61" style="115" customWidth="1"/>
    <col min="10267" max="10267" width="25.7109375" style="115" customWidth="1"/>
    <col min="10268" max="10268" width="206.85546875" style="115" customWidth="1"/>
    <col min="10269" max="10269" width="71.140625" style="115" customWidth="1"/>
    <col min="10270" max="10270" width="13.5703125" style="115" customWidth="1"/>
    <col min="10271" max="10497" width="9.140625" style="115"/>
    <col min="10498" max="10498" width="155.28515625" style="115" customWidth="1"/>
    <col min="10499" max="10500" width="29.85546875" style="115" customWidth="1"/>
    <col min="10501" max="10501" width="26.7109375" style="115" customWidth="1"/>
    <col min="10502" max="10502" width="26.5703125" style="115" customWidth="1"/>
    <col min="10503" max="10503" width="25.7109375" style="115" customWidth="1"/>
    <col min="10504" max="10504" width="28.5703125" style="115" customWidth="1"/>
    <col min="10505" max="10505" width="27.7109375" style="115" customWidth="1"/>
    <col min="10506" max="10514" width="25.7109375" style="115" customWidth="1"/>
    <col min="10515" max="10515" width="29.7109375" style="115" customWidth="1"/>
    <col min="10516" max="10516" width="25.7109375" style="115" customWidth="1"/>
    <col min="10517" max="10517" width="44.7109375" style="115" customWidth="1"/>
    <col min="10518" max="10518" width="25.7109375" style="115" customWidth="1"/>
    <col min="10519" max="10519" width="32.140625" style="115" customWidth="1"/>
    <col min="10520" max="10520" width="38.28515625" style="115" customWidth="1"/>
    <col min="10521" max="10521" width="32.7109375" style="115" customWidth="1"/>
    <col min="10522" max="10522" width="61" style="115" customWidth="1"/>
    <col min="10523" max="10523" width="25.7109375" style="115" customWidth="1"/>
    <col min="10524" max="10524" width="206.85546875" style="115" customWidth="1"/>
    <col min="10525" max="10525" width="71.140625" style="115" customWidth="1"/>
    <col min="10526" max="10526" width="13.5703125" style="115" customWidth="1"/>
    <col min="10527" max="10753" width="9.140625" style="115"/>
    <col min="10754" max="10754" width="155.28515625" style="115" customWidth="1"/>
    <col min="10755" max="10756" width="29.85546875" style="115" customWidth="1"/>
    <col min="10757" max="10757" width="26.7109375" style="115" customWidth="1"/>
    <col min="10758" max="10758" width="26.5703125" style="115" customWidth="1"/>
    <col min="10759" max="10759" width="25.7109375" style="115" customWidth="1"/>
    <col min="10760" max="10760" width="28.5703125" style="115" customWidth="1"/>
    <col min="10761" max="10761" width="27.7109375" style="115" customWidth="1"/>
    <col min="10762" max="10770" width="25.7109375" style="115" customWidth="1"/>
    <col min="10771" max="10771" width="29.7109375" style="115" customWidth="1"/>
    <col min="10772" max="10772" width="25.7109375" style="115" customWidth="1"/>
    <col min="10773" max="10773" width="44.7109375" style="115" customWidth="1"/>
    <col min="10774" max="10774" width="25.7109375" style="115" customWidth="1"/>
    <col min="10775" max="10775" width="32.140625" style="115" customWidth="1"/>
    <col min="10776" max="10776" width="38.28515625" style="115" customWidth="1"/>
    <col min="10777" max="10777" width="32.7109375" style="115" customWidth="1"/>
    <col min="10778" max="10778" width="61" style="115" customWidth="1"/>
    <col min="10779" max="10779" width="25.7109375" style="115" customWidth="1"/>
    <col min="10780" max="10780" width="206.85546875" style="115" customWidth="1"/>
    <col min="10781" max="10781" width="71.140625" style="115" customWidth="1"/>
    <col min="10782" max="10782" width="13.5703125" style="115" customWidth="1"/>
    <col min="10783" max="11009" width="9.140625" style="115"/>
    <col min="11010" max="11010" width="155.28515625" style="115" customWidth="1"/>
    <col min="11011" max="11012" width="29.85546875" style="115" customWidth="1"/>
    <col min="11013" max="11013" width="26.7109375" style="115" customWidth="1"/>
    <col min="11014" max="11014" width="26.5703125" style="115" customWidth="1"/>
    <col min="11015" max="11015" width="25.7109375" style="115" customWidth="1"/>
    <col min="11016" max="11016" width="28.5703125" style="115" customWidth="1"/>
    <col min="11017" max="11017" width="27.7109375" style="115" customWidth="1"/>
    <col min="11018" max="11026" width="25.7109375" style="115" customWidth="1"/>
    <col min="11027" max="11027" width="29.7109375" style="115" customWidth="1"/>
    <col min="11028" max="11028" width="25.7109375" style="115" customWidth="1"/>
    <col min="11029" max="11029" width="44.7109375" style="115" customWidth="1"/>
    <col min="11030" max="11030" width="25.7109375" style="115" customWidth="1"/>
    <col min="11031" max="11031" width="32.140625" style="115" customWidth="1"/>
    <col min="11032" max="11032" width="38.28515625" style="115" customWidth="1"/>
    <col min="11033" max="11033" width="32.7109375" style="115" customWidth="1"/>
    <col min="11034" max="11034" width="61" style="115" customWidth="1"/>
    <col min="11035" max="11035" width="25.7109375" style="115" customWidth="1"/>
    <col min="11036" max="11036" width="206.85546875" style="115" customWidth="1"/>
    <col min="11037" max="11037" width="71.140625" style="115" customWidth="1"/>
    <col min="11038" max="11038" width="13.5703125" style="115" customWidth="1"/>
    <col min="11039" max="11265" width="9.140625" style="115"/>
    <col min="11266" max="11266" width="155.28515625" style="115" customWidth="1"/>
    <col min="11267" max="11268" width="29.85546875" style="115" customWidth="1"/>
    <col min="11269" max="11269" width="26.7109375" style="115" customWidth="1"/>
    <col min="11270" max="11270" width="26.5703125" style="115" customWidth="1"/>
    <col min="11271" max="11271" width="25.7109375" style="115" customWidth="1"/>
    <col min="11272" max="11272" width="28.5703125" style="115" customWidth="1"/>
    <col min="11273" max="11273" width="27.7109375" style="115" customWidth="1"/>
    <col min="11274" max="11282" width="25.7109375" style="115" customWidth="1"/>
    <col min="11283" max="11283" width="29.7109375" style="115" customWidth="1"/>
    <col min="11284" max="11284" width="25.7109375" style="115" customWidth="1"/>
    <col min="11285" max="11285" width="44.7109375" style="115" customWidth="1"/>
    <col min="11286" max="11286" width="25.7109375" style="115" customWidth="1"/>
    <col min="11287" max="11287" width="32.140625" style="115" customWidth="1"/>
    <col min="11288" max="11288" width="38.28515625" style="115" customWidth="1"/>
    <col min="11289" max="11289" width="32.7109375" style="115" customWidth="1"/>
    <col min="11290" max="11290" width="61" style="115" customWidth="1"/>
    <col min="11291" max="11291" width="25.7109375" style="115" customWidth="1"/>
    <col min="11292" max="11292" width="206.85546875" style="115" customWidth="1"/>
    <col min="11293" max="11293" width="71.140625" style="115" customWidth="1"/>
    <col min="11294" max="11294" width="13.5703125" style="115" customWidth="1"/>
    <col min="11295" max="11521" width="9.140625" style="115"/>
    <col min="11522" max="11522" width="155.28515625" style="115" customWidth="1"/>
    <col min="11523" max="11524" width="29.85546875" style="115" customWidth="1"/>
    <col min="11525" max="11525" width="26.7109375" style="115" customWidth="1"/>
    <col min="11526" max="11526" width="26.5703125" style="115" customWidth="1"/>
    <col min="11527" max="11527" width="25.7109375" style="115" customWidth="1"/>
    <col min="11528" max="11528" width="28.5703125" style="115" customWidth="1"/>
    <col min="11529" max="11529" width="27.7109375" style="115" customWidth="1"/>
    <col min="11530" max="11538" width="25.7109375" style="115" customWidth="1"/>
    <col min="11539" max="11539" width="29.7109375" style="115" customWidth="1"/>
    <col min="11540" max="11540" width="25.7109375" style="115" customWidth="1"/>
    <col min="11541" max="11541" width="44.7109375" style="115" customWidth="1"/>
    <col min="11542" max="11542" width="25.7109375" style="115" customWidth="1"/>
    <col min="11543" max="11543" width="32.140625" style="115" customWidth="1"/>
    <col min="11544" max="11544" width="38.28515625" style="115" customWidth="1"/>
    <col min="11545" max="11545" width="32.7109375" style="115" customWidth="1"/>
    <col min="11546" max="11546" width="61" style="115" customWidth="1"/>
    <col min="11547" max="11547" width="25.7109375" style="115" customWidth="1"/>
    <col min="11548" max="11548" width="206.85546875" style="115" customWidth="1"/>
    <col min="11549" max="11549" width="71.140625" style="115" customWidth="1"/>
    <col min="11550" max="11550" width="13.5703125" style="115" customWidth="1"/>
    <col min="11551" max="11777" width="9.140625" style="115"/>
    <col min="11778" max="11778" width="155.28515625" style="115" customWidth="1"/>
    <col min="11779" max="11780" width="29.85546875" style="115" customWidth="1"/>
    <col min="11781" max="11781" width="26.7109375" style="115" customWidth="1"/>
    <col min="11782" max="11782" width="26.5703125" style="115" customWidth="1"/>
    <col min="11783" max="11783" width="25.7109375" style="115" customWidth="1"/>
    <col min="11784" max="11784" width="28.5703125" style="115" customWidth="1"/>
    <col min="11785" max="11785" width="27.7109375" style="115" customWidth="1"/>
    <col min="11786" max="11794" width="25.7109375" style="115" customWidth="1"/>
    <col min="11795" max="11795" width="29.7109375" style="115" customWidth="1"/>
    <col min="11796" max="11796" width="25.7109375" style="115" customWidth="1"/>
    <col min="11797" max="11797" width="44.7109375" style="115" customWidth="1"/>
    <col min="11798" max="11798" width="25.7109375" style="115" customWidth="1"/>
    <col min="11799" max="11799" width="32.140625" style="115" customWidth="1"/>
    <col min="11800" max="11800" width="38.28515625" style="115" customWidth="1"/>
    <col min="11801" max="11801" width="32.7109375" style="115" customWidth="1"/>
    <col min="11802" max="11802" width="61" style="115" customWidth="1"/>
    <col min="11803" max="11803" width="25.7109375" style="115" customWidth="1"/>
    <col min="11804" max="11804" width="206.85546875" style="115" customWidth="1"/>
    <col min="11805" max="11805" width="71.140625" style="115" customWidth="1"/>
    <col min="11806" max="11806" width="13.5703125" style="115" customWidth="1"/>
    <col min="11807" max="12033" width="9.140625" style="115"/>
    <col min="12034" max="12034" width="155.28515625" style="115" customWidth="1"/>
    <col min="12035" max="12036" width="29.85546875" style="115" customWidth="1"/>
    <col min="12037" max="12037" width="26.7109375" style="115" customWidth="1"/>
    <col min="12038" max="12038" width="26.5703125" style="115" customWidth="1"/>
    <col min="12039" max="12039" width="25.7109375" style="115" customWidth="1"/>
    <col min="12040" max="12040" width="28.5703125" style="115" customWidth="1"/>
    <col min="12041" max="12041" width="27.7109375" style="115" customWidth="1"/>
    <col min="12042" max="12050" width="25.7109375" style="115" customWidth="1"/>
    <col min="12051" max="12051" width="29.7109375" style="115" customWidth="1"/>
    <col min="12052" max="12052" width="25.7109375" style="115" customWidth="1"/>
    <col min="12053" max="12053" width="44.7109375" style="115" customWidth="1"/>
    <col min="12054" max="12054" width="25.7109375" style="115" customWidth="1"/>
    <col min="12055" max="12055" width="32.140625" style="115" customWidth="1"/>
    <col min="12056" max="12056" width="38.28515625" style="115" customWidth="1"/>
    <col min="12057" max="12057" width="32.7109375" style="115" customWidth="1"/>
    <col min="12058" max="12058" width="61" style="115" customWidth="1"/>
    <col min="12059" max="12059" width="25.7109375" style="115" customWidth="1"/>
    <col min="12060" max="12060" width="206.85546875" style="115" customWidth="1"/>
    <col min="12061" max="12061" width="71.140625" style="115" customWidth="1"/>
    <col min="12062" max="12062" width="13.5703125" style="115" customWidth="1"/>
    <col min="12063" max="12289" width="9.140625" style="115"/>
    <col min="12290" max="12290" width="155.28515625" style="115" customWidth="1"/>
    <col min="12291" max="12292" width="29.85546875" style="115" customWidth="1"/>
    <col min="12293" max="12293" width="26.7109375" style="115" customWidth="1"/>
    <col min="12294" max="12294" width="26.5703125" style="115" customWidth="1"/>
    <col min="12295" max="12295" width="25.7109375" style="115" customWidth="1"/>
    <col min="12296" max="12296" width="28.5703125" style="115" customWidth="1"/>
    <col min="12297" max="12297" width="27.7109375" style="115" customWidth="1"/>
    <col min="12298" max="12306" width="25.7109375" style="115" customWidth="1"/>
    <col min="12307" max="12307" width="29.7109375" style="115" customWidth="1"/>
    <col min="12308" max="12308" width="25.7109375" style="115" customWidth="1"/>
    <col min="12309" max="12309" width="44.7109375" style="115" customWidth="1"/>
    <col min="12310" max="12310" width="25.7109375" style="115" customWidth="1"/>
    <col min="12311" max="12311" width="32.140625" style="115" customWidth="1"/>
    <col min="12312" max="12312" width="38.28515625" style="115" customWidth="1"/>
    <col min="12313" max="12313" width="32.7109375" style="115" customWidth="1"/>
    <col min="12314" max="12314" width="61" style="115" customWidth="1"/>
    <col min="12315" max="12315" width="25.7109375" style="115" customWidth="1"/>
    <col min="12316" max="12316" width="206.85546875" style="115" customWidth="1"/>
    <col min="12317" max="12317" width="71.140625" style="115" customWidth="1"/>
    <col min="12318" max="12318" width="13.5703125" style="115" customWidth="1"/>
    <col min="12319" max="12545" width="9.140625" style="115"/>
    <col min="12546" max="12546" width="155.28515625" style="115" customWidth="1"/>
    <col min="12547" max="12548" width="29.85546875" style="115" customWidth="1"/>
    <col min="12549" max="12549" width="26.7109375" style="115" customWidth="1"/>
    <col min="12550" max="12550" width="26.5703125" style="115" customWidth="1"/>
    <col min="12551" max="12551" width="25.7109375" style="115" customWidth="1"/>
    <col min="12552" max="12552" width="28.5703125" style="115" customWidth="1"/>
    <col min="12553" max="12553" width="27.7109375" style="115" customWidth="1"/>
    <col min="12554" max="12562" width="25.7109375" style="115" customWidth="1"/>
    <col min="12563" max="12563" width="29.7109375" style="115" customWidth="1"/>
    <col min="12564" max="12564" width="25.7109375" style="115" customWidth="1"/>
    <col min="12565" max="12565" width="44.7109375" style="115" customWidth="1"/>
    <col min="12566" max="12566" width="25.7109375" style="115" customWidth="1"/>
    <col min="12567" max="12567" width="32.140625" style="115" customWidth="1"/>
    <col min="12568" max="12568" width="38.28515625" style="115" customWidth="1"/>
    <col min="12569" max="12569" width="32.7109375" style="115" customWidth="1"/>
    <col min="12570" max="12570" width="61" style="115" customWidth="1"/>
    <col min="12571" max="12571" width="25.7109375" style="115" customWidth="1"/>
    <col min="12572" max="12572" width="206.85546875" style="115" customWidth="1"/>
    <col min="12573" max="12573" width="71.140625" style="115" customWidth="1"/>
    <col min="12574" max="12574" width="13.5703125" style="115" customWidth="1"/>
    <col min="12575" max="12801" width="9.140625" style="115"/>
    <col min="12802" max="12802" width="155.28515625" style="115" customWidth="1"/>
    <col min="12803" max="12804" width="29.85546875" style="115" customWidth="1"/>
    <col min="12805" max="12805" width="26.7109375" style="115" customWidth="1"/>
    <col min="12806" max="12806" width="26.5703125" style="115" customWidth="1"/>
    <col min="12807" max="12807" width="25.7109375" style="115" customWidth="1"/>
    <col min="12808" max="12808" width="28.5703125" style="115" customWidth="1"/>
    <col min="12809" max="12809" width="27.7109375" style="115" customWidth="1"/>
    <col min="12810" max="12818" width="25.7109375" style="115" customWidth="1"/>
    <col min="12819" max="12819" width="29.7109375" style="115" customWidth="1"/>
    <col min="12820" max="12820" width="25.7109375" style="115" customWidth="1"/>
    <col min="12821" max="12821" width="44.7109375" style="115" customWidth="1"/>
    <col min="12822" max="12822" width="25.7109375" style="115" customWidth="1"/>
    <col min="12823" max="12823" width="32.140625" style="115" customWidth="1"/>
    <col min="12824" max="12824" width="38.28515625" style="115" customWidth="1"/>
    <col min="12825" max="12825" width="32.7109375" style="115" customWidth="1"/>
    <col min="12826" max="12826" width="61" style="115" customWidth="1"/>
    <col min="12827" max="12827" width="25.7109375" style="115" customWidth="1"/>
    <col min="12828" max="12828" width="206.85546875" style="115" customWidth="1"/>
    <col min="12829" max="12829" width="71.140625" style="115" customWidth="1"/>
    <col min="12830" max="12830" width="13.5703125" style="115" customWidth="1"/>
    <col min="12831" max="13057" width="9.140625" style="115"/>
    <col min="13058" max="13058" width="155.28515625" style="115" customWidth="1"/>
    <col min="13059" max="13060" width="29.85546875" style="115" customWidth="1"/>
    <col min="13061" max="13061" width="26.7109375" style="115" customWidth="1"/>
    <col min="13062" max="13062" width="26.5703125" style="115" customWidth="1"/>
    <col min="13063" max="13063" width="25.7109375" style="115" customWidth="1"/>
    <col min="13064" max="13064" width="28.5703125" style="115" customWidth="1"/>
    <col min="13065" max="13065" width="27.7109375" style="115" customWidth="1"/>
    <col min="13066" max="13074" width="25.7109375" style="115" customWidth="1"/>
    <col min="13075" max="13075" width="29.7109375" style="115" customWidth="1"/>
    <col min="13076" max="13076" width="25.7109375" style="115" customWidth="1"/>
    <col min="13077" max="13077" width="44.7109375" style="115" customWidth="1"/>
    <col min="13078" max="13078" width="25.7109375" style="115" customWidth="1"/>
    <col min="13079" max="13079" width="32.140625" style="115" customWidth="1"/>
    <col min="13080" max="13080" width="38.28515625" style="115" customWidth="1"/>
    <col min="13081" max="13081" width="32.7109375" style="115" customWidth="1"/>
    <col min="13082" max="13082" width="61" style="115" customWidth="1"/>
    <col min="13083" max="13083" width="25.7109375" style="115" customWidth="1"/>
    <col min="13084" max="13084" width="206.85546875" style="115" customWidth="1"/>
    <col min="13085" max="13085" width="71.140625" style="115" customWidth="1"/>
    <col min="13086" max="13086" width="13.5703125" style="115" customWidth="1"/>
    <col min="13087" max="13313" width="9.140625" style="115"/>
    <col min="13314" max="13314" width="155.28515625" style="115" customWidth="1"/>
    <col min="13315" max="13316" width="29.85546875" style="115" customWidth="1"/>
    <col min="13317" max="13317" width="26.7109375" style="115" customWidth="1"/>
    <col min="13318" max="13318" width="26.5703125" style="115" customWidth="1"/>
    <col min="13319" max="13319" width="25.7109375" style="115" customWidth="1"/>
    <col min="13320" max="13320" width="28.5703125" style="115" customWidth="1"/>
    <col min="13321" max="13321" width="27.7109375" style="115" customWidth="1"/>
    <col min="13322" max="13330" width="25.7109375" style="115" customWidth="1"/>
    <col min="13331" max="13331" width="29.7109375" style="115" customWidth="1"/>
    <col min="13332" max="13332" width="25.7109375" style="115" customWidth="1"/>
    <col min="13333" max="13333" width="44.7109375" style="115" customWidth="1"/>
    <col min="13334" max="13334" width="25.7109375" style="115" customWidth="1"/>
    <col min="13335" max="13335" width="32.140625" style="115" customWidth="1"/>
    <col min="13336" max="13336" width="38.28515625" style="115" customWidth="1"/>
    <col min="13337" max="13337" width="32.7109375" style="115" customWidth="1"/>
    <col min="13338" max="13338" width="61" style="115" customWidth="1"/>
    <col min="13339" max="13339" width="25.7109375" style="115" customWidth="1"/>
    <col min="13340" max="13340" width="206.85546875" style="115" customWidth="1"/>
    <col min="13341" max="13341" width="71.140625" style="115" customWidth="1"/>
    <col min="13342" max="13342" width="13.5703125" style="115" customWidth="1"/>
    <col min="13343" max="13569" width="9.140625" style="115"/>
    <col min="13570" max="13570" width="155.28515625" style="115" customWidth="1"/>
    <col min="13571" max="13572" width="29.85546875" style="115" customWidth="1"/>
    <col min="13573" max="13573" width="26.7109375" style="115" customWidth="1"/>
    <col min="13574" max="13574" width="26.5703125" style="115" customWidth="1"/>
    <col min="13575" max="13575" width="25.7109375" style="115" customWidth="1"/>
    <col min="13576" max="13576" width="28.5703125" style="115" customWidth="1"/>
    <col min="13577" max="13577" width="27.7109375" style="115" customWidth="1"/>
    <col min="13578" max="13586" width="25.7109375" style="115" customWidth="1"/>
    <col min="13587" max="13587" width="29.7109375" style="115" customWidth="1"/>
    <col min="13588" max="13588" width="25.7109375" style="115" customWidth="1"/>
    <col min="13589" max="13589" width="44.7109375" style="115" customWidth="1"/>
    <col min="13590" max="13590" width="25.7109375" style="115" customWidth="1"/>
    <col min="13591" max="13591" width="32.140625" style="115" customWidth="1"/>
    <col min="13592" max="13592" width="38.28515625" style="115" customWidth="1"/>
    <col min="13593" max="13593" width="32.7109375" style="115" customWidth="1"/>
    <col min="13594" max="13594" width="61" style="115" customWidth="1"/>
    <col min="13595" max="13595" width="25.7109375" style="115" customWidth="1"/>
    <col min="13596" max="13596" width="206.85546875" style="115" customWidth="1"/>
    <col min="13597" max="13597" width="71.140625" style="115" customWidth="1"/>
    <col min="13598" max="13598" width="13.5703125" style="115" customWidth="1"/>
    <col min="13599" max="13825" width="9.140625" style="115"/>
    <col min="13826" max="13826" width="155.28515625" style="115" customWidth="1"/>
    <col min="13827" max="13828" width="29.85546875" style="115" customWidth="1"/>
    <col min="13829" max="13829" width="26.7109375" style="115" customWidth="1"/>
    <col min="13830" max="13830" width="26.5703125" style="115" customWidth="1"/>
    <col min="13831" max="13831" width="25.7109375" style="115" customWidth="1"/>
    <col min="13832" max="13832" width="28.5703125" style="115" customWidth="1"/>
    <col min="13833" max="13833" width="27.7109375" style="115" customWidth="1"/>
    <col min="13834" max="13842" width="25.7109375" style="115" customWidth="1"/>
    <col min="13843" max="13843" width="29.7109375" style="115" customWidth="1"/>
    <col min="13844" max="13844" width="25.7109375" style="115" customWidth="1"/>
    <col min="13845" max="13845" width="44.7109375" style="115" customWidth="1"/>
    <col min="13846" max="13846" width="25.7109375" style="115" customWidth="1"/>
    <col min="13847" max="13847" width="32.140625" style="115" customWidth="1"/>
    <col min="13848" max="13848" width="38.28515625" style="115" customWidth="1"/>
    <col min="13849" max="13849" width="32.7109375" style="115" customWidth="1"/>
    <col min="13850" max="13850" width="61" style="115" customWidth="1"/>
    <col min="13851" max="13851" width="25.7109375" style="115" customWidth="1"/>
    <col min="13852" max="13852" width="206.85546875" style="115" customWidth="1"/>
    <col min="13853" max="13853" width="71.140625" style="115" customWidth="1"/>
    <col min="13854" max="13854" width="13.5703125" style="115" customWidth="1"/>
    <col min="13855" max="14081" width="9.140625" style="115"/>
    <col min="14082" max="14082" width="155.28515625" style="115" customWidth="1"/>
    <col min="14083" max="14084" width="29.85546875" style="115" customWidth="1"/>
    <col min="14085" max="14085" width="26.7109375" style="115" customWidth="1"/>
    <col min="14086" max="14086" width="26.5703125" style="115" customWidth="1"/>
    <col min="14087" max="14087" width="25.7109375" style="115" customWidth="1"/>
    <col min="14088" max="14088" width="28.5703125" style="115" customWidth="1"/>
    <col min="14089" max="14089" width="27.7109375" style="115" customWidth="1"/>
    <col min="14090" max="14098" width="25.7109375" style="115" customWidth="1"/>
    <col min="14099" max="14099" width="29.7109375" style="115" customWidth="1"/>
    <col min="14100" max="14100" width="25.7109375" style="115" customWidth="1"/>
    <col min="14101" max="14101" width="44.7109375" style="115" customWidth="1"/>
    <col min="14102" max="14102" width="25.7109375" style="115" customWidth="1"/>
    <col min="14103" max="14103" width="32.140625" style="115" customWidth="1"/>
    <col min="14104" max="14104" width="38.28515625" style="115" customWidth="1"/>
    <col min="14105" max="14105" width="32.7109375" style="115" customWidth="1"/>
    <col min="14106" max="14106" width="61" style="115" customWidth="1"/>
    <col min="14107" max="14107" width="25.7109375" style="115" customWidth="1"/>
    <col min="14108" max="14108" width="206.85546875" style="115" customWidth="1"/>
    <col min="14109" max="14109" width="71.140625" style="115" customWidth="1"/>
    <col min="14110" max="14110" width="13.5703125" style="115" customWidth="1"/>
    <col min="14111" max="14337" width="9.140625" style="115"/>
    <col min="14338" max="14338" width="155.28515625" style="115" customWidth="1"/>
    <col min="14339" max="14340" width="29.85546875" style="115" customWidth="1"/>
    <col min="14341" max="14341" width="26.7109375" style="115" customWidth="1"/>
    <col min="14342" max="14342" width="26.5703125" style="115" customWidth="1"/>
    <col min="14343" max="14343" width="25.7109375" style="115" customWidth="1"/>
    <col min="14344" max="14344" width="28.5703125" style="115" customWidth="1"/>
    <col min="14345" max="14345" width="27.7109375" style="115" customWidth="1"/>
    <col min="14346" max="14354" width="25.7109375" style="115" customWidth="1"/>
    <col min="14355" max="14355" width="29.7109375" style="115" customWidth="1"/>
    <col min="14356" max="14356" width="25.7109375" style="115" customWidth="1"/>
    <col min="14357" max="14357" width="44.7109375" style="115" customWidth="1"/>
    <col min="14358" max="14358" width="25.7109375" style="115" customWidth="1"/>
    <col min="14359" max="14359" width="32.140625" style="115" customWidth="1"/>
    <col min="14360" max="14360" width="38.28515625" style="115" customWidth="1"/>
    <col min="14361" max="14361" width="32.7109375" style="115" customWidth="1"/>
    <col min="14362" max="14362" width="61" style="115" customWidth="1"/>
    <col min="14363" max="14363" width="25.7109375" style="115" customWidth="1"/>
    <col min="14364" max="14364" width="206.85546875" style="115" customWidth="1"/>
    <col min="14365" max="14365" width="71.140625" style="115" customWidth="1"/>
    <col min="14366" max="14366" width="13.5703125" style="115" customWidth="1"/>
    <col min="14367" max="14593" width="9.140625" style="115"/>
    <col min="14594" max="14594" width="155.28515625" style="115" customWidth="1"/>
    <col min="14595" max="14596" width="29.85546875" style="115" customWidth="1"/>
    <col min="14597" max="14597" width="26.7109375" style="115" customWidth="1"/>
    <col min="14598" max="14598" width="26.5703125" style="115" customWidth="1"/>
    <col min="14599" max="14599" width="25.7109375" style="115" customWidth="1"/>
    <col min="14600" max="14600" width="28.5703125" style="115" customWidth="1"/>
    <col min="14601" max="14601" width="27.7109375" style="115" customWidth="1"/>
    <col min="14602" max="14610" width="25.7109375" style="115" customWidth="1"/>
    <col min="14611" max="14611" width="29.7109375" style="115" customWidth="1"/>
    <col min="14612" max="14612" width="25.7109375" style="115" customWidth="1"/>
    <col min="14613" max="14613" width="44.7109375" style="115" customWidth="1"/>
    <col min="14614" max="14614" width="25.7109375" style="115" customWidth="1"/>
    <col min="14615" max="14615" width="32.140625" style="115" customWidth="1"/>
    <col min="14616" max="14616" width="38.28515625" style="115" customWidth="1"/>
    <col min="14617" max="14617" width="32.7109375" style="115" customWidth="1"/>
    <col min="14618" max="14618" width="61" style="115" customWidth="1"/>
    <col min="14619" max="14619" width="25.7109375" style="115" customWidth="1"/>
    <col min="14620" max="14620" width="206.85546875" style="115" customWidth="1"/>
    <col min="14621" max="14621" width="71.140625" style="115" customWidth="1"/>
    <col min="14622" max="14622" width="13.5703125" style="115" customWidth="1"/>
    <col min="14623" max="14849" width="9.140625" style="115"/>
    <col min="14850" max="14850" width="155.28515625" style="115" customWidth="1"/>
    <col min="14851" max="14852" width="29.85546875" style="115" customWidth="1"/>
    <col min="14853" max="14853" width="26.7109375" style="115" customWidth="1"/>
    <col min="14854" max="14854" width="26.5703125" style="115" customWidth="1"/>
    <col min="14855" max="14855" width="25.7109375" style="115" customWidth="1"/>
    <col min="14856" max="14856" width="28.5703125" style="115" customWidth="1"/>
    <col min="14857" max="14857" width="27.7109375" style="115" customWidth="1"/>
    <col min="14858" max="14866" width="25.7109375" style="115" customWidth="1"/>
    <col min="14867" max="14867" width="29.7109375" style="115" customWidth="1"/>
    <col min="14868" max="14868" width="25.7109375" style="115" customWidth="1"/>
    <col min="14869" max="14869" width="44.7109375" style="115" customWidth="1"/>
    <col min="14870" max="14870" width="25.7109375" style="115" customWidth="1"/>
    <col min="14871" max="14871" width="32.140625" style="115" customWidth="1"/>
    <col min="14872" max="14872" width="38.28515625" style="115" customWidth="1"/>
    <col min="14873" max="14873" width="32.7109375" style="115" customWidth="1"/>
    <col min="14874" max="14874" width="61" style="115" customWidth="1"/>
    <col min="14875" max="14875" width="25.7109375" style="115" customWidth="1"/>
    <col min="14876" max="14876" width="206.85546875" style="115" customWidth="1"/>
    <col min="14877" max="14877" width="71.140625" style="115" customWidth="1"/>
    <col min="14878" max="14878" width="13.5703125" style="115" customWidth="1"/>
    <col min="14879" max="15105" width="9.140625" style="115"/>
    <col min="15106" max="15106" width="155.28515625" style="115" customWidth="1"/>
    <col min="15107" max="15108" width="29.85546875" style="115" customWidth="1"/>
    <col min="15109" max="15109" width="26.7109375" style="115" customWidth="1"/>
    <col min="15110" max="15110" width="26.5703125" style="115" customWidth="1"/>
    <col min="15111" max="15111" width="25.7109375" style="115" customWidth="1"/>
    <col min="15112" max="15112" width="28.5703125" style="115" customWidth="1"/>
    <col min="15113" max="15113" width="27.7109375" style="115" customWidth="1"/>
    <col min="15114" max="15122" width="25.7109375" style="115" customWidth="1"/>
    <col min="15123" max="15123" width="29.7109375" style="115" customWidth="1"/>
    <col min="15124" max="15124" width="25.7109375" style="115" customWidth="1"/>
    <col min="15125" max="15125" width="44.7109375" style="115" customWidth="1"/>
    <col min="15126" max="15126" width="25.7109375" style="115" customWidth="1"/>
    <col min="15127" max="15127" width="32.140625" style="115" customWidth="1"/>
    <col min="15128" max="15128" width="38.28515625" style="115" customWidth="1"/>
    <col min="15129" max="15129" width="32.7109375" style="115" customWidth="1"/>
    <col min="15130" max="15130" width="61" style="115" customWidth="1"/>
    <col min="15131" max="15131" width="25.7109375" style="115" customWidth="1"/>
    <col min="15132" max="15132" width="206.85546875" style="115" customWidth="1"/>
    <col min="15133" max="15133" width="71.140625" style="115" customWidth="1"/>
    <col min="15134" max="15134" width="13.5703125" style="115" customWidth="1"/>
    <col min="15135" max="15361" width="9.140625" style="115"/>
    <col min="15362" max="15362" width="155.28515625" style="115" customWidth="1"/>
    <col min="15363" max="15364" width="29.85546875" style="115" customWidth="1"/>
    <col min="15365" max="15365" width="26.7109375" style="115" customWidth="1"/>
    <col min="15366" max="15366" width="26.5703125" style="115" customWidth="1"/>
    <col min="15367" max="15367" width="25.7109375" style="115" customWidth="1"/>
    <col min="15368" max="15368" width="28.5703125" style="115" customWidth="1"/>
    <col min="15369" max="15369" width="27.7109375" style="115" customWidth="1"/>
    <col min="15370" max="15378" width="25.7109375" style="115" customWidth="1"/>
    <col min="15379" max="15379" width="29.7109375" style="115" customWidth="1"/>
    <col min="15380" max="15380" width="25.7109375" style="115" customWidth="1"/>
    <col min="15381" max="15381" width="44.7109375" style="115" customWidth="1"/>
    <col min="15382" max="15382" width="25.7109375" style="115" customWidth="1"/>
    <col min="15383" max="15383" width="32.140625" style="115" customWidth="1"/>
    <col min="15384" max="15384" width="38.28515625" style="115" customWidth="1"/>
    <col min="15385" max="15385" width="32.7109375" style="115" customWidth="1"/>
    <col min="15386" max="15386" width="61" style="115" customWidth="1"/>
    <col min="15387" max="15387" width="25.7109375" style="115" customWidth="1"/>
    <col min="15388" max="15388" width="206.85546875" style="115" customWidth="1"/>
    <col min="15389" max="15389" width="71.140625" style="115" customWidth="1"/>
    <col min="15390" max="15390" width="13.5703125" style="115" customWidth="1"/>
    <col min="15391" max="15617" width="9.140625" style="115"/>
    <col min="15618" max="15618" width="155.28515625" style="115" customWidth="1"/>
    <col min="15619" max="15620" width="29.85546875" style="115" customWidth="1"/>
    <col min="15621" max="15621" width="26.7109375" style="115" customWidth="1"/>
    <col min="15622" max="15622" width="26.5703125" style="115" customWidth="1"/>
    <col min="15623" max="15623" width="25.7109375" style="115" customWidth="1"/>
    <col min="15624" max="15624" width="28.5703125" style="115" customWidth="1"/>
    <col min="15625" max="15625" width="27.7109375" style="115" customWidth="1"/>
    <col min="15626" max="15634" width="25.7109375" style="115" customWidth="1"/>
    <col min="15635" max="15635" width="29.7109375" style="115" customWidth="1"/>
    <col min="15636" max="15636" width="25.7109375" style="115" customWidth="1"/>
    <col min="15637" max="15637" width="44.7109375" style="115" customWidth="1"/>
    <col min="15638" max="15638" width="25.7109375" style="115" customWidth="1"/>
    <col min="15639" max="15639" width="32.140625" style="115" customWidth="1"/>
    <col min="15640" max="15640" width="38.28515625" style="115" customWidth="1"/>
    <col min="15641" max="15641" width="32.7109375" style="115" customWidth="1"/>
    <col min="15642" max="15642" width="61" style="115" customWidth="1"/>
    <col min="15643" max="15643" width="25.7109375" style="115" customWidth="1"/>
    <col min="15644" max="15644" width="206.85546875" style="115" customWidth="1"/>
    <col min="15645" max="15645" width="71.140625" style="115" customWidth="1"/>
    <col min="15646" max="15646" width="13.5703125" style="115" customWidth="1"/>
    <col min="15647" max="15873" width="9.140625" style="115"/>
    <col min="15874" max="15874" width="155.28515625" style="115" customWidth="1"/>
    <col min="15875" max="15876" width="29.85546875" style="115" customWidth="1"/>
    <col min="15877" max="15877" width="26.7109375" style="115" customWidth="1"/>
    <col min="15878" max="15878" width="26.5703125" style="115" customWidth="1"/>
    <col min="15879" max="15879" width="25.7109375" style="115" customWidth="1"/>
    <col min="15880" max="15880" width="28.5703125" style="115" customWidth="1"/>
    <col min="15881" max="15881" width="27.7109375" style="115" customWidth="1"/>
    <col min="15882" max="15890" width="25.7109375" style="115" customWidth="1"/>
    <col min="15891" max="15891" width="29.7109375" style="115" customWidth="1"/>
    <col min="15892" max="15892" width="25.7109375" style="115" customWidth="1"/>
    <col min="15893" max="15893" width="44.7109375" style="115" customWidth="1"/>
    <col min="15894" max="15894" width="25.7109375" style="115" customWidth="1"/>
    <col min="15895" max="15895" width="32.140625" style="115" customWidth="1"/>
    <col min="15896" max="15896" width="38.28515625" style="115" customWidth="1"/>
    <col min="15897" max="15897" width="32.7109375" style="115" customWidth="1"/>
    <col min="15898" max="15898" width="61" style="115" customWidth="1"/>
    <col min="15899" max="15899" width="25.7109375" style="115" customWidth="1"/>
    <col min="15900" max="15900" width="206.85546875" style="115" customWidth="1"/>
    <col min="15901" max="15901" width="71.140625" style="115" customWidth="1"/>
    <col min="15902" max="15902" width="13.5703125" style="115" customWidth="1"/>
    <col min="15903" max="16129" width="9.140625" style="115"/>
    <col min="16130" max="16130" width="155.28515625" style="115" customWidth="1"/>
    <col min="16131" max="16132" width="29.85546875" style="115" customWidth="1"/>
    <col min="16133" max="16133" width="26.7109375" style="115" customWidth="1"/>
    <col min="16134" max="16134" width="26.5703125" style="115" customWidth="1"/>
    <col min="16135" max="16135" width="25.7109375" style="115" customWidth="1"/>
    <col min="16136" max="16136" width="28.5703125" style="115" customWidth="1"/>
    <col min="16137" max="16137" width="27.7109375" style="115" customWidth="1"/>
    <col min="16138" max="16146" width="25.7109375" style="115" customWidth="1"/>
    <col min="16147" max="16147" width="29.7109375" style="115" customWidth="1"/>
    <col min="16148" max="16148" width="25.7109375" style="115" customWidth="1"/>
    <col min="16149" max="16149" width="44.7109375" style="115" customWidth="1"/>
    <col min="16150" max="16150" width="25.7109375" style="115" customWidth="1"/>
    <col min="16151" max="16151" width="32.140625" style="115" customWidth="1"/>
    <col min="16152" max="16152" width="38.28515625" style="115" customWidth="1"/>
    <col min="16153" max="16153" width="32.7109375" style="115" customWidth="1"/>
    <col min="16154" max="16154" width="61" style="115" customWidth="1"/>
    <col min="16155" max="16155" width="25.7109375" style="115" customWidth="1"/>
    <col min="16156" max="16156" width="206.85546875" style="115" customWidth="1"/>
    <col min="16157" max="16157" width="71.140625" style="115" customWidth="1"/>
    <col min="16158" max="16158" width="13.5703125" style="115" customWidth="1"/>
    <col min="16159" max="16384" width="9.140625" style="115"/>
  </cols>
  <sheetData>
    <row r="1" spans="1:15" x14ac:dyDescent="0.2">
      <c r="A1" s="114" t="s">
        <v>139</v>
      </c>
      <c r="D1" s="116"/>
    </row>
    <row r="2" spans="1:15" x14ac:dyDescent="0.2">
      <c r="A2" s="199">
        <v>1</v>
      </c>
      <c r="B2" s="198" t="s">
        <v>140</v>
      </c>
      <c r="G2" s="114"/>
      <c r="I2" s="114"/>
    </row>
    <row r="3" spans="1:15" x14ac:dyDescent="0.2">
      <c r="A3" s="199">
        <v>2</v>
      </c>
      <c r="B3" s="198" t="s">
        <v>141</v>
      </c>
      <c r="G3" s="114"/>
      <c r="I3" s="114"/>
    </row>
    <row r="4" spans="1:15" x14ac:dyDescent="0.2">
      <c r="A4" s="199">
        <v>3</v>
      </c>
      <c r="B4" s="198" t="s">
        <v>694</v>
      </c>
      <c r="G4" s="114"/>
      <c r="I4" s="114"/>
    </row>
    <row r="5" spans="1:15" x14ac:dyDescent="0.2">
      <c r="A5" s="199">
        <v>4</v>
      </c>
      <c r="B5" s="198" t="s">
        <v>142</v>
      </c>
      <c r="G5" s="114"/>
      <c r="I5" s="114"/>
    </row>
    <row r="6" spans="1:15" x14ac:dyDescent="0.2">
      <c r="A6" s="199">
        <v>5</v>
      </c>
      <c r="B6" s="198" t="s">
        <v>143</v>
      </c>
      <c r="C6" s="114"/>
    </row>
    <row r="7" spans="1:15" x14ac:dyDescent="0.2">
      <c r="A7" s="118"/>
      <c r="B7" s="119">
        <v>1</v>
      </c>
      <c r="C7" s="119" t="str">
        <f>VLOOKUP(B7,A2:B6,2,FALSE)</f>
        <v>Hernieuwbare elektriciteit</v>
      </c>
    </row>
    <row r="8" spans="1:15" x14ac:dyDescent="0.2">
      <c r="A8" s="118"/>
    </row>
    <row r="9" spans="1:15" x14ac:dyDescent="0.2">
      <c r="A9" s="114" t="s">
        <v>144</v>
      </c>
      <c r="J9" s="114"/>
      <c r="K9" s="114"/>
      <c r="L9" s="114"/>
    </row>
    <row r="10" spans="1:15" x14ac:dyDescent="0.2">
      <c r="A10" s="115" t="str">
        <f>B2</f>
        <v>Hernieuwbare elektriciteit</v>
      </c>
      <c r="B10" s="115" t="s">
        <v>145</v>
      </c>
      <c r="C10" s="115" t="s">
        <v>146</v>
      </c>
      <c r="D10" s="115" t="s">
        <v>147</v>
      </c>
    </row>
    <row r="11" spans="1:15" x14ac:dyDescent="0.2">
      <c r="A11" s="115" t="str">
        <f>B3</f>
        <v>Hernieuwbaar gas</v>
      </c>
      <c r="B11" s="115" t="s">
        <v>148</v>
      </c>
      <c r="C11" s="115" t="s">
        <v>149</v>
      </c>
    </row>
    <row r="12" spans="1:15" x14ac:dyDescent="0.2">
      <c r="A12" s="115" t="str">
        <f>B4</f>
        <v>Hernieuwbare warmte (en gecombineerde opwekking)</v>
      </c>
      <c r="B12" s="115" t="s">
        <v>150</v>
      </c>
      <c r="C12" s="115" t="s">
        <v>151</v>
      </c>
      <c r="D12" s="115" t="s">
        <v>152</v>
      </c>
      <c r="E12" s="115" t="s">
        <v>1002</v>
      </c>
      <c r="F12" s="115" t="s">
        <v>259</v>
      </c>
    </row>
    <row r="13" spans="1:15" ht="23.25" customHeight="1" x14ac:dyDescent="0.2">
      <c r="A13" s="115" t="str">
        <f>B5</f>
        <v>CO₂-arme warmte</v>
      </c>
      <c r="B13" s="115" t="s">
        <v>153</v>
      </c>
      <c r="C13" s="120" t="s">
        <v>154</v>
      </c>
      <c r="D13" s="115" t="s">
        <v>422</v>
      </c>
      <c r="E13" s="120" t="s">
        <v>155</v>
      </c>
      <c r="F13" s="120" t="s">
        <v>156</v>
      </c>
      <c r="G13" s="120" t="s">
        <v>157</v>
      </c>
      <c r="H13" s="120" t="s">
        <v>158</v>
      </c>
    </row>
    <row r="14" spans="1:15" ht="90" customHeight="1" x14ac:dyDescent="0.2">
      <c r="A14" s="115" t="str">
        <f>B6</f>
        <v>CO₂-arme productie</v>
      </c>
      <c r="B14" s="264" t="s">
        <v>1008</v>
      </c>
      <c r="C14" s="264" t="s">
        <v>159</v>
      </c>
      <c r="D14" s="266" t="s">
        <v>857</v>
      </c>
      <c r="E14" s="266" t="s">
        <v>1003</v>
      </c>
      <c r="F14" s="266" t="s">
        <v>858</v>
      </c>
      <c r="G14" s="266" t="s">
        <v>1000</v>
      </c>
      <c r="H14" s="266" t="s">
        <v>859</v>
      </c>
      <c r="I14" s="266" t="s">
        <v>1001</v>
      </c>
      <c r="J14" s="266" t="s">
        <v>860</v>
      </c>
      <c r="K14" s="266" t="s">
        <v>861</v>
      </c>
      <c r="L14" s="267" t="s">
        <v>862</v>
      </c>
      <c r="M14" s="267" t="s">
        <v>863</v>
      </c>
      <c r="N14" s="267" t="s">
        <v>864</v>
      </c>
      <c r="O14" s="265"/>
    </row>
    <row r="16" spans="1:15" x14ac:dyDescent="0.2">
      <c r="A16" s="199" t="str">
        <f>VLOOKUP($C$7,A$10:$N$14,2,FALSE)</f>
        <v>Waterkracht</v>
      </c>
      <c r="B16" s="199">
        <v>1</v>
      </c>
      <c r="C16" s="198" t="str">
        <f t="shared" ref="C16:C28" si="0">IF(A16=0,"",A16)</f>
        <v>Waterkracht</v>
      </c>
    </row>
    <row r="17" spans="1:20" x14ac:dyDescent="0.2">
      <c r="A17" s="199" t="str">
        <f>VLOOKUP($C$7,A$10:$N$14,3,FALSE)</f>
        <v>Wind</v>
      </c>
      <c r="B17" s="199">
        <v>2</v>
      </c>
      <c r="C17" s="198" t="str">
        <f t="shared" si="0"/>
        <v>Wind</v>
      </c>
      <c r="G17" s="114"/>
    </row>
    <row r="18" spans="1:20" x14ac:dyDescent="0.2">
      <c r="A18" s="199" t="str">
        <f>VLOOKUP($C$7,A$10:$N$14,4,FALSE)</f>
        <v>Zon-PV</v>
      </c>
      <c r="B18" s="199">
        <v>3</v>
      </c>
      <c r="C18" s="198" t="str">
        <f t="shared" si="0"/>
        <v>Zon-PV</v>
      </c>
    </row>
    <row r="19" spans="1:20" x14ac:dyDescent="0.2">
      <c r="A19" s="199">
        <f>VLOOKUP($C$7,A$10:$N$14,5,FALSE)</f>
        <v>0</v>
      </c>
      <c r="B19" s="199">
        <v>4</v>
      </c>
      <c r="C19" s="198" t="str">
        <f t="shared" si="0"/>
        <v/>
      </c>
    </row>
    <row r="20" spans="1:20" x14ac:dyDescent="0.2">
      <c r="A20" s="199">
        <f>VLOOKUP($C$7,A$10:$N$14,6,FALSE)</f>
        <v>0</v>
      </c>
      <c r="B20" s="199">
        <v>5</v>
      </c>
      <c r="C20" s="198" t="str">
        <f t="shared" si="0"/>
        <v/>
      </c>
    </row>
    <row r="21" spans="1:20" x14ac:dyDescent="0.2">
      <c r="A21" s="199">
        <f>VLOOKUP($C$7,A$10:$N$14,7,FALSE)</f>
        <v>0</v>
      </c>
      <c r="B21" s="199">
        <v>6</v>
      </c>
      <c r="C21" s="198" t="str">
        <f t="shared" si="0"/>
        <v/>
      </c>
    </row>
    <row r="22" spans="1:20" x14ac:dyDescent="0.2">
      <c r="A22" s="199">
        <f>VLOOKUP($C$7,A$10:$N$14,8,FALSE)</f>
        <v>0</v>
      </c>
      <c r="B22" s="199">
        <v>7</v>
      </c>
      <c r="C22" s="198" t="str">
        <f t="shared" si="0"/>
        <v/>
      </c>
    </row>
    <row r="23" spans="1:20" x14ac:dyDescent="0.2">
      <c r="A23" s="199">
        <f>VLOOKUP($C$7,A$10:$N$14,9,FALSE)</f>
        <v>0</v>
      </c>
      <c r="B23" s="199">
        <v>8</v>
      </c>
      <c r="C23" s="198" t="str">
        <f t="shared" si="0"/>
        <v/>
      </c>
    </row>
    <row r="24" spans="1:20" x14ac:dyDescent="0.2">
      <c r="A24" s="199">
        <f>VLOOKUP($C$7,A$10:$N$14,10,FALSE)</f>
        <v>0</v>
      </c>
      <c r="B24" s="199">
        <v>9</v>
      </c>
      <c r="C24" s="198" t="str">
        <f t="shared" si="0"/>
        <v/>
      </c>
    </row>
    <row r="25" spans="1:20" x14ac:dyDescent="0.2">
      <c r="A25" s="199">
        <f>VLOOKUP($C$7,A$10:$N$14,11,FALSE)</f>
        <v>0</v>
      </c>
      <c r="B25" s="199">
        <v>10</v>
      </c>
      <c r="C25" s="198" t="str">
        <f t="shared" si="0"/>
        <v/>
      </c>
    </row>
    <row r="26" spans="1:20" x14ac:dyDescent="0.2">
      <c r="A26" s="199">
        <f>VLOOKUP($C$7,A$10:$N$14,12,FALSE)</f>
        <v>0</v>
      </c>
      <c r="B26" s="199">
        <v>11</v>
      </c>
      <c r="C26" s="198" t="str">
        <f t="shared" si="0"/>
        <v/>
      </c>
    </row>
    <row r="27" spans="1:20" x14ac:dyDescent="0.2">
      <c r="A27" s="199">
        <f>VLOOKUP($C$7,A$10:$N$14,13,FALSE)</f>
        <v>0</v>
      </c>
      <c r="B27" s="199">
        <v>12</v>
      </c>
      <c r="C27" s="198" t="str">
        <f t="shared" si="0"/>
        <v/>
      </c>
    </row>
    <row r="28" spans="1:20" x14ac:dyDescent="0.2">
      <c r="A28" s="199">
        <f>VLOOKUP($C$7,A$10:$N$14,14,FALSE)</f>
        <v>0</v>
      </c>
      <c r="B28" s="199">
        <v>13</v>
      </c>
      <c r="C28" s="198" t="str">
        <f t="shared" si="0"/>
        <v/>
      </c>
    </row>
    <row r="29" spans="1:20" ht="12.75" customHeight="1" x14ac:dyDescent="0.2">
      <c r="A29" s="121"/>
      <c r="C29" s="119">
        <v>3</v>
      </c>
      <c r="D29" s="119" t="str">
        <f>VLOOKUP(C29,B16:C28,2,FALSE)</f>
        <v>Zon-PV</v>
      </c>
    </row>
    <row r="30" spans="1:20" ht="12.75" customHeight="1" x14ac:dyDescent="0.2">
      <c r="A30" s="114" t="s">
        <v>160</v>
      </c>
      <c r="B30" s="114"/>
    </row>
    <row r="31" spans="1:20" ht="41.25" customHeight="1" x14ac:dyDescent="0.2">
      <c r="A31" s="115" t="str">
        <f>D10</f>
        <v>Zon-PV</v>
      </c>
      <c r="B31" s="122" t="str">
        <f>A185</f>
        <v>Zon-PV ≥ 15 kWp en &lt; 1 MWp aansluiting &gt; 3*80 A, gebouwgebonden (net = 50%)</v>
      </c>
      <c r="C31" s="122" t="str">
        <f>A186</f>
        <v>Zon-PV ≥ 1 MWp, gebouwgebonden (net = 50%)</v>
      </c>
      <c r="D31" s="122" t="str">
        <f>A187</f>
        <v>Zon-PV ≥ 15 kWp en &lt; 1 MWp aansluiting &gt; 3*80 A, gebouwgebonden met lichte dakaanpassing of lichtgewicht panelen (net = 50%)</v>
      </c>
      <c r="E31" s="122" t="str">
        <f>A188</f>
        <v>Zon-PV ≥ 1 MWp, gebouwgebonden met lichte dakaanpassing of lichtgewicht panelen (net = 50%)</v>
      </c>
      <c r="F31" s="122" t="str">
        <f>A189</f>
        <v>Zon-PV ≥ 15 kWp en &lt; 1 MWp aansluiting &gt; 3*80 A,  op oost-west gevels van gebouwen (net = 50%)</v>
      </c>
      <c r="G31" s="122" t="str">
        <f>A190</f>
        <v>Zon-PV ≥ 15 kWp en &lt; 1 MWp aansluiting &gt; 3*80 A, drijvend op water (net = 50%)</v>
      </c>
      <c r="H31" s="122" t="str">
        <f>A191</f>
        <v>Zon-PV ≥ 1 MWp, drijvend op water (net = 50%)</v>
      </c>
      <c r="I31" s="122" t="str">
        <f>A192</f>
        <v>Zon-PV ≥ 15 kWp en &lt; 1 MWp aansluiting &gt; 3*80 A, op land natuurinclusief (net = 50%)</v>
      </c>
      <c r="J31" s="122" t="str">
        <f>A193</f>
        <v>Zon-PV ≥ 1 MWp en &lt; 20 MWp, op land natuurinclusief (net = 50%)</v>
      </c>
      <c r="K31" s="120" t="str">
        <f>A194</f>
        <v>Zon-PV ≥ 20 MWp, op land natuurinclusief (net = 50%)</v>
      </c>
      <c r="L31" s="120" t="str">
        <f>A195</f>
        <v xml:space="preserve">Zon-PV ≥ 15kWp en &lt; 1 MWp aansluiting &gt; 3*80 A,  verticaal op land </v>
      </c>
      <c r="M31" s="122" t="str">
        <f>A196</f>
        <v xml:space="preserve">Zon-PV ≥ 1 MWp aansluiting &gt; 3*80 A,  verticaal op land </v>
      </c>
      <c r="N31" s="122" t="str">
        <f>A197</f>
        <v xml:space="preserve">Zon-PV ≥ 1 MWp en &lt; 20 MWp, zonvolgend op land natuurinclusief </v>
      </c>
      <c r="O31" s="120" t="str">
        <f>A198</f>
        <v xml:space="preserve">Zon-PV ≥ 20 MWp, zonvolgend op land natuurinclusief
</v>
      </c>
      <c r="P31" s="120" t="str">
        <f>A199</f>
        <v>Zon-PV ≥ 1 MWp, zonvolgend op water</v>
      </c>
      <c r="T31" s="120"/>
    </row>
    <row r="32" spans="1:20" ht="24.95" customHeight="1" x14ac:dyDescent="0.2">
      <c r="A32" s="115" t="str">
        <f>C10</f>
        <v>Wind</v>
      </c>
      <c r="B32" s="120" t="str">
        <f>A168</f>
        <v>Wind op land ≥ 8,0 m/s</v>
      </c>
      <c r="C32" s="120" t="str">
        <f>A169</f>
        <v>Wind op land ≥ 7,5 en &lt; 8,0 m/s</v>
      </c>
      <c r="D32" s="120" t="str">
        <f>A170</f>
        <v>Wind op land ≥ 7,0 en &lt; 7,5 m/s</v>
      </c>
      <c r="E32" s="120" t="str">
        <f>A171</f>
        <v>Wind op land ≥ 6,75 en &lt; 7,0 m/s</v>
      </c>
      <c r="F32" s="120" t="str">
        <f>A172</f>
        <v>Wind op land &lt; 6,75 m/s</v>
      </c>
      <c r="G32" s="120" t="str">
        <f>A173</f>
        <v>Wind op land, hoogtebeperkt ≥ 8,0 m/s</v>
      </c>
      <c r="H32" s="120" t="str">
        <f>A174</f>
        <v>Wind op land, hoogtebeperkt ≥ 7,5 en &lt; 8,0 m/s</v>
      </c>
      <c r="I32" s="120" t="str">
        <f>A175</f>
        <v>Wind op land, hoogtebeperkt ≥ 7,0 en &lt; 7,5 m/s</v>
      </c>
      <c r="J32" s="120" t="str">
        <f>A176</f>
        <v>Wind op land, hoogtebeperkt ≥ 6,75 en &lt; 7,0 m/s</v>
      </c>
      <c r="K32" s="120" t="str">
        <f>A177</f>
        <v>Wind op land, hoogtebeperkt &lt; 6,75 m/s</v>
      </c>
      <c r="L32" s="120" t="str">
        <f>A178</f>
        <v>Wind op waterkering ≥ 8,0 m/s</v>
      </c>
      <c r="M32" s="120" t="str">
        <f>A179</f>
        <v>Wind op waterkering ≥ 7,5 en &lt; 8,0 m/s</v>
      </c>
      <c r="N32" s="120" t="str">
        <f>A180</f>
        <v>Wind op waterkering ≥ 7,0 en &lt; 7,5 m/s</v>
      </c>
      <c r="O32" s="120" t="str">
        <f>A181</f>
        <v>Wind op waterkering ≥ 6,75 en &lt; 7,0 m/s</v>
      </c>
      <c r="P32" s="120" t="str">
        <f>A182</f>
        <v>Wind op waterkering &lt; 6,75 m/s</v>
      </c>
      <c r="T32" s="120"/>
    </row>
    <row r="33" spans="1:27" ht="43.5" customHeight="1" x14ac:dyDescent="0.2">
      <c r="A33" s="115" t="str">
        <f>B10</f>
        <v>Waterkracht</v>
      </c>
      <c r="B33" s="122" t="str">
        <f>A155</f>
        <v>Waterkracht nieuw, verval &lt; 50 cm (waaronder vrije stromingsenergie en golfenergie)</v>
      </c>
      <c r="D33" s="122"/>
      <c r="E33" s="117"/>
      <c r="F33" s="120"/>
      <c r="G33" s="120"/>
      <c r="H33" s="120"/>
      <c r="I33" s="120"/>
      <c r="J33" s="120"/>
      <c r="K33" s="120"/>
      <c r="L33" s="120"/>
      <c r="M33" s="120"/>
      <c r="N33" s="120"/>
      <c r="O33" s="120"/>
      <c r="P33" s="120"/>
      <c r="Q33" s="120"/>
      <c r="R33" s="120"/>
      <c r="S33" s="120"/>
      <c r="T33" s="120"/>
    </row>
    <row r="34" spans="1:27" ht="53.25" customHeight="1" x14ac:dyDescent="0.2">
      <c r="A34" s="115" t="str">
        <f>B11</f>
        <v>Biomassavergisting (hernieuwbaar gas)</v>
      </c>
      <c r="B34" s="122" t="str">
        <f>A108</f>
        <v>Allesvergisting, hernieuwbaar gas</v>
      </c>
      <c r="C34" s="122" t="str">
        <f>A109</f>
        <v>Allesvergisting voortzetting, hernieuwbaar gas</v>
      </c>
      <c r="D34" s="122" t="str">
        <f>A110</f>
        <v>Allesvergisting extra faciliteit (ombouw naar gas), hernieuwbaar gas</v>
      </c>
      <c r="E34" s="122" t="str">
        <f>A111</f>
        <v>Monomestvergisting, hernieuwbaar gas ≤ 110 kW</v>
      </c>
      <c r="F34" s="120" t="str">
        <f>A112</f>
        <v>Monomestvergisting, hernieuwbaar gas &gt; 110 kW en ≤ 275 kW</v>
      </c>
      <c r="G34" s="120" t="str">
        <f>A113</f>
        <v>Monomestvergisting, hernieuwbaar gas &gt; 275 kW en ≤ 1500 kW</v>
      </c>
      <c r="H34" s="122" t="str">
        <f>A114</f>
        <v>Monomestvergisting, hernieuwbaar gas &gt; 1500 kW</v>
      </c>
      <c r="I34" s="122" t="str">
        <f>A115</f>
        <v>Monomestvergisting voortzetting ≤ 450 kW, hernieuwbaar gas</v>
      </c>
      <c r="J34" s="122" t="str">
        <f>A116</f>
        <v>Monomestvergisting extra faciliteit (ombouw naar gas) ≤ 450 kW, hernieuwbaar gas</v>
      </c>
      <c r="K34" s="122" t="str">
        <f>A117</f>
        <v>RWZI verbeterde slibgisting, hernieuwbaar gas</v>
      </c>
      <c r="L34" s="120" t="str">
        <f>A118</f>
        <v>RWZI slibgisting extra faciliteit (ombouw naar gas), hernieuwbaar gas</v>
      </c>
      <c r="M34" s="120"/>
      <c r="N34" s="120"/>
      <c r="O34" s="120"/>
      <c r="P34" s="120"/>
      <c r="Q34" s="120"/>
      <c r="R34" s="120"/>
      <c r="S34" s="120"/>
      <c r="T34" s="120"/>
    </row>
    <row r="35" spans="1:27" ht="24.95" customHeight="1" x14ac:dyDescent="0.2">
      <c r="A35" s="115" t="str">
        <f>C11</f>
        <v>Biomassavergassing (hernieuwbaar gas)</v>
      </c>
      <c r="B35" s="120" t="str">
        <f>A119</f>
        <v>Biomassavergassing</v>
      </c>
      <c r="C35" s="120"/>
      <c r="D35" s="120"/>
      <c r="E35" s="120"/>
      <c r="F35" s="120"/>
      <c r="G35" s="120"/>
      <c r="H35" s="120"/>
      <c r="I35" s="120"/>
      <c r="K35" s="120"/>
      <c r="L35" s="120"/>
      <c r="M35" s="120"/>
      <c r="N35" s="120"/>
      <c r="O35" s="120"/>
      <c r="P35" s="120"/>
      <c r="Q35" s="120"/>
      <c r="R35" s="120"/>
      <c r="S35" s="120"/>
      <c r="T35" s="120"/>
    </row>
    <row r="36" spans="1:27" ht="24.95" customHeight="1" x14ac:dyDescent="0.2">
      <c r="A36" s="115" t="str">
        <f>F12</f>
        <v>Zonthermie</v>
      </c>
      <c r="B36" s="120" t="str">
        <f>A202</f>
        <v>Zonthermie ≥ 140 kW en &lt; 1 MW</v>
      </c>
      <c r="C36" s="120" t="str">
        <f>A203</f>
        <v>Zonthermie ≥ 1 MW</v>
      </c>
      <c r="D36" s="120"/>
      <c r="E36" s="120"/>
      <c r="F36" s="120"/>
      <c r="G36" s="120"/>
      <c r="H36" s="120"/>
      <c r="I36" s="120"/>
      <c r="J36" s="120"/>
      <c r="K36" s="120"/>
      <c r="L36" s="120"/>
      <c r="M36" s="120"/>
      <c r="N36" s="120"/>
      <c r="O36" s="120"/>
      <c r="P36" s="120"/>
      <c r="Q36" s="120"/>
      <c r="R36" s="120"/>
      <c r="S36" s="120"/>
      <c r="T36" s="120"/>
    </row>
    <row r="37" spans="1:27" ht="39.75" customHeight="1" x14ac:dyDescent="0.2">
      <c r="A37" s="115" t="str">
        <f>C12</f>
        <v>Biomassavergisting</v>
      </c>
      <c r="B37" s="120" t="str">
        <f>A97</f>
        <v>Allesvergisting, warmte</v>
      </c>
      <c r="C37" s="120" t="str">
        <f>A87</f>
        <v>Allesvergisting, gecombineerde opwekking</v>
      </c>
      <c r="D37" s="120" t="str">
        <f>A98</f>
        <v>Allesvergisting voortzetting, warmte</v>
      </c>
      <c r="E37" s="120" t="str">
        <f>A88</f>
        <v>Allesvergisting voortzetting, gecombineerde opwekking</v>
      </c>
      <c r="F37" s="120" t="str">
        <f>A99</f>
        <v>Monomestvergisting, warmte ≤ 110 kW</v>
      </c>
      <c r="G37" s="120" t="str">
        <f>A100</f>
        <v>Monomestvergisting, warmte &gt; 110 kW en ≤ 275 kW</v>
      </c>
      <c r="H37" s="120" t="str">
        <f>A101</f>
        <v>Monomestvergisting, warmte &gt; 275 kW en ≤ 1500 kW</v>
      </c>
      <c r="I37" s="120" t="str">
        <f>A102</f>
        <v>Monomestvergisting, warmte &gt; 1500 kW</v>
      </c>
      <c r="J37" s="120" t="str">
        <f>A89</f>
        <v>Monomestvergisting, gecombineerde opwekking ≤ 110 kW</v>
      </c>
      <c r="K37" s="120" t="str">
        <f>A90</f>
        <v>Monomestvergisting, gecombineerde opwekking &gt; 110 kW en ≤ 275 kW</v>
      </c>
      <c r="L37" s="120" t="str">
        <f>A91</f>
        <v>Monomestvergisting, gecombineerde opwekking &gt; 275 kW en ≤ 1500 kW</v>
      </c>
      <c r="M37" s="120" t="str">
        <f>A92</f>
        <v>Monomestvergisting, gecombineerde opwekking &gt; 1500 kW</v>
      </c>
      <c r="N37" s="120" t="str">
        <f>A103</f>
        <v>Monomestvergisting voortzetting, warmte ≤ 450 kW</v>
      </c>
      <c r="O37" s="120" t="str">
        <f>A93</f>
        <v xml:space="preserve">Monomestvergisting voortzetting, gecombineerde opwekking ≤ 450 kW </v>
      </c>
      <c r="P37" s="120" t="str">
        <f>A104</f>
        <v>RWZI verbeterde slibgisting, warmte</v>
      </c>
      <c r="Q37" s="120" t="str">
        <f>A94</f>
        <v>RWZI verbeterde slibgisting, gecombineerde opwekking</v>
      </c>
      <c r="AA37" s="120"/>
    </row>
    <row r="38" spans="1:27" ht="39.75" customHeight="1" x14ac:dyDescent="0.2">
      <c r="A38" s="115" t="str">
        <f>B12</f>
        <v>Biomassaverbranding</v>
      </c>
      <c r="B38" s="120" t="str">
        <f>A124</f>
        <v>Grote ketel op vaste of vloeibare biomassa ≥ 5 MWth, 4500 vollasturen</v>
      </c>
      <c r="C38" s="120" t="str">
        <f>A125</f>
        <v>Grote ketel op vaste of vloeibare biomassa ≥ 5 MWth, 5000 vollasturen</v>
      </c>
      <c r="D38" s="120" t="str">
        <f>A126</f>
        <v>Grote ketel op vaste of vloeibare biomassa ≥ 5 MWth, 5500 vollasturen</v>
      </c>
      <c r="E38" s="120" t="str">
        <f>A127</f>
        <v>Grote ketel op vaste of vloeibare biomassa ≥ 5 MWth, 6000 vollasturen</v>
      </c>
      <c r="F38" s="120" t="str">
        <f>A128</f>
        <v>Grote ketel op vaste of vloeibare biomassa ≥ 5 MWth, 6500 vollasturen</v>
      </c>
      <c r="G38" s="120" t="str">
        <f>A129</f>
        <v>Grote ketel op vaste of vloeibare biomassa ≥ 5 MWth, 7000 vollasturen</v>
      </c>
      <c r="H38" s="120" t="str">
        <f>A130</f>
        <v>Grote ketel op vaste of vloeibare biomassa ≥ 5 MWth, 7500 vollasturen</v>
      </c>
      <c r="I38" s="120" t="str">
        <f>A131</f>
        <v>Grote ketel op vaste of vloeibare biomassa ≥ 5 MWth, 8000 vollasturen</v>
      </c>
      <c r="J38" s="120" t="str">
        <f>A132</f>
        <v>Grote ketel op vaste of vloeibare biomassa ≥ 5 MWth, 8500 vollasturen</v>
      </c>
      <c r="K38" s="120" t="str">
        <f>A136</f>
        <v xml:space="preserve">Grote ketel op vaste of vloeibare biomassa ≥ 5 MWth, voortzetting </v>
      </c>
      <c r="L38" s="120" t="str">
        <f>A133</f>
        <v>Stoomketel op houtpellets ≥ 5 MWth en &lt; 50 MWth</v>
      </c>
      <c r="M38" s="120" t="str">
        <f>A134</f>
        <v>Stoomketel op houtpellets ≥ 50 MWth</v>
      </c>
      <c r="N38" s="120" t="str">
        <f>A135</f>
        <v>Directe inzet van houtpellets voor industriële toepassingen ≥ 5 MWth</v>
      </c>
      <c r="O38" s="120" t="str">
        <f>A122</f>
        <v>Ketel op vloeibare biomassa voor stadsverwarming ≥ 0,5 MWth</v>
      </c>
      <c r="P38" s="120" t="str">
        <f>A123</f>
        <v>Ketel op vloeibare biomassa voor overige toepassingen ≥ 0,5 MWth</v>
      </c>
      <c r="U38" s="120"/>
      <c r="V38" s="120"/>
      <c r="W38" s="120"/>
      <c r="X38" s="120"/>
      <c r="Y38" s="120"/>
      <c r="Z38" s="120"/>
      <c r="AA38" s="120"/>
    </row>
    <row r="39" spans="1:27" ht="39.75" customHeight="1" x14ac:dyDescent="0.2">
      <c r="A39" s="115" t="str">
        <f>D12</f>
        <v>Biomassacompostering</v>
      </c>
      <c r="B39" s="120" t="str">
        <f>A105</f>
        <v>Warmte uit compostering ≥ 0,5 MWth</v>
      </c>
      <c r="D39" s="120"/>
      <c r="E39" s="120"/>
      <c r="F39" s="120"/>
      <c r="G39" s="120"/>
      <c r="H39" s="120"/>
      <c r="I39" s="120"/>
      <c r="J39" s="120"/>
      <c r="K39" s="120"/>
      <c r="L39" s="120"/>
      <c r="M39" s="120"/>
      <c r="N39" s="120"/>
      <c r="O39" s="120"/>
      <c r="P39" s="120"/>
      <c r="Q39" s="120"/>
      <c r="U39" s="120"/>
      <c r="V39" s="120"/>
      <c r="W39" s="120"/>
      <c r="X39" s="120"/>
      <c r="Y39" s="120"/>
      <c r="Z39" s="120"/>
      <c r="AA39" s="120"/>
    </row>
    <row r="40" spans="1:27" ht="36" customHeight="1" x14ac:dyDescent="0.2">
      <c r="A40" s="115" t="str">
        <f>E12</f>
        <v>Geothermie diep</v>
      </c>
      <c r="B40" s="120" t="str">
        <f>A143</f>
        <v>Diepe geothermie &lt; 12 MWth (6000 vollasturen)</v>
      </c>
      <c r="C40" s="120" t="str">
        <f>A144</f>
        <v>Diepe geothermie ≥ 12 MWth &lt; 20 MWth (6000 vollasturen)</v>
      </c>
      <c r="D40" s="120" t="str">
        <f>A145</f>
        <v>Diepe geothermie ≥ 20 MWth (6000 vollasturen)</v>
      </c>
      <c r="E40" s="120" t="str">
        <f>A146</f>
        <v>Diepe geothermie &lt; 12 MWth, ombouw van bestaande olie- en/of gasputten (6000 vollasturen)</v>
      </c>
      <c r="F40" s="120" t="str">
        <f>A147</f>
        <v>Diepe geothermie ≥ 12 MWth en &lt; 20 MWth, ombouw van bestaande olie- en/of gasputten (6000 vollasturen)</v>
      </c>
      <c r="G40" s="120" t="str">
        <f>A148</f>
        <v>Diepe geothermie ≥ 20 MWth, basislast, ombouw van bestaande olie- en/of gasputten (6000 vollasturen)</v>
      </c>
      <c r="H40" s="120" t="str">
        <f>A149</f>
        <v>Diepe geothermie &lt; 12 MWth, verwarming gebouwde omgeving (3500 vollasturen)</v>
      </c>
      <c r="I40" s="120" t="str">
        <f>A150</f>
        <v>Diepe geothermie ≥ 12 MWth, verwarming gebouwde omgeving (3500 vollasturen)</v>
      </c>
      <c r="J40" s="120" t="str">
        <f>A151</f>
        <v>Diepe geothermie, verwarming gebouwde omgeving (5000 vollasturen)</v>
      </c>
      <c r="K40" s="120" t="str">
        <f>A152</f>
        <v>Diepe geothermie, uitbreiding productie-installatie met tenminste één aanvullende put (6000 vollasturen)</v>
      </c>
      <c r="L40" s="120"/>
      <c r="M40" s="120"/>
      <c r="N40" s="120"/>
      <c r="O40" s="120"/>
      <c r="P40" s="120"/>
      <c r="Q40" s="120"/>
      <c r="R40" s="120"/>
      <c r="S40" s="120"/>
      <c r="T40" s="120"/>
    </row>
    <row r="41" spans="1:27" ht="50.25" customHeight="1" x14ac:dyDescent="0.2">
      <c r="A41" s="115" t="str">
        <f>E13</f>
        <v>Geothermie (on)diep met warmtepomp</v>
      </c>
      <c r="B41" s="120" t="str">
        <f>A139</f>
        <v>Ondiepe geothermie (6000 vollasturen)</v>
      </c>
      <c r="C41" s="120" t="str">
        <f>A140</f>
        <v>Ondiepe geothermie, verwarming gebouwde omgeving (3500 vollasturen)</v>
      </c>
      <c r="D41" s="120" t="str">
        <f>A141</f>
        <v>Diepe geothermie met warmtepomp &lt; 12 MWth, verwarming gebouwde omgeving (6000 vollasturen)</v>
      </c>
      <c r="E41" s="120" t="str">
        <f>A142</f>
        <v>Diepe geothermie met warmtepomp ≥ 12 MWth, verwarming gebouwde omgeving (6000 vollasturen)</v>
      </c>
      <c r="F41" s="120"/>
      <c r="G41" s="120"/>
      <c r="H41" s="120"/>
      <c r="I41" s="120"/>
      <c r="J41" s="120"/>
      <c r="K41" s="120"/>
      <c r="L41" s="120"/>
      <c r="M41" s="120"/>
      <c r="N41" s="120"/>
      <c r="O41" s="120"/>
      <c r="P41" s="120"/>
      <c r="Q41" s="120"/>
      <c r="R41" s="120"/>
      <c r="S41" s="120"/>
      <c r="T41" s="120"/>
    </row>
    <row r="42" spans="1:27" ht="63" customHeight="1" x14ac:dyDescent="0.2">
      <c r="A42" s="115" t="str">
        <f>B13</f>
        <v>Aquathermie (thermische energie uit water met warmtepomp)</v>
      </c>
      <c r="B42" s="120" t="str">
        <f>A158</f>
        <v>Aquathermie, basislast, verwarming gebouwde omgeving, nieuw warmteoverdrachtstation (6000 vollasturen)</v>
      </c>
      <c r="C42" s="120" t="str">
        <f>A159</f>
        <v>Aquathermie, basislast, verwarming gebouwde omgeving (6000 vollasturen)</v>
      </c>
      <c r="D42" s="120" t="str">
        <f>A160</f>
        <v>Aquathermie, geen basislast, verwarming gebouwde omgeving (3500 vollasturen)</v>
      </c>
      <c r="E42" s="120" t="str">
        <f>A161</f>
        <v>Aquathermie met seizoensopslag, geen basislast, directe toepassing (3500 vollasturen)</v>
      </c>
      <c r="G42" s="120"/>
      <c r="H42" s="120"/>
      <c r="I42" s="120"/>
      <c r="J42" s="120"/>
      <c r="K42" s="120"/>
      <c r="L42" s="120"/>
      <c r="M42" s="120"/>
      <c r="N42" s="120"/>
      <c r="O42" s="120"/>
      <c r="P42" s="120"/>
      <c r="Q42" s="120"/>
      <c r="R42" s="120"/>
      <c r="S42" s="120"/>
      <c r="T42" s="120"/>
    </row>
    <row r="43" spans="1:27" ht="24.95" customHeight="1" x14ac:dyDescent="0.2">
      <c r="A43" s="115" t="str">
        <f>C13</f>
        <v>Zon-PVT systeem met warmtepomp</v>
      </c>
      <c r="B43" s="120" t="str">
        <f>A204</f>
        <v>Zon-PVT systeem, verwarming gebouwen in gebouwde omgeving</v>
      </c>
      <c r="C43" s="120" t="str">
        <f>A205</f>
        <v>Zon-PVT systeem, stadsverwarming</v>
      </c>
      <c r="D43" s="120"/>
      <c r="E43" s="120"/>
      <c r="G43" s="120"/>
      <c r="H43" s="120"/>
      <c r="I43" s="120"/>
      <c r="J43" s="120"/>
      <c r="K43" s="120"/>
      <c r="L43" s="120"/>
      <c r="M43" s="120"/>
      <c r="N43" s="120"/>
      <c r="O43" s="120"/>
      <c r="P43" s="120"/>
      <c r="Q43" s="120"/>
      <c r="R43" s="120"/>
      <c r="S43" s="120"/>
      <c r="T43" s="120"/>
    </row>
    <row r="44" spans="1:27" ht="63.75" customHeight="1" x14ac:dyDescent="0.2">
      <c r="A44" s="115" t="str">
        <f>D13</f>
        <v>Lucht-water warmtepomp</v>
      </c>
      <c r="B44" s="120" t="str">
        <f>A164</f>
        <v>Lucht-water-warmtepomp voor verwarming bestaande gebouwde omgeving, geen basislast, middentemperatuur (≥ 70 ⁰C)</v>
      </c>
      <c r="C44" s="120" t="str">
        <f>A165</f>
        <v>Lucht-water-warmtepomp voor verwarming bestaande gebouwde omgeving of bestaande tuinbouwkassen, geen basislast, lagetemperatuur (≥ 40 ⁰C)</v>
      </c>
      <c r="D44" s="120"/>
      <c r="E44" s="120"/>
      <c r="G44" s="120"/>
      <c r="H44" s="120"/>
      <c r="I44" s="120"/>
      <c r="J44" s="120"/>
      <c r="K44" s="120"/>
      <c r="L44" s="120"/>
      <c r="M44" s="120"/>
      <c r="N44" s="120"/>
      <c r="O44" s="120"/>
      <c r="P44" s="120"/>
      <c r="Q44" s="120"/>
      <c r="R44" s="120"/>
      <c r="S44" s="120"/>
      <c r="T44" s="120"/>
    </row>
    <row r="45" spans="1:27" ht="39" customHeight="1" x14ac:dyDescent="0.2">
      <c r="A45" s="115" t="str">
        <f>G13</f>
        <v>Industriële warmtepompen</v>
      </c>
      <c r="B45" s="120" t="str">
        <f>A296</f>
        <v>Industriële gesloten warmtepomp (8000 vollasturen)</v>
      </c>
      <c r="C45" s="120" t="str">
        <f>A297</f>
        <v>Industriële gesloten warmtepomp (5000 vollasturen)</v>
      </c>
      <c r="D45" s="120" t="str">
        <f>A298</f>
        <v>Industriële gesloten warmtepomp (3000 vollasturen)</v>
      </c>
      <c r="E45" s="120" t="str">
        <f>A299</f>
        <v>Industriële open warmtepomp (8000 vollasturen)</v>
      </c>
      <c r="F45" s="120" t="str">
        <f>A300</f>
        <v>Industriële open warmtepomp (5000 vollasturen)</v>
      </c>
      <c r="G45" s="120" t="str">
        <f>A301</f>
        <v>Industriële open warmtepomp (3000 vollasturen)</v>
      </c>
      <c r="H45" s="120" t="str">
        <f>A302</f>
        <v>Procesgeïntegreerde warmtepomp in een verdampingsproces (8000 uur)</v>
      </c>
      <c r="I45" s="120" t="str">
        <f>A303</f>
        <v>Procesgeïntegreerde warmtepomp in een verdampingsproces (5000 uur)</v>
      </c>
      <c r="J45" s="120" t="str">
        <f>A304</f>
        <v>Procesgeïntegreerde warmtepomp in een verdampingsproces (3000 uur)</v>
      </c>
      <c r="K45" s="120"/>
      <c r="L45" s="120"/>
      <c r="M45" s="120"/>
      <c r="N45" s="120"/>
      <c r="O45" s="120"/>
      <c r="P45" s="120"/>
      <c r="Q45" s="120"/>
      <c r="R45" s="120"/>
      <c r="S45" s="120"/>
      <c r="T45" s="120"/>
    </row>
    <row r="46" spans="1:27" ht="40.5" customHeight="1" x14ac:dyDescent="0.2">
      <c r="A46" s="115" t="str">
        <f>H13</f>
        <v>Restwarmtebenutting</v>
      </c>
      <c r="B46" s="261" t="str">
        <f>A307</f>
        <v>Restwarmtebenutting (zonder warmtepomp), transportleiding ≥ 0,10 en &lt; 0,20 km/MWth</v>
      </c>
      <c r="C46" s="120" t="str">
        <f>A308</f>
        <v>Restwarmtebenutting (zonder warmtepomp), transportleiding ≥ 0,20 en &lt; 0,30 km/MWth</v>
      </c>
      <c r="D46" s="120" t="str">
        <f>A309</f>
        <v>Restwarmtebenutting (zonder warmtepomp), transportleiding ≥ 0,30 en &lt; 0,40 km/MWth</v>
      </c>
      <c r="E46" s="120" t="str">
        <f>A310</f>
        <v>Restwarmtebenutting (zonder warmtepomp), transportleiding ≥ 0,40 km/MWth</v>
      </c>
      <c r="F46" s="120" t="str">
        <f>A311</f>
        <v>Restwarmtebenutting met warmtepomp, transportleiding &lt; 0,10 km/MWth</v>
      </c>
      <c r="G46" s="120" t="str">
        <f>A312</f>
        <v>Restwarmtebenutting met warmtepomp, transportleiding ≥ 0,10 en &lt; 0,20 km/MWth</v>
      </c>
      <c r="H46" s="120" t="str">
        <f>A313</f>
        <v>Restwarmtebenutting met warmtepomp, transportleiding ≥ 0,20 en &lt; 0,30 km/MWth</v>
      </c>
      <c r="I46" s="120" t="str">
        <f>A314</f>
        <v>Restwarmtebenutting met warmtepomp, transportleiding ≥ 0,30 en &lt; 0,40 km/MWth</v>
      </c>
      <c r="J46" s="120" t="str">
        <f>A315</f>
        <v>Restwarmtebenutting met warmtepomp, transportleiding ≥ 0,40 km/MWth</v>
      </c>
      <c r="K46" s="120"/>
      <c r="L46" s="120"/>
      <c r="M46" s="120"/>
      <c r="N46" s="120"/>
      <c r="O46" s="120"/>
      <c r="P46" s="120"/>
      <c r="Q46" s="120"/>
      <c r="R46" s="120"/>
      <c r="S46" s="120"/>
      <c r="T46" s="120"/>
    </row>
    <row r="47" spans="1:27" ht="62.25" customHeight="1" x14ac:dyDescent="0.2">
      <c r="A47" s="117" t="str">
        <f>F13</f>
        <v>Grootschalige elektrische boiler</v>
      </c>
      <c r="B47" s="120" t="str">
        <f>A318</f>
        <v>Grootschalige elektrische boiler, stadsverwarming</v>
      </c>
      <c r="C47" s="120" t="str">
        <f>A319</f>
        <v>Grootschalige elektrische boiler, industriele toepassing niet zijnde tuinbouw</v>
      </c>
      <c r="D47" s="120" t="str">
        <f>A320</f>
        <v>Grootschalige elektrische boiler, industriele toepassing niet zijnde tuinbouw, met hogetemperatuuropslag</v>
      </c>
      <c r="E47" s="120" t="str">
        <f>A321</f>
        <v>Grootschalige elektrische boiler voortzetting, stadsverwarming</v>
      </c>
      <c r="F47" s="120" t="str">
        <f>A322</f>
        <v>Grootschalige elektrische boiler voortzetting, industriele toepassing niet zijnde tuinbouw</v>
      </c>
      <c r="G47" s="120"/>
      <c r="H47" s="120"/>
      <c r="I47" s="120"/>
      <c r="J47" s="120"/>
      <c r="K47" s="120"/>
      <c r="L47" s="120"/>
      <c r="M47" s="120"/>
      <c r="N47" s="120"/>
      <c r="O47" s="120"/>
      <c r="P47" s="120"/>
      <c r="Q47" s="120"/>
      <c r="R47" s="120"/>
      <c r="S47" s="120"/>
      <c r="T47" s="120"/>
    </row>
    <row r="48" spans="1:27" ht="24.95" customHeight="1" x14ac:dyDescent="0.2">
      <c r="A48" s="115" t="str">
        <f>B14</f>
        <v>Waterstofproductie</v>
      </c>
      <c r="B48" s="120" t="str">
        <f>A323</f>
        <v xml:space="preserve">Waterstof uit elektrolyse, netgekoppeld met hernieuwbare stroomafnameovereenkomsten </v>
      </c>
      <c r="C48" s="120" t="str">
        <f>A324</f>
        <v>Waterstof uit elektrolyse, directe lijn met windpark of zonnepark</v>
      </c>
      <c r="D48" s="120" t="str">
        <f>A325</f>
        <v>Waterstof uit vergassing van afval</v>
      </c>
      <c r="F48" s="120"/>
      <c r="G48" s="120"/>
      <c r="H48" s="120"/>
      <c r="I48" s="120"/>
      <c r="J48" s="120"/>
      <c r="K48" s="120"/>
      <c r="L48" s="120"/>
      <c r="M48" s="120"/>
      <c r="N48" s="120"/>
      <c r="O48" s="120"/>
      <c r="P48" s="120"/>
      <c r="Q48" s="120"/>
      <c r="R48" s="120"/>
      <c r="S48" s="120"/>
      <c r="T48" s="120"/>
    </row>
    <row r="49" spans="1:20" ht="49.5" customHeight="1" x14ac:dyDescent="0.2">
      <c r="A49" s="115" t="str">
        <f>C14</f>
        <v>Geavanceerde hernieuwbare transportbrandstoffen (vloeibaar gas, benzine- en dieselvervangers)</v>
      </c>
      <c r="B49" s="120" t="str">
        <f>A331</f>
        <v>Bio-LNG uit allesvergisting (vloeibaar gas)</v>
      </c>
      <c r="C49" s="120" t="str">
        <f>A330</f>
        <v>Bio-LNG uit monomestvergisting (vloeibaar gas)</v>
      </c>
      <c r="D49" s="120" t="str">
        <f>A328</f>
        <v>Bio-ethanol uit vaste lignocellulosehoudende biomassa (benzinevervanger)</v>
      </c>
      <c r="E49" s="120" t="str">
        <f>A329</f>
        <v>Bio-methanol uit vaste lignocellulosehoudende biomassa (benzinevervanger)</v>
      </c>
      <c r="F49" s="120" t="str">
        <f>A332</f>
        <v xml:space="preserve">Diesel-en benzinevervangers uit vaste lignocellulosehoudende biomassa </v>
      </c>
      <c r="G49" s="120"/>
      <c r="H49" s="120"/>
      <c r="I49" s="120"/>
      <c r="J49" s="120"/>
      <c r="K49" s="120"/>
      <c r="L49" s="120"/>
      <c r="M49" s="120"/>
      <c r="N49" s="120"/>
      <c r="O49" s="120"/>
      <c r="P49" s="120"/>
      <c r="Q49" s="120"/>
      <c r="R49" s="120"/>
      <c r="S49" s="120"/>
      <c r="T49" s="120"/>
    </row>
    <row r="50" spans="1:20" ht="24.75" customHeight="1" x14ac:dyDescent="0.2">
      <c r="A50" s="115" t="str">
        <f>D14</f>
        <v>CO2-afvang en opslag (CCS) 4.000 uur bij biomassaverbranding en biogene procesemissies (combinatie met 4.000 uur CCU mogelijk)</v>
      </c>
      <c r="B50" s="120" t="str">
        <f>A208</f>
        <v>CCS - Gedeeltelijke CO2-opslag bij bestaande biomassaverbrandingsinstallatie ≤ 100 MWe of uit omgevingslucht, gasvormig transport</v>
      </c>
      <c r="C50" s="120" t="str">
        <f>A209</f>
        <v>CCS - Gedeeltelijke CO2-opslag bij bestaande biomassaverbrandingsinstallatie ≤ 100 MWe of uit omgevingslucht, vloeibaar transport, nieuwe vervloeiingsinstallatie</v>
      </c>
      <c r="D50" s="120" t="str">
        <f>A210</f>
        <v>CCS - Gedeeltelijke CO2-opslag bij bestaande biomassaverbrandingsinstallatie ≤ 100 MWe of uit omgevingslucht, vloeibaar transport</v>
      </c>
      <c r="E50" s="120" t="str">
        <f>A211</f>
        <v>CCS - Gedeeltelijke CO2-opslag biogene procesemissies, gasvormig transport</v>
      </c>
      <c r="F50" s="120" t="str">
        <f>A212</f>
        <v>CCS - Gedeeltelijke CO2-opslag biogene procesemissies, vloeibaar transport, nieuwe vervloeiingsinstallatie</v>
      </c>
      <c r="G50" s="120" t="str">
        <f>A213</f>
        <v>CCS - Gedeeltelijke CO2-opslag biogene procesemissies, vloeibaar transport</v>
      </c>
      <c r="H50" s="120"/>
      <c r="I50" s="120"/>
      <c r="K50" s="120"/>
      <c r="L50" s="120"/>
      <c r="M50" s="120"/>
      <c r="N50" s="120"/>
      <c r="O50" s="120"/>
      <c r="P50" s="120"/>
      <c r="Q50" s="120"/>
      <c r="R50" s="120"/>
      <c r="S50" s="120"/>
      <c r="T50" s="120"/>
    </row>
    <row r="51" spans="1:20" ht="24.95" customHeight="1" x14ac:dyDescent="0.2">
      <c r="A51" s="115" t="str">
        <f>E14</f>
        <v>CO2-afvang en opslag (CCS) 8.000 uur bij biomassaverbranding en biogene procesemissies</v>
      </c>
      <c r="B51" s="120" t="str">
        <f>A216</f>
        <v>CCS - Nieuwe post-combustion CO2-afvang, bestaande biomassaverbrandingsinstallatie ≤ 100 MWe, gasvormig transport</v>
      </c>
      <c r="C51" s="123" t="str">
        <f>A217</f>
        <v>CCS - Nieuwe post-combustion CO2-afvang, bestaande biomassaverbrandingsinstallatie ≤ 100 MWe, vloeibaar transport, nieuwe vervloeiingsinstallatie</v>
      </c>
      <c r="D51" s="120" t="str">
        <f>A218</f>
        <v>CCS - Nieuwe zuivering biogene CO2-emissie, bestaande installatie, gasvormig transport</v>
      </c>
      <c r="E51" s="120" t="str">
        <f>A219</f>
        <v>CCS - Nieuwe zuivering biogene CO2-emissie, bestaande installatie, vloeibaar transport, nieuwe vervloeiingsinstallatie</v>
      </c>
      <c r="F51" s="120" t="str">
        <f>A220</f>
        <v>CCS - Nieuwe zuivering biogene CO2-emissie, nieuwe installatie, gasvormig transport</v>
      </c>
      <c r="G51" s="123" t="str">
        <f>A221</f>
        <v>CCS - Nieuwe zuivering biogene CO2-emissie, nieuwe installatie, vloeibaar transport, nieuwe vervloeiingsinstallatie</v>
      </c>
      <c r="H51" s="120"/>
      <c r="I51" s="120"/>
      <c r="K51" s="120"/>
      <c r="L51" s="120"/>
      <c r="M51" s="120"/>
      <c r="N51" s="120"/>
      <c r="O51" s="120"/>
      <c r="P51" s="120"/>
      <c r="Q51" s="120"/>
      <c r="R51" s="120"/>
      <c r="S51" s="120"/>
      <c r="T51" s="120"/>
    </row>
    <row r="52" spans="1:20" ht="24.95" customHeight="1" x14ac:dyDescent="0.2">
      <c r="A52" s="115" t="str">
        <f>F14</f>
        <v>CO2-afvang en opslag (CCS) 4.000 uur bij afvalverbrandingsinstallaties (AVI's) (combinatie met 4.000 uur CCU mogelijk)</v>
      </c>
      <c r="B52" s="120" t="str">
        <f>A224</f>
        <v>CCS - Gedeeltelijke CO2-opslag bij bestaande afvalverbrandingsinstallaties, gasvormig transport</v>
      </c>
      <c r="C52" s="123" t="str">
        <f>A225</f>
        <v>CCS - Gedeeltelijke CO2-opslag bij bestaande afvalverbrandingsinstallaties, vloeibaar transport, nieuwe vervloeiingsinstallatie</v>
      </c>
      <c r="D52" s="120" t="str">
        <f>A226</f>
        <v>CCS - Gedeeltelijke CO2-opslag bij bestaande afvalverbrandingsinstallaties, vloeibaar transport</v>
      </c>
      <c r="E52" s="120"/>
      <c r="F52" s="120"/>
      <c r="G52" s="120"/>
      <c r="H52" s="120"/>
      <c r="I52" s="120"/>
      <c r="J52" s="120"/>
      <c r="K52" s="120"/>
      <c r="L52" s="120"/>
      <c r="M52" s="120"/>
      <c r="N52" s="120"/>
      <c r="O52" s="120"/>
      <c r="P52" s="120"/>
      <c r="Q52" s="120"/>
      <c r="R52" s="120"/>
      <c r="S52" s="120"/>
      <c r="T52" s="120"/>
    </row>
    <row r="53" spans="1:20" ht="24.95" customHeight="1" x14ac:dyDescent="0.2">
      <c r="A53" s="115" t="str">
        <f>G14</f>
        <v>CO2-afvang en opslag (CCS) 8.000 uur bij afvalverbrandingsinstallaties (AVI's)</v>
      </c>
      <c r="B53" s="120" t="str">
        <f>A229</f>
        <v>CCS - Nieuwe post-combustion CO2-afvang, bestaande afvalverbrandingsinstallatie, gasvormig transport</v>
      </c>
      <c r="C53" s="123" t="str">
        <f>A230</f>
        <v>CCS - Nieuwe post-combustion CO2-afvang, bestaande afvalverbrandingsinstallatie, vloeibaar transport, nieuwe vervloeiingsinstallatie</v>
      </c>
      <c r="D53" s="120"/>
      <c r="E53" s="120"/>
      <c r="F53" s="120"/>
      <c r="G53" s="120"/>
      <c r="H53" s="123"/>
      <c r="I53" s="120"/>
      <c r="J53" s="120"/>
      <c r="K53" s="120"/>
      <c r="L53" s="120"/>
      <c r="M53" s="120"/>
      <c r="N53" s="120"/>
      <c r="O53" s="120"/>
      <c r="P53" s="120"/>
      <c r="Q53" s="120"/>
      <c r="R53" s="120"/>
      <c r="S53" s="120"/>
      <c r="T53" s="120"/>
    </row>
    <row r="54" spans="1:20" ht="24.95" customHeight="1" x14ac:dyDescent="0.2">
      <c r="A54" s="115" t="str">
        <f>H14</f>
        <v>CO2-afvang en opslag (CCS) 4.000 uur bij (industriële) ETS-installaties (combinatie met 4.000 uur CCU mogelijk)</v>
      </c>
      <c r="B54" s="120" t="str">
        <f>A233</f>
        <v>CCS - Gedeeltelijke opslag van niet biogene CO2-procesemissie bij bestaande of nieuwe installaties, gasvormig transport</v>
      </c>
      <c r="C54" s="120" t="str">
        <f>A234</f>
        <v>CCS - Gedeeltelijke opslag van niet biogene CO2-procesemissie bij bestaande of nieuwe installaties, vloeibaar transport, nieuwe vervloeiingsinstallatie</v>
      </c>
      <c r="D54" s="120" t="str">
        <f>A235</f>
        <v>CCS - Gedeeltelijke opslag van niet biogene CO2-procesemissie bij bestaande of nieuwe installaties, vloeibaar transport</v>
      </c>
      <c r="E54" s="120"/>
      <c r="F54" s="120"/>
      <c r="G54" s="120"/>
      <c r="J54" s="120"/>
      <c r="K54" s="120"/>
      <c r="L54" s="120"/>
      <c r="M54" s="120"/>
      <c r="N54" s="120"/>
      <c r="O54" s="120"/>
      <c r="P54" s="120"/>
      <c r="Q54" s="120"/>
      <c r="R54" s="120"/>
      <c r="S54" s="120"/>
      <c r="T54" s="120"/>
    </row>
    <row r="55" spans="1:20" ht="24.95" customHeight="1" x14ac:dyDescent="0.2">
      <c r="A55" s="115" t="str">
        <f>I14</f>
        <v>CO2-afvang en opslag (CCS) 8.000 uur bij (industriële) ETS-installaties</v>
      </c>
      <c r="B55" s="120" t="str">
        <f>A238</f>
        <v>CCS - Volledige CO2-opslag bij bestaande installaties, gasvormig transport</v>
      </c>
      <c r="C55" s="120" t="str">
        <f>A239</f>
        <v>CCS - Volledige CO2-opslag bij bestaande installaties, vloeibaar transport, nieuwe vervloeiingsinstallatie</v>
      </c>
      <c r="D55" s="120" t="str">
        <f>A240</f>
        <v>CCS - Nieuwe pre-combustion zuivering van niet biogene CO2-procesemissie, bestaande installatie, gasvormig transport</v>
      </c>
      <c r="E55" s="120" t="str">
        <f>A241</f>
        <v>CCS - Nieuwe pre-combustion zuivering van niet biogene CO2-procesemissie, bestaande installatie, vloeibaar transport, nieuwe vervloeiingsinstallatie</v>
      </c>
      <c r="F55" s="120" t="str">
        <f>A242</f>
        <v>CCS - Nieuwe pre-combustion CO2-zuivering, nieuwe installatie, gasvormig transport</v>
      </c>
      <c r="G55" s="120" t="str">
        <f>A243</f>
        <v>CCS - Nieuwe pre-combustion CO2-zuivering, nieuwe installatie, vloeibaar transport, nieuwe vervloeiingsinstallatie</v>
      </c>
      <c r="H55" s="120" t="str">
        <f>A244</f>
        <v>CCS - Nieuwe pre-combustion CO2-afvang bij waterstofproductie uit restgassen voor ondervuring, gasvormig transport</v>
      </c>
      <c r="I55" s="120" t="str">
        <f>A245</f>
        <v>CCS - Nieuwe pre-combustion CO2-afvang bij waterstofproductie uit restgassen voor ondervuring, vloeibaar transport, nieuwe vervloeiingsinstallatie</v>
      </c>
      <c r="J55" s="120" t="str">
        <f>A246</f>
        <v>CCS - Nieuwe post-combustion CO2-afvang, bestaande installatie, gasvormig transport</v>
      </c>
      <c r="K55" s="120" t="str">
        <f>A247</f>
        <v>CCS - Nieuwe post-combustion CO2-afvang, bestaande installatie, vloeibaar transport, nieuwe vervloeiingsinstallatie</v>
      </c>
      <c r="L55" s="120" t="str">
        <f>A248</f>
        <v>CCS - Nieuwe post-combustion CO2-afvang, nieuwe installatie, gasvormig transport</v>
      </c>
      <c r="M55" s="120" t="str">
        <f>A249</f>
        <v>CCS - Nieuwe post-combustion CO2-afvang, nieuwe installatie, vloeibaar transport, nieuwe vervloeiingsinstallatie</v>
      </c>
      <c r="N55" s="120"/>
      <c r="O55" s="120"/>
      <c r="P55" s="120"/>
      <c r="Q55" s="120"/>
      <c r="R55" s="120"/>
      <c r="S55" s="120"/>
      <c r="T55" s="120"/>
    </row>
    <row r="56" spans="1:20" ht="24.95" customHeight="1" x14ac:dyDescent="0.2">
      <c r="A56" s="115" t="str">
        <f>J14</f>
        <v>CO2-afvang en opslag (CCS) 4.000 uur bij (industriële) niet-ETS-installaties (combinatie met 4.000 uur CCU mogelijk)</v>
      </c>
      <c r="B56" s="120" t="str">
        <f>A252</f>
        <v>CCS - Gedeeltelijke opslag niet biogene CO2-emissie bij bestaande of nieuwe installaties niet-ETS-bedrijf, gasvormig transport</v>
      </c>
      <c r="C56" s="120" t="str">
        <f>A253</f>
        <v>CCS - Gedeeltelijke opslag niet biogene CO2-emissie bij bestaande of nieuwe installaties niet-ETS-bedrijf, vloeibaar transport, nieuwe vervloeiingsinstallatie</v>
      </c>
      <c r="D56" s="120" t="str">
        <f>A254</f>
        <v>CCS - Gedeeltelijke opslag niet biogene CO2-emissie bij bestaande of nieuwe installaties niet-ETS-bedrijf, vloeibaar transport</v>
      </c>
      <c r="E56" s="120"/>
      <c r="F56" s="120"/>
      <c r="G56" s="120"/>
      <c r="H56" s="120"/>
      <c r="K56" s="120"/>
      <c r="L56" s="120"/>
      <c r="M56" s="120"/>
      <c r="N56" s="120"/>
      <c r="O56" s="120"/>
      <c r="P56" s="120"/>
      <c r="Q56" s="120"/>
      <c r="R56" s="120"/>
      <c r="S56" s="120"/>
      <c r="T56" s="120"/>
    </row>
    <row r="57" spans="1:20" ht="24.95" customHeight="1" x14ac:dyDescent="0.2">
      <c r="A57" s="115" t="str">
        <f>K14</f>
        <v>CO2-afvang en opslag (CCS) 8.000 uur bij (industriële) niet-ETS-installaties</v>
      </c>
      <c r="B57" s="120" t="str">
        <f>A257</f>
        <v>CCS - Volledige opslag niet biogene CO2-emissie bij bestaande installaties niet-ETS-bedrijf, gasvormig transport</v>
      </c>
      <c r="C57" s="120" t="str">
        <f>A258</f>
        <v>CCS - Volledige opslag niet biogene CO2-emissie bij bestaande installaties niet-ETS-bedrijf, vloeibaar transport, nieuwe vervloeiingsinstallatie</v>
      </c>
      <c r="D57" s="120" t="str">
        <f>A259</f>
        <v>CCS - Nieuwe pre-combustion zuivering niet biogene CO2-emissie, bestaande installatie niet-ETS-bedrijf, gasvormig transport</v>
      </c>
      <c r="E57" s="120" t="str">
        <f>A260</f>
        <v>CCS - Nieuwe pre-combustion zuivering niet biogene CO2-emissie, bestaande installatie niet-ETS-bedrijf, vloeibaar transport, nieuwe vervloeiingsinstallatie</v>
      </c>
      <c r="F57" s="120" t="str">
        <f>A261</f>
        <v>CCS - Nieuwe pre-combustion zuivering niet biogene CO2-emissie, nieuwe installatie niet-ETS-bedrijf, gasvormig transport</v>
      </c>
      <c r="G57" s="120" t="str">
        <f>A262</f>
        <v>CCS - Nieuwe pre-combustion zuivering niet biogene CO2-emissie, nieuwe installatie niet-ETS-bedrijf, vloeibaar transport, nieuwe vervloeiingsinstallatie</v>
      </c>
      <c r="H57" s="120" t="str">
        <f>A263</f>
        <v>CCS - Nieuwe pre-combustion CO2-afvang bij waterstofproductie uit restgassen voor ondervuring niet-ETS-bedrijf, gasvormig transport</v>
      </c>
      <c r="I57" s="120" t="str">
        <f>A264</f>
        <v>CCS - Nieuwe pre-combustion CO2-afvang bij waterstofproductie uit restgassen voor ondervuring niet-ETS-bedrijf, vloeibaar transport, nieuwe vervloeiingsinstallatie</v>
      </c>
      <c r="J57" s="120" t="str">
        <f>A265</f>
        <v>CCS - Nieuwe post-combustion CO2-afvang, bestaande installatie niet-ETS-bedrijf, gasvormig transport</v>
      </c>
      <c r="K57" s="120" t="str">
        <f>A266</f>
        <v>CCS - Nieuwe post-combustion CO2-afvang, bestaande installatie niet-ETS-bedrijf, vloeibaar transport, nieuwe vervloeiingsinstallatie</v>
      </c>
      <c r="L57" s="120" t="str">
        <f>A267</f>
        <v>CCS - Nieuwe post-combustion CO2-afvang, nieuwe installatie niet-ETS-bedrijf, gasvormig transport</v>
      </c>
      <c r="M57" s="120" t="str">
        <f>A268</f>
        <v>CCS - Nieuwe post-combustion CO2-afvang, nieuwe installatie niet-ETS-bedrijf, vloeibaar transport, nieuwe vervloeiingsinstallatie</v>
      </c>
      <c r="N57" s="120"/>
      <c r="O57" s="120"/>
      <c r="P57" s="120"/>
      <c r="Q57" s="120"/>
      <c r="R57" s="120"/>
      <c r="S57" s="120"/>
      <c r="T57" s="120"/>
    </row>
    <row r="58" spans="1:20" ht="24.95" customHeight="1" x14ac:dyDescent="0.2">
      <c r="A58" s="115" t="str">
        <f>L14</f>
        <v>CO2-afvang en gebruik (CCU) 4.000 uur, gasvormig (transport)</v>
      </c>
      <c r="B58" s="120" t="str">
        <f>A271</f>
        <v>CCU - Nieuwe pre-combustion CO2-zuivering, bestaande installatie, gasvormig transport</v>
      </c>
      <c r="C58" s="120" t="str">
        <f>A272</f>
        <v>CCU - Nieuwe pre-combustion CO2-zuivering, bestaande installatie, gasvormig transport, nieuwe transportleiding</v>
      </c>
      <c r="D58" s="120" t="str">
        <f>A273</f>
        <v>CCU - Nieuwe pre-combustion CO2-zuivering, nieuwe installatie, gasvormig transport</v>
      </c>
      <c r="E58" s="120" t="str">
        <f>A274</f>
        <v>CCU - Nieuwe pre-combustion CO2-zuivering, nieuwe installatie, gasvormig transport, nieuwe transportleiding</v>
      </c>
      <c r="F58" s="120" t="str">
        <f>A275</f>
        <v>CCU - Nieuwe post-combustion CO2-afvang, bestaande installatie, gasvormig transport</v>
      </c>
      <c r="G58" s="120" t="str">
        <f>A276</f>
        <v>CCU - Nieuwe post-combustion CO2-afvang, bestaande installatie, gasvormig transport, nieuwe transportleiding</v>
      </c>
      <c r="H58" s="120" t="str">
        <f>A277</f>
        <v>CCU - Nieuwe post-combustion CO2-afvang, nieuwe installatie, gasvormig transport</v>
      </c>
      <c r="I58" s="120" t="str">
        <f>A278</f>
        <v>CCU - Nieuwe post-combustion CO2-afvang, nieuwe installatie, gasvormig transport, nieuwe transportleiding</v>
      </c>
      <c r="J58" s="120" t="str">
        <f>A279</f>
        <v>CCU - Nieuwe post-combustion CO2-afvang bij bestaande afvalverbrandingsinstallatie of bestaande biomassaverbrandingsinstallatie &gt; 50 MWth, gasvormig transport</v>
      </c>
      <c r="K58" s="120" t="str">
        <f>A280</f>
        <v>CCU - Nieuwe post-combustion CO2-afvang bij bestaande afvalverbrandingsinstallatie of bestaande biomassaverbrandingsinstallatie &gt; 50 MWth, gasvormig transport, nieuwe transportleiding</v>
      </c>
      <c r="L58" s="120" t="str">
        <f>A281</f>
        <v>CCU - Nieuwe post-combustion CO₂-afvang bij biomassaverbrandingsinstallatie ≤ 50 MWth, gasvormig</v>
      </c>
      <c r="Q58" s="120"/>
      <c r="R58" s="120"/>
      <c r="S58" s="120"/>
      <c r="T58" s="120"/>
    </row>
    <row r="59" spans="1:20" ht="24.95" customHeight="1" x14ac:dyDescent="0.2">
      <c r="A59" s="115" t="str">
        <f>M14</f>
        <v>CO2-afvang en gebruik (CCU) 4.000 uur, vloeibaar (transport)</v>
      </c>
      <c r="B59" s="120" t="str">
        <f>A284</f>
        <v>CCU - Nieuwe pre-combustion CO2-zuivering, bestaande installatie, vloeibaar transport, nieuwe vervloeiingsinstallatie</v>
      </c>
      <c r="C59" s="120" t="str">
        <f>A285</f>
        <v>Extra CCU - Bestaande CO2-afvang, bestaande installatie, vloeibaar transport, nieuwe vervloeiingsinstallatie</v>
      </c>
      <c r="D59" s="120" t="str">
        <f>A286</f>
        <v>CCU - Nieuwe pre-combustion CO2-zuivering, nieuwe installatie, vloeibaar transport, nieuwe vervloeiingsinstallatie</v>
      </c>
      <c r="E59" s="120" t="str">
        <f>A287</f>
        <v>CCU - Nieuwe post-combustion CO2-afvang, bestaande installatie, vloeibaar transport, nieuwe vervloeiingsinstallatie</v>
      </c>
      <c r="F59" s="120" t="str">
        <f>A288</f>
        <v>CCU - Nieuwe post-combustion CO2-afvang, nieuwe installatie, vloeibaar transport, nieuwe vervloeiingsinstallatie</v>
      </c>
      <c r="G59" s="120" t="str">
        <f>A289</f>
        <v>CCU - Nieuwe post-combustion CO2-afvang bij bestaande afvalverbrandingsinstallatie of bestaande biomassaverbrandingsinstallatie &gt; 50 MWth, vloeibaar transport, nieuwe vervloeiingsinstallatie</v>
      </c>
      <c r="H59" s="120" t="str">
        <f>A290</f>
        <v>CCU - Nieuwe post-combustion CO₂-afvang bij biomassaverbrandingsinstallatie ≤ 50 MWth, vloeibaar, nieuwe vervloeiingsinstallatie</v>
      </c>
      <c r="K59" s="120"/>
      <c r="L59" s="120"/>
      <c r="M59" s="120"/>
      <c r="N59" s="120"/>
      <c r="O59" s="120"/>
      <c r="P59" s="120"/>
      <c r="Q59" s="120"/>
      <c r="R59" s="120"/>
      <c r="S59" s="120"/>
      <c r="T59" s="120"/>
    </row>
    <row r="60" spans="1:20" ht="24.95" customHeight="1" x14ac:dyDescent="0.2">
      <c r="A60" s="115" t="str">
        <f>N14</f>
        <v>CO2-afvang en gebruik (CCU) 4.000 uur, direct aircapture</v>
      </c>
      <c r="B60" s="120" t="str">
        <f>A293</f>
        <v xml:space="preserve">CCU - CO2 afvang uit omgevingslucht voor gebruik in tuinbouwkassen </v>
      </c>
      <c r="C60" s="120"/>
      <c r="D60" s="120"/>
      <c r="E60" s="120"/>
      <c r="F60" s="120"/>
      <c r="G60" s="120"/>
      <c r="H60" s="120"/>
      <c r="K60" s="120"/>
      <c r="L60" s="120"/>
      <c r="M60" s="120"/>
      <c r="N60" s="120"/>
      <c r="O60" s="120"/>
      <c r="P60" s="120"/>
      <c r="Q60" s="120"/>
      <c r="R60" s="120"/>
      <c r="S60" s="120"/>
      <c r="T60" s="120"/>
    </row>
    <row r="61" spans="1:20" ht="24.95" customHeight="1" x14ac:dyDescent="0.2">
      <c r="B61" s="120"/>
      <c r="C61" s="120"/>
      <c r="D61" s="120"/>
      <c r="E61" s="120"/>
      <c r="F61" s="120"/>
      <c r="G61" s="120"/>
      <c r="H61" s="120"/>
      <c r="I61" s="120"/>
      <c r="J61" s="120"/>
      <c r="K61" s="120"/>
      <c r="L61" s="120"/>
      <c r="M61" s="120"/>
      <c r="N61" s="120"/>
      <c r="O61" s="120"/>
      <c r="P61" s="120"/>
      <c r="Q61" s="120"/>
      <c r="R61" s="120"/>
      <c r="S61" s="120"/>
      <c r="T61" s="120"/>
    </row>
    <row r="62" spans="1:20" ht="37.5" customHeight="1" x14ac:dyDescent="0.2">
      <c r="A62" s="199" t="str">
        <f>VLOOKUP($D$29,A$31:$T$60,2,FALSE)</f>
        <v>Zon-PV ≥ 15 kWp en &lt; 1 MWp aansluiting &gt; 3*80 A, gebouwgebonden (net = 50%)</v>
      </c>
      <c r="B62" s="199">
        <v>1</v>
      </c>
      <c r="C62" s="200" t="str">
        <f t="shared" ref="C62:C78" si="1">IF(A62=0,"",A62)</f>
        <v>Zon-PV ≥ 15 kWp en &lt; 1 MWp aansluiting &gt; 3*80 A, gebouwgebonden (net = 50%)</v>
      </c>
      <c r="D62" s="120"/>
      <c r="E62" s="120"/>
      <c r="F62" s="120"/>
      <c r="G62" s="120"/>
      <c r="H62" s="120"/>
      <c r="I62" s="120"/>
      <c r="J62" s="120"/>
      <c r="K62" s="120"/>
      <c r="L62" s="120"/>
      <c r="M62" s="120"/>
      <c r="N62" s="120"/>
      <c r="O62" s="120"/>
      <c r="P62" s="120"/>
      <c r="Q62" s="120"/>
      <c r="R62" s="120"/>
      <c r="S62" s="120"/>
      <c r="T62" s="120"/>
    </row>
    <row r="63" spans="1:20" ht="43.5" customHeight="1" x14ac:dyDescent="0.2">
      <c r="A63" s="199" t="str">
        <f>VLOOKUP($D$29,A$31:$T$60,3,FALSE)</f>
        <v>Zon-PV ≥ 1 MWp, gebouwgebonden (net = 50%)</v>
      </c>
      <c r="B63" s="199">
        <v>2</v>
      </c>
      <c r="C63" s="200" t="str">
        <f t="shared" si="1"/>
        <v>Zon-PV ≥ 1 MWp, gebouwgebonden (net = 50%)</v>
      </c>
      <c r="D63" s="120"/>
      <c r="E63" s="120"/>
      <c r="F63" s="120"/>
      <c r="G63" s="120"/>
      <c r="H63" s="120"/>
      <c r="I63" s="120"/>
      <c r="J63" s="120"/>
      <c r="K63" s="120"/>
      <c r="L63" s="120"/>
      <c r="M63" s="120"/>
      <c r="N63" s="120"/>
      <c r="O63" s="120"/>
      <c r="P63" s="120"/>
      <c r="Q63" s="120"/>
      <c r="R63" s="120"/>
      <c r="S63" s="120"/>
      <c r="T63" s="120"/>
    </row>
    <row r="64" spans="1:20" ht="24.95" customHeight="1" x14ac:dyDescent="0.2">
      <c r="A64" s="199" t="str">
        <f>VLOOKUP($D$29,A$31:$T$60,4,FALSE)</f>
        <v>Zon-PV ≥ 15 kWp en &lt; 1 MWp aansluiting &gt; 3*80 A, gebouwgebonden met lichte dakaanpassing of lichtgewicht panelen (net = 50%)</v>
      </c>
      <c r="B64" s="199">
        <v>3</v>
      </c>
      <c r="C64" s="200" t="str">
        <f t="shared" si="1"/>
        <v>Zon-PV ≥ 15 kWp en &lt; 1 MWp aansluiting &gt; 3*80 A, gebouwgebonden met lichte dakaanpassing of lichtgewicht panelen (net = 50%)</v>
      </c>
      <c r="D64" s="120"/>
      <c r="E64" s="120"/>
      <c r="F64" s="120"/>
      <c r="G64" s="120"/>
      <c r="H64" s="120"/>
      <c r="I64" s="120"/>
      <c r="J64" s="120"/>
      <c r="K64" s="120"/>
      <c r="L64" s="120"/>
      <c r="M64" s="120"/>
      <c r="N64" s="120"/>
      <c r="O64" s="120"/>
      <c r="P64" s="120"/>
      <c r="Q64" s="120"/>
      <c r="R64" s="120"/>
      <c r="S64" s="120"/>
      <c r="T64" s="120"/>
    </row>
    <row r="65" spans="1:20" ht="24.95" customHeight="1" x14ac:dyDescent="0.2">
      <c r="A65" s="199" t="str">
        <f>VLOOKUP($D$29,A$31:$T$60,5,FALSE)</f>
        <v>Zon-PV ≥ 1 MWp, gebouwgebonden met lichte dakaanpassing of lichtgewicht panelen (net = 50%)</v>
      </c>
      <c r="B65" s="199">
        <v>4</v>
      </c>
      <c r="C65" s="200" t="str">
        <f t="shared" si="1"/>
        <v>Zon-PV ≥ 1 MWp, gebouwgebonden met lichte dakaanpassing of lichtgewicht panelen (net = 50%)</v>
      </c>
      <c r="D65" s="120"/>
      <c r="E65" s="120"/>
      <c r="F65" s="120"/>
      <c r="G65" s="120"/>
      <c r="H65" s="120"/>
      <c r="I65" s="120"/>
      <c r="J65" s="120"/>
      <c r="K65" s="120"/>
      <c r="L65" s="120"/>
      <c r="M65" s="120"/>
      <c r="N65" s="120"/>
      <c r="O65" s="120"/>
      <c r="P65" s="120"/>
      <c r="Q65" s="120"/>
      <c r="R65" s="120"/>
      <c r="S65" s="120"/>
      <c r="T65" s="120"/>
    </row>
    <row r="66" spans="1:20" ht="24.95" customHeight="1" x14ac:dyDescent="0.2">
      <c r="A66" s="199" t="str">
        <f>VLOOKUP($D$29,A$31:$T$60,6,FALSE)</f>
        <v>Zon-PV ≥ 15 kWp en &lt; 1 MWp aansluiting &gt; 3*80 A,  op oost-west gevels van gebouwen (net = 50%)</v>
      </c>
      <c r="B66" s="199">
        <v>5</v>
      </c>
      <c r="C66" s="200" t="str">
        <f t="shared" si="1"/>
        <v>Zon-PV ≥ 15 kWp en &lt; 1 MWp aansluiting &gt; 3*80 A,  op oost-west gevels van gebouwen (net = 50%)</v>
      </c>
      <c r="D66" s="120"/>
      <c r="E66" s="120"/>
      <c r="F66" s="120"/>
      <c r="G66" s="120"/>
      <c r="H66" s="120"/>
      <c r="I66" s="120"/>
      <c r="J66" s="120"/>
      <c r="K66" s="120"/>
      <c r="L66" s="120"/>
      <c r="M66" s="120"/>
      <c r="N66" s="120"/>
      <c r="O66" s="120"/>
      <c r="P66" s="120"/>
      <c r="Q66" s="120"/>
      <c r="R66" s="120"/>
      <c r="S66" s="120"/>
      <c r="T66" s="120"/>
    </row>
    <row r="67" spans="1:20" ht="24.95" customHeight="1" x14ac:dyDescent="0.2">
      <c r="A67" s="199" t="str">
        <f>VLOOKUP($D$29,A$31:$T$60,7,FALSE)</f>
        <v>Zon-PV ≥ 15 kWp en &lt; 1 MWp aansluiting &gt; 3*80 A, drijvend op water (net = 50%)</v>
      </c>
      <c r="B67" s="199">
        <v>6</v>
      </c>
      <c r="C67" s="200" t="str">
        <f t="shared" si="1"/>
        <v>Zon-PV ≥ 15 kWp en &lt; 1 MWp aansluiting &gt; 3*80 A, drijvend op water (net = 50%)</v>
      </c>
      <c r="D67" s="120"/>
      <c r="E67" s="120"/>
      <c r="F67" s="120"/>
      <c r="G67" s="120"/>
      <c r="H67" s="120"/>
      <c r="I67" s="120"/>
      <c r="J67" s="120"/>
      <c r="K67" s="120"/>
      <c r="L67" s="120"/>
      <c r="M67" s="120"/>
      <c r="N67" s="120"/>
      <c r="O67" s="120"/>
      <c r="P67" s="120"/>
      <c r="Q67" s="120"/>
      <c r="R67" s="120"/>
      <c r="S67" s="120"/>
      <c r="T67" s="120"/>
    </row>
    <row r="68" spans="1:20" ht="24.95" customHeight="1" x14ac:dyDescent="0.2">
      <c r="A68" s="199" t="str">
        <f>VLOOKUP($D$29,A$31:$T$60,8,FALSE)</f>
        <v>Zon-PV ≥ 1 MWp, drijvend op water (net = 50%)</v>
      </c>
      <c r="B68" s="199">
        <v>7</v>
      </c>
      <c r="C68" s="200" t="str">
        <f t="shared" si="1"/>
        <v>Zon-PV ≥ 1 MWp, drijvend op water (net = 50%)</v>
      </c>
      <c r="D68" s="120"/>
      <c r="E68" s="120"/>
      <c r="F68" s="120"/>
      <c r="G68" s="120"/>
      <c r="H68" s="120"/>
      <c r="I68" s="120"/>
      <c r="J68" s="120"/>
      <c r="K68" s="120"/>
      <c r="L68" s="120"/>
      <c r="M68" s="120"/>
      <c r="N68" s="120"/>
      <c r="O68" s="120"/>
      <c r="P68" s="120"/>
      <c r="Q68" s="120"/>
      <c r="R68" s="120"/>
      <c r="S68" s="120"/>
      <c r="T68" s="120"/>
    </row>
    <row r="69" spans="1:20" ht="24.95" customHeight="1" x14ac:dyDescent="0.2">
      <c r="A69" s="199" t="str">
        <f>VLOOKUP($D$29,A$31:$T$60,9,FALSE)</f>
        <v>Zon-PV ≥ 15 kWp en &lt; 1 MWp aansluiting &gt; 3*80 A, op land natuurinclusief (net = 50%)</v>
      </c>
      <c r="B69" s="199">
        <v>8</v>
      </c>
      <c r="C69" s="200" t="str">
        <f t="shared" si="1"/>
        <v>Zon-PV ≥ 15 kWp en &lt; 1 MWp aansluiting &gt; 3*80 A, op land natuurinclusief (net = 50%)</v>
      </c>
      <c r="D69" s="120"/>
      <c r="E69" s="120"/>
      <c r="F69" s="120"/>
      <c r="G69" s="120"/>
      <c r="H69" s="120"/>
      <c r="I69" s="120"/>
      <c r="J69" s="120"/>
      <c r="K69" s="120"/>
      <c r="L69" s="120"/>
      <c r="M69" s="120"/>
      <c r="N69" s="120"/>
      <c r="O69" s="120"/>
      <c r="P69" s="120"/>
      <c r="Q69" s="120"/>
      <c r="R69" s="120"/>
      <c r="S69" s="120"/>
      <c r="T69" s="120"/>
    </row>
    <row r="70" spans="1:20" ht="24.95" customHeight="1" x14ac:dyDescent="0.2">
      <c r="A70" s="199" t="str">
        <f>VLOOKUP($D$29,A$31:$T$60,10,FALSE)</f>
        <v>Zon-PV ≥ 1 MWp en &lt; 20 MWp, op land natuurinclusief (net = 50%)</v>
      </c>
      <c r="B70" s="199">
        <v>9</v>
      </c>
      <c r="C70" s="200" t="str">
        <f t="shared" si="1"/>
        <v>Zon-PV ≥ 1 MWp en &lt; 20 MWp, op land natuurinclusief (net = 50%)</v>
      </c>
      <c r="D70" s="120"/>
      <c r="E70" s="120"/>
      <c r="F70" s="120"/>
      <c r="G70" s="120"/>
      <c r="H70" s="120"/>
      <c r="I70" s="120"/>
      <c r="J70" s="120"/>
      <c r="K70" s="120"/>
      <c r="L70" s="120"/>
      <c r="M70" s="120"/>
      <c r="N70" s="120"/>
      <c r="O70" s="120"/>
      <c r="P70" s="120"/>
      <c r="Q70" s="120"/>
      <c r="R70" s="120"/>
      <c r="S70" s="120"/>
      <c r="T70" s="120"/>
    </row>
    <row r="71" spans="1:20" ht="24.95" customHeight="1" x14ac:dyDescent="0.2">
      <c r="A71" s="199" t="str">
        <f>VLOOKUP($D$29,A$31:$T$60,11,FALSE)</f>
        <v>Zon-PV ≥ 20 MWp, op land natuurinclusief (net = 50%)</v>
      </c>
      <c r="B71" s="199">
        <v>10</v>
      </c>
      <c r="C71" s="200" t="str">
        <f t="shared" si="1"/>
        <v>Zon-PV ≥ 20 MWp, op land natuurinclusief (net = 50%)</v>
      </c>
      <c r="D71" s="120"/>
      <c r="E71" s="120"/>
      <c r="F71" s="120"/>
      <c r="G71" s="120"/>
      <c r="H71" s="120"/>
      <c r="I71" s="120"/>
      <c r="J71" s="120"/>
      <c r="K71" s="120"/>
      <c r="L71" s="120"/>
      <c r="M71" s="120"/>
      <c r="N71" s="120"/>
      <c r="O71" s="120"/>
      <c r="P71" s="120"/>
      <c r="Q71" s="120"/>
      <c r="R71" s="120"/>
      <c r="S71" s="120"/>
      <c r="T71" s="120"/>
    </row>
    <row r="72" spans="1:20" ht="24.95" customHeight="1" x14ac:dyDescent="0.2">
      <c r="A72" s="199" t="str">
        <f>VLOOKUP($D$29,A$31:$T$60,12,FALSE)</f>
        <v xml:space="preserve">Zon-PV ≥ 15kWp en &lt; 1 MWp aansluiting &gt; 3*80 A,  verticaal op land </v>
      </c>
      <c r="B72" s="199">
        <v>11</v>
      </c>
      <c r="C72" s="200" t="str">
        <f t="shared" si="1"/>
        <v xml:space="preserve">Zon-PV ≥ 15kWp en &lt; 1 MWp aansluiting &gt; 3*80 A,  verticaal op land </v>
      </c>
      <c r="D72" s="120"/>
      <c r="E72" s="120"/>
      <c r="F72" s="120"/>
      <c r="G72" s="120"/>
      <c r="H72" s="120"/>
      <c r="I72" s="120"/>
      <c r="J72" s="120"/>
      <c r="K72" s="120"/>
      <c r="L72" s="120"/>
      <c r="M72" s="120"/>
      <c r="N72" s="120"/>
      <c r="O72" s="120"/>
      <c r="P72" s="120"/>
      <c r="Q72" s="120"/>
      <c r="R72" s="120"/>
      <c r="S72" s="120"/>
      <c r="T72" s="120"/>
    </row>
    <row r="73" spans="1:20" ht="24.95" customHeight="1" x14ac:dyDescent="0.2">
      <c r="A73" s="199" t="str">
        <f>VLOOKUP($D$29,A$31:$T$60,13,FALSE)</f>
        <v xml:space="preserve">Zon-PV ≥ 1 MWp aansluiting &gt; 3*80 A,  verticaal op land </v>
      </c>
      <c r="B73" s="199">
        <v>12</v>
      </c>
      <c r="C73" s="200" t="str">
        <f t="shared" si="1"/>
        <v xml:space="preserve">Zon-PV ≥ 1 MWp aansluiting &gt; 3*80 A,  verticaal op land </v>
      </c>
      <c r="D73" s="120"/>
      <c r="E73" s="120"/>
      <c r="F73" s="120"/>
      <c r="G73" s="120"/>
      <c r="H73" s="120"/>
      <c r="I73" s="120"/>
      <c r="J73" s="120"/>
      <c r="K73" s="120"/>
      <c r="L73" s="120"/>
      <c r="M73" s="120"/>
      <c r="N73" s="120"/>
      <c r="O73" s="120"/>
      <c r="P73" s="120"/>
      <c r="Q73" s="120"/>
      <c r="R73" s="120"/>
      <c r="S73" s="120"/>
      <c r="T73" s="120"/>
    </row>
    <row r="74" spans="1:20" ht="24.95" customHeight="1" x14ac:dyDescent="0.2">
      <c r="A74" s="199" t="str">
        <f>VLOOKUP($D$29,A$31:$T$60,14,FALSE)</f>
        <v xml:space="preserve">Zon-PV ≥ 1 MWp en &lt; 20 MWp, zonvolgend op land natuurinclusief </v>
      </c>
      <c r="B74" s="199">
        <v>13</v>
      </c>
      <c r="C74" s="200" t="str">
        <f t="shared" si="1"/>
        <v xml:space="preserve">Zon-PV ≥ 1 MWp en &lt; 20 MWp, zonvolgend op land natuurinclusief </v>
      </c>
      <c r="D74" s="120"/>
      <c r="E74" s="120"/>
      <c r="F74" s="120"/>
      <c r="G74" s="120"/>
      <c r="H74" s="120"/>
      <c r="I74" s="120"/>
      <c r="J74" s="120"/>
      <c r="K74" s="120"/>
      <c r="L74" s="120"/>
      <c r="M74" s="120"/>
      <c r="N74" s="120"/>
      <c r="O74" s="120"/>
      <c r="P74" s="120"/>
      <c r="Q74" s="120"/>
      <c r="R74" s="120"/>
      <c r="S74" s="120"/>
      <c r="T74" s="120"/>
    </row>
    <row r="75" spans="1:20" ht="24.95" customHeight="1" x14ac:dyDescent="0.2">
      <c r="A75" s="199" t="str">
        <f>VLOOKUP($D$29,A$31:$T$60,15,FALSE)</f>
        <v xml:space="preserve">Zon-PV ≥ 20 MWp, zonvolgend op land natuurinclusief
</v>
      </c>
      <c r="B75" s="199">
        <v>14</v>
      </c>
      <c r="C75" s="200" t="str">
        <f t="shared" si="1"/>
        <v xml:space="preserve">Zon-PV ≥ 20 MWp, zonvolgend op land natuurinclusief
</v>
      </c>
      <c r="D75" s="120"/>
      <c r="E75" s="120"/>
      <c r="F75" s="120"/>
      <c r="G75" s="120"/>
      <c r="H75" s="120"/>
      <c r="I75" s="120"/>
      <c r="J75" s="120"/>
      <c r="K75" s="120"/>
      <c r="L75" s="120"/>
      <c r="M75" s="120"/>
      <c r="N75" s="120"/>
      <c r="O75" s="120"/>
      <c r="P75" s="120"/>
      <c r="Q75" s="120"/>
      <c r="R75" s="120"/>
      <c r="S75" s="120"/>
      <c r="T75" s="120"/>
    </row>
    <row r="76" spans="1:20" ht="24.95" customHeight="1" x14ac:dyDescent="0.2">
      <c r="A76" s="199" t="str">
        <f>VLOOKUP($D$29,A$31:$T$60,16,FALSE)</f>
        <v>Zon-PV ≥ 1 MWp, zonvolgend op water</v>
      </c>
      <c r="B76" s="199">
        <v>15</v>
      </c>
      <c r="C76" s="200" t="str">
        <f t="shared" si="1"/>
        <v>Zon-PV ≥ 1 MWp, zonvolgend op water</v>
      </c>
      <c r="D76" s="120"/>
      <c r="E76" s="120"/>
      <c r="F76" s="120"/>
      <c r="G76" s="120"/>
      <c r="H76" s="120"/>
      <c r="I76" s="120"/>
      <c r="J76" s="120"/>
      <c r="K76" s="120"/>
      <c r="L76" s="120"/>
      <c r="M76" s="120"/>
      <c r="N76" s="120"/>
      <c r="O76" s="120"/>
      <c r="P76" s="120"/>
      <c r="Q76" s="120"/>
      <c r="R76" s="120"/>
      <c r="S76" s="120"/>
      <c r="T76" s="120"/>
    </row>
    <row r="77" spans="1:20" ht="24.95" customHeight="1" x14ac:dyDescent="0.2">
      <c r="A77" s="199">
        <f>VLOOKUP($D$29,A$31:$T$60,17,FALSE)</f>
        <v>0</v>
      </c>
      <c r="B77" s="199">
        <v>16</v>
      </c>
      <c r="C77" s="200" t="str">
        <f t="shared" si="1"/>
        <v/>
      </c>
      <c r="D77" s="120"/>
      <c r="E77" s="120"/>
      <c r="F77" s="120"/>
      <c r="G77" s="120"/>
      <c r="H77" s="120"/>
      <c r="I77" s="120"/>
      <c r="J77" s="120"/>
      <c r="K77" s="120"/>
      <c r="L77" s="120"/>
      <c r="M77" s="120"/>
      <c r="N77" s="120"/>
      <c r="O77" s="120"/>
      <c r="P77" s="120"/>
      <c r="Q77" s="120"/>
      <c r="R77" s="120"/>
      <c r="S77" s="120"/>
      <c r="T77" s="120"/>
    </row>
    <row r="78" spans="1:20" ht="24.95" customHeight="1" x14ac:dyDescent="0.2">
      <c r="A78" s="199">
        <f>VLOOKUP($D$29,A$31:$T$60,18,FALSE)</f>
        <v>0</v>
      </c>
      <c r="B78" s="199">
        <v>17</v>
      </c>
      <c r="C78" s="200" t="str">
        <f t="shared" si="1"/>
        <v/>
      </c>
      <c r="D78" s="120"/>
      <c r="E78" s="120"/>
      <c r="F78" s="120"/>
      <c r="G78" s="120"/>
      <c r="H78" s="120"/>
      <c r="I78" s="120"/>
      <c r="J78" s="120"/>
      <c r="K78" s="120"/>
      <c r="L78" s="120"/>
      <c r="M78" s="120"/>
      <c r="N78" s="120"/>
      <c r="O78" s="120"/>
      <c r="P78" s="120"/>
      <c r="Q78" s="120"/>
      <c r="R78" s="120"/>
      <c r="S78" s="120"/>
      <c r="T78" s="120"/>
    </row>
    <row r="79" spans="1:20" ht="24.95" customHeight="1" x14ac:dyDescent="0.2">
      <c r="A79" s="199">
        <f>VLOOKUP($D$29,A$31:$T$60,19,FALSE)</f>
        <v>0</v>
      </c>
      <c r="B79" s="199">
        <v>18</v>
      </c>
      <c r="C79" s="200" t="str">
        <f>IF(A79=0,"",A79)</f>
        <v/>
      </c>
      <c r="D79" s="120"/>
      <c r="E79" s="120"/>
      <c r="F79" s="120"/>
      <c r="G79" s="120"/>
      <c r="H79" s="120"/>
      <c r="I79" s="120"/>
      <c r="J79" s="120"/>
      <c r="K79" s="120"/>
      <c r="L79" s="120"/>
      <c r="M79" s="120"/>
      <c r="N79" s="120"/>
      <c r="O79" s="120"/>
      <c r="P79" s="120"/>
      <c r="Q79" s="120"/>
      <c r="R79" s="120"/>
      <c r="S79" s="120"/>
      <c r="T79" s="120"/>
    </row>
    <row r="80" spans="1:20" ht="24.95" customHeight="1" x14ac:dyDescent="0.2">
      <c r="A80" s="199">
        <f>VLOOKUP($D$29,A$31:$T$60,20,FALSE)</f>
        <v>0</v>
      </c>
      <c r="B80" s="199">
        <v>19</v>
      </c>
      <c r="C80" s="200" t="str">
        <f>IF(A80=0,"",A80)</f>
        <v/>
      </c>
      <c r="D80" s="120"/>
      <c r="E80" s="120"/>
      <c r="F80" s="120"/>
      <c r="G80" s="120"/>
      <c r="H80" s="120"/>
      <c r="I80" s="120"/>
      <c r="J80" s="120"/>
      <c r="K80" s="120"/>
      <c r="L80" s="120"/>
      <c r="M80" s="120"/>
      <c r="N80" s="120"/>
      <c r="O80" s="120"/>
      <c r="P80" s="120"/>
      <c r="Q80" s="120"/>
      <c r="R80" s="120"/>
      <c r="S80" s="120"/>
      <c r="T80" s="120"/>
    </row>
    <row r="81" spans="1:41" ht="36.75" customHeight="1" x14ac:dyDescent="0.2">
      <c r="A81" s="114" t="s">
        <v>865</v>
      </c>
      <c r="C81" s="124">
        <v>1</v>
      </c>
      <c r="D81" s="124" t="str">
        <f>VLOOKUP(C81,B62:C80,2,FALSE)</f>
        <v>Zon-PV ≥ 15 kWp en &lt; 1 MWp aansluiting &gt; 3*80 A, gebouwgebonden (net = 50%)</v>
      </c>
      <c r="E81" s="120"/>
      <c r="F81" s="120"/>
      <c r="G81" s="120"/>
      <c r="H81" s="120"/>
      <c r="I81" s="120"/>
      <c r="J81" s="120"/>
      <c r="K81" s="120"/>
      <c r="L81" s="120"/>
      <c r="M81" s="120"/>
      <c r="N81" s="120"/>
      <c r="O81" s="120"/>
      <c r="P81" s="120"/>
      <c r="Q81" s="120"/>
      <c r="R81" s="120"/>
      <c r="S81" s="120"/>
      <c r="T81" s="120"/>
    </row>
    <row r="82" spans="1:41" ht="12.75" customHeight="1" x14ac:dyDescent="0.2">
      <c r="B82" s="114"/>
    </row>
    <row r="83" spans="1:41" ht="12.75" customHeight="1" x14ac:dyDescent="0.2">
      <c r="B83" s="114"/>
    </row>
    <row r="84" spans="1:41" ht="72.75" customHeight="1" x14ac:dyDescent="0.3">
      <c r="A84" s="205" t="s">
        <v>161</v>
      </c>
      <c r="B84" s="207" t="s">
        <v>162</v>
      </c>
      <c r="C84" s="562" t="s">
        <v>163</v>
      </c>
      <c r="D84" s="563"/>
      <c r="E84" s="207" t="s">
        <v>430</v>
      </c>
      <c r="F84" s="208" t="s">
        <v>164</v>
      </c>
      <c r="G84" s="207" t="s">
        <v>165</v>
      </c>
      <c r="H84" s="562" t="s">
        <v>762</v>
      </c>
      <c r="I84" s="563"/>
      <c r="J84" s="563"/>
      <c r="K84" s="563"/>
      <c r="L84" s="207" t="s">
        <v>166</v>
      </c>
      <c r="M84" s="208" t="s">
        <v>167</v>
      </c>
      <c r="N84" s="564" t="s">
        <v>168</v>
      </c>
      <c r="O84" s="564"/>
      <c r="P84" s="564"/>
      <c r="Q84" s="564"/>
      <c r="R84" s="565" t="s">
        <v>169</v>
      </c>
      <c r="S84" s="565"/>
      <c r="T84" s="565"/>
      <c r="U84" s="565"/>
      <c r="V84" s="565"/>
      <c r="W84" s="561" t="s">
        <v>170</v>
      </c>
      <c r="X84" s="561" t="s">
        <v>171</v>
      </c>
      <c r="Y84" s="561" t="s">
        <v>172</v>
      </c>
      <c r="Z84" s="561" t="s">
        <v>173</v>
      </c>
      <c r="AA84" s="215" t="s">
        <v>174</v>
      </c>
      <c r="AB84" s="223" t="s">
        <v>425</v>
      </c>
      <c r="AC84" s="372" t="s">
        <v>550</v>
      </c>
      <c r="AD84" s="372" t="s">
        <v>1015</v>
      </c>
      <c r="AE84" s="373"/>
      <c r="AF84" s="208" t="s">
        <v>1016</v>
      </c>
      <c r="AG84" s="236" t="s">
        <v>551</v>
      </c>
      <c r="AH84" s="236" t="s">
        <v>719</v>
      </c>
      <c r="AI84" s="257"/>
      <c r="AJ84" s="230"/>
      <c r="AK84" s="230"/>
      <c r="AL84" s="230"/>
      <c r="AM84" s="230"/>
      <c r="AN84" s="230"/>
      <c r="AO84" s="230"/>
    </row>
    <row r="85" spans="1:41" ht="84.75" customHeight="1" x14ac:dyDescent="0.2">
      <c r="A85" s="127"/>
      <c r="B85" s="127"/>
      <c r="C85" s="128" t="s">
        <v>175</v>
      </c>
      <c r="D85" s="128" t="s">
        <v>869</v>
      </c>
      <c r="E85" s="127"/>
      <c r="F85" s="127"/>
      <c r="G85" s="127"/>
      <c r="H85" s="128" t="s">
        <v>870</v>
      </c>
      <c r="I85" s="128"/>
      <c r="J85" s="214" t="s">
        <v>176</v>
      </c>
      <c r="K85" s="128" t="s">
        <v>177</v>
      </c>
      <c r="L85" s="127"/>
      <c r="M85" s="127"/>
      <c r="N85" s="127" t="s">
        <v>578</v>
      </c>
      <c r="O85" s="127" t="s">
        <v>579</v>
      </c>
      <c r="P85" s="127" t="s">
        <v>580</v>
      </c>
      <c r="Q85" s="127" t="s">
        <v>423</v>
      </c>
      <c r="R85" s="127"/>
      <c r="S85" s="127"/>
      <c r="T85" s="127"/>
      <c r="U85" s="127"/>
      <c r="V85" s="127"/>
      <c r="W85" s="566"/>
      <c r="X85" s="561"/>
      <c r="Y85" s="561"/>
      <c r="Z85" s="561"/>
      <c r="AA85" s="127"/>
      <c r="AB85" s="127"/>
      <c r="AC85" s="128" t="s">
        <v>549</v>
      </c>
      <c r="AD85" s="128"/>
      <c r="AE85" s="128" t="s">
        <v>720</v>
      </c>
      <c r="AF85" s="127"/>
      <c r="AG85" s="235"/>
      <c r="AH85" s="128"/>
      <c r="AI85" s="120"/>
    </row>
    <row r="86" spans="1:41" x14ac:dyDescent="0.2">
      <c r="A86" s="204" t="s">
        <v>687</v>
      </c>
      <c r="B86" s="209"/>
      <c r="C86" s="206"/>
      <c r="D86" s="127"/>
      <c r="E86" s="206"/>
      <c r="F86" s="206"/>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row>
    <row r="87" spans="1:41" ht="15" x14ac:dyDescent="0.25">
      <c r="A87" s="127" t="s">
        <v>178</v>
      </c>
      <c r="B87" s="210">
        <v>0.10340000000000001</v>
      </c>
      <c r="C87" s="201">
        <v>4.1300000000000003E-2</v>
      </c>
      <c r="D87" s="210"/>
      <c r="E87" s="203">
        <v>5.7700000000000001E-2</v>
      </c>
      <c r="F87" s="203">
        <v>0.1804</v>
      </c>
      <c r="G87" s="238">
        <f>(B87-E87)*1000/F87</f>
        <v>253.32594235033261</v>
      </c>
      <c r="H87" s="210">
        <v>7.1099999999999997E-2</v>
      </c>
      <c r="I87" s="210" t="str">
        <f>""</f>
        <v/>
      </c>
      <c r="J87" s="210"/>
      <c r="K87" s="210">
        <v>8.2000000000000007E-3</v>
      </c>
      <c r="L87" s="127">
        <v>7535</v>
      </c>
      <c r="M87" s="127">
        <v>12</v>
      </c>
      <c r="N87" s="201">
        <f>MIN($B87,(75*$F87/1000)+$E87)</f>
        <v>7.1230000000000002E-2</v>
      </c>
      <c r="O87" s="201">
        <f>MIN($B87,(150*$F87/1000)+$E87)</f>
        <v>8.4760000000000002E-2</v>
      </c>
      <c r="P87" s="201">
        <f>MIN($B87,(225*$F87/1000)+$E87)</f>
        <v>9.8290000000000002E-2</v>
      </c>
      <c r="Q87" s="201">
        <f>MIN($B87,(300*$F87/1000)+$E87)</f>
        <v>0.10340000000000001</v>
      </c>
      <c r="R87" s="127" t="s">
        <v>179</v>
      </c>
      <c r="S87" s="127" t="s">
        <v>180</v>
      </c>
      <c r="T87" s="127" t="s">
        <v>181</v>
      </c>
      <c r="U87" s="127" t="s">
        <v>182</v>
      </c>
      <c r="V87" s="127" t="s">
        <v>183</v>
      </c>
      <c r="W87" s="127" t="s">
        <v>184</v>
      </c>
      <c r="X87" s="127" t="s">
        <v>185</v>
      </c>
      <c r="Y87" s="127" t="s">
        <v>186</v>
      </c>
      <c r="Z87" s="127" t="s">
        <v>187</v>
      </c>
      <c r="AA87" s="127" t="str">
        <f>IF(Productie_en_afzet!$D$17&gt;=1.5,"Indien het nominaal thermisch ingangsvermogen van de installatie ≥ 2 MW is, gelden er duurzaamheidseisen voor de ingezette biomassa!","")</f>
        <v/>
      </c>
      <c r="AB87" s="127">
        <v>12</v>
      </c>
      <c r="AC87" s="210">
        <f>(PBL_OT_2025!$F$3/POWER(1.02,7)+1.13*(PBL_OT_2025!$F$30/POWER(1.02,7)+PBL_OT_2025!$D$100)/90%)/(1+1.13)</f>
        <v>5.1333706623638523E-2</v>
      </c>
      <c r="AD87" s="210">
        <f>K87</f>
        <v>8.2000000000000007E-3</v>
      </c>
      <c r="AE87" s="210" t="str">
        <f>IF(AC87&lt;B87,"",FALSE)</f>
        <v/>
      </c>
      <c r="AF87" s="367" t="s">
        <v>684</v>
      </c>
      <c r="AG87" s="232" t="s">
        <v>900</v>
      </c>
      <c r="AH87" s="127"/>
    </row>
    <row r="88" spans="1:41" ht="15" x14ac:dyDescent="0.25">
      <c r="A88" s="127" t="s">
        <v>724</v>
      </c>
      <c r="B88" s="210">
        <v>8.7099999999999997E-2</v>
      </c>
      <c r="C88" s="202">
        <v>4.1300000000000003E-2</v>
      </c>
      <c r="D88" s="210"/>
      <c r="E88" s="203">
        <v>5.7700000000000001E-2</v>
      </c>
      <c r="F88" s="203">
        <v>0.1804</v>
      </c>
      <c r="G88" s="238">
        <f>(B88-E88)*1000/F88</f>
        <v>162.97117516629709</v>
      </c>
      <c r="H88" s="210">
        <v>7.1099999999999997E-2</v>
      </c>
      <c r="I88" s="210" t="str">
        <f>""</f>
        <v/>
      </c>
      <c r="J88" s="210"/>
      <c r="K88" s="210">
        <v>8.2000000000000007E-3</v>
      </c>
      <c r="L88" s="127">
        <v>7535</v>
      </c>
      <c r="M88" s="127">
        <v>12</v>
      </c>
      <c r="N88" s="201">
        <f>MIN($B88,(75*$F88/1000)+$E88)</f>
        <v>7.1230000000000002E-2</v>
      </c>
      <c r="O88" s="201">
        <f>MIN($B88,(150*$F88/1000)+$E88)</f>
        <v>8.4760000000000002E-2</v>
      </c>
      <c r="P88" s="201">
        <f>MIN($B88,(225*$F88/1000)+$E88)</f>
        <v>8.7099999999999997E-2</v>
      </c>
      <c r="Q88" s="201">
        <f>MIN($B88,(300*$F88/1000)+$E88)</f>
        <v>8.7099999999999997E-2</v>
      </c>
      <c r="R88" s="127" t="s">
        <v>179</v>
      </c>
      <c r="S88" s="127" t="s">
        <v>180</v>
      </c>
      <c r="T88" s="127" t="s">
        <v>181</v>
      </c>
      <c r="U88" s="127" t="s">
        <v>182</v>
      </c>
      <c r="V88" s="127" t="s">
        <v>183</v>
      </c>
      <c r="W88" s="127" t="s">
        <v>734</v>
      </c>
      <c r="X88" s="127" t="s">
        <v>185</v>
      </c>
      <c r="Y88" s="127" t="s">
        <v>186</v>
      </c>
      <c r="Z88" s="127" t="s">
        <v>187</v>
      </c>
      <c r="AA88" s="127" t="str">
        <f>IF(Productie_en_afzet!$D$17&gt;=1.5,"Indien het nominaal thermisch ingangsvermogen van de installatie ≥ 2 MW is, gelden er duurzaamheidseisen voor de ingezette biomassa!","")</f>
        <v/>
      </c>
      <c r="AB88" s="127">
        <v>12</v>
      </c>
      <c r="AC88" s="210">
        <f>(PBL_OT_2025!$F$3/POWER(1.02,7)+1.13*(PBL_OT_2025!$F$30/POWER(1.02,7)+PBL_OT_2025!$D$100)/90%)/(1+1.13)</f>
        <v>5.1333706623638523E-2</v>
      </c>
      <c r="AD88" s="210">
        <f t="shared" ref="AD88:AD151" si="2">K88</f>
        <v>8.2000000000000007E-3</v>
      </c>
      <c r="AE88" s="210" t="str">
        <f t="shared" ref="AE88:AE94" si="3">IF(AC88&lt;B88,"",FALSE)</f>
        <v/>
      </c>
      <c r="AF88" s="367" t="s">
        <v>684</v>
      </c>
      <c r="AG88" s="232" t="s">
        <v>900</v>
      </c>
      <c r="AH88" s="127"/>
    </row>
    <row r="89" spans="1:41" ht="15" x14ac:dyDescent="0.25">
      <c r="A89" s="127" t="s">
        <v>571</v>
      </c>
      <c r="B89" s="210">
        <v>0.29405999999999999</v>
      </c>
      <c r="C89" s="202">
        <v>6.4799999999999996E-2</v>
      </c>
      <c r="D89" s="210"/>
      <c r="E89" s="203">
        <v>8.3099999999999993E-2</v>
      </c>
      <c r="F89" s="203">
        <v>0.70320000000000005</v>
      </c>
      <c r="G89" s="238">
        <f t="shared" ref="G89:G152" si="4">(B89-E89)*1000/F89</f>
        <v>299.99999999999994</v>
      </c>
      <c r="H89" s="210">
        <v>9.5600000000000004E-2</v>
      </c>
      <c r="I89" s="210" t="str">
        <f>""</f>
        <v/>
      </c>
      <c r="J89" s="210"/>
      <c r="K89" s="210">
        <v>5.8999999999999999E-3</v>
      </c>
      <c r="L89" s="127">
        <v>4974</v>
      </c>
      <c r="M89" s="127">
        <v>12</v>
      </c>
      <c r="N89" s="201">
        <f t="shared" ref="N89:N94" si="5">MIN($B89,(75*$F89/1000)+$E89)</f>
        <v>0.13583999999999999</v>
      </c>
      <c r="O89" s="201">
        <f t="shared" ref="O89:O94" si="6">MIN($B89,(150*$F89/1000)+$E89)</f>
        <v>0.18858</v>
      </c>
      <c r="P89" s="201">
        <f t="shared" ref="P89:P94" si="7">MIN($B89,(225*$F89/1000)+$E89)</f>
        <v>0.24131999999999998</v>
      </c>
      <c r="Q89" s="201">
        <f t="shared" ref="Q89:Q94" si="8">MIN($B89,(300*$F89/1000)+$E89)</f>
        <v>0.29405999999999999</v>
      </c>
      <c r="R89" s="127" t="s">
        <v>179</v>
      </c>
      <c r="S89" s="127" t="s">
        <v>180</v>
      </c>
      <c r="T89" s="127" t="s">
        <v>181</v>
      </c>
      <c r="U89" s="127" t="s">
        <v>182</v>
      </c>
      <c r="V89" s="127" t="s">
        <v>183</v>
      </c>
      <c r="W89" s="127" t="s">
        <v>184</v>
      </c>
      <c r="X89" s="127" t="s">
        <v>185</v>
      </c>
      <c r="Y89" s="127" t="s">
        <v>186</v>
      </c>
      <c r="Z89" s="127" t="s">
        <v>187</v>
      </c>
      <c r="AA89" s="127" t="str">
        <f>""</f>
        <v/>
      </c>
      <c r="AB89" s="127">
        <v>12</v>
      </c>
      <c r="AC89" s="210">
        <f>(PBL_OT_2025!$F$3/POWER(1.02,7)+0.62*(PBL_OT_2025!$F$30/POWER(1.02,7)+PBL_OT_2025!$D$98)/90%)/(1+0.62)</f>
        <v>7.5976084197345667E-2</v>
      </c>
      <c r="AD89" s="210">
        <f t="shared" si="2"/>
        <v>5.8999999999999999E-3</v>
      </c>
      <c r="AE89" s="210" t="str">
        <f t="shared" si="3"/>
        <v/>
      </c>
      <c r="AF89" s="367" t="s">
        <v>685</v>
      </c>
      <c r="AG89" s="232" t="s">
        <v>888</v>
      </c>
      <c r="AH89" s="127"/>
    </row>
    <row r="90" spans="1:41" ht="15" x14ac:dyDescent="0.25">
      <c r="A90" s="127" t="s">
        <v>754</v>
      </c>
      <c r="B90" s="210">
        <v>0.23499999999999999</v>
      </c>
      <c r="C90" s="202">
        <v>6.7100000000000007E-2</v>
      </c>
      <c r="D90" s="210"/>
      <c r="E90" s="203">
        <v>8.48E-2</v>
      </c>
      <c r="F90" s="203">
        <v>0.66869999999999996</v>
      </c>
      <c r="G90" s="238">
        <f t="shared" si="4"/>
        <v>224.61492448033496</v>
      </c>
      <c r="H90" s="210">
        <v>9.7600000000000006E-2</v>
      </c>
      <c r="I90" s="210"/>
      <c r="J90" s="210"/>
      <c r="K90" s="210">
        <v>6.7000000000000002E-3</v>
      </c>
      <c r="L90" s="127">
        <v>5299</v>
      </c>
      <c r="M90" s="127">
        <v>12</v>
      </c>
      <c r="N90" s="201">
        <f>MIN($B90,(75*$F90/1000)+$E90)</f>
        <v>0.1349525</v>
      </c>
      <c r="O90" s="201">
        <f t="shared" si="6"/>
        <v>0.18510499999999999</v>
      </c>
      <c r="P90" s="201">
        <f t="shared" si="7"/>
        <v>0.23499999999999999</v>
      </c>
      <c r="Q90" s="201">
        <f t="shared" si="8"/>
        <v>0.23499999999999999</v>
      </c>
      <c r="R90" s="127" t="s">
        <v>179</v>
      </c>
      <c r="S90" s="127" t="s">
        <v>180</v>
      </c>
      <c r="T90" s="127" t="s">
        <v>181</v>
      </c>
      <c r="U90" s="127" t="s">
        <v>182</v>
      </c>
      <c r="V90" s="127" t="s">
        <v>183</v>
      </c>
      <c r="W90" s="127" t="s">
        <v>184</v>
      </c>
      <c r="X90" s="127" t="s">
        <v>185</v>
      </c>
      <c r="Y90" s="127" t="s">
        <v>186</v>
      </c>
      <c r="Z90" s="127" t="s">
        <v>187</v>
      </c>
      <c r="AA90" s="127"/>
      <c r="AB90" s="127">
        <v>12</v>
      </c>
      <c r="AC90" s="210">
        <f>(PBL_OT_2025!$F$3/POWER(1.02,7)+0.76*(PBL_OT_2025!$F$30/POWER(1.02,7)+PBL_OT_2025!$D$98)/90%)/(1+0.76)</f>
        <v>7.7912326646510613E-2</v>
      </c>
      <c r="AD90" s="210">
        <f t="shared" si="2"/>
        <v>6.7000000000000002E-3</v>
      </c>
      <c r="AE90" s="210" t="str">
        <f t="shared" si="3"/>
        <v/>
      </c>
      <c r="AF90" s="367" t="s">
        <v>977</v>
      </c>
      <c r="AG90" s="232" t="s">
        <v>976</v>
      </c>
      <c r="AH90" s="127"/>
    </row>
    <row r="91" spans="1:41" ht="15" x14ac:dyDescent="0.25">
      <c r="A91" s="127" t="s">
        <v>756</v>
      </c>
      <c r="B91" s="210">
        <v>0.18668999999999999</v>
      </c>
      <c r="C91" s="202">
        <v>4.7399999999999998E-2</v>
      </c>
      <c r="D91" s="210"/>
      <c r="E91" s="203">
        <v>6.5699999999999995E-2</v>
      </c>
      <c r="F91" s="203">
        <v>0.40329999999999999</v>
      </c>
      <c r="G91" s="238">
        <f t="shared" si="4"/>
        <v>300</v>
      </c>
      <c r="H91" s="210">
        <v>7.8200000000000006E-2</v>
      </c>
      <c r="I91" s="210"/>
      <c r="J91" s="210"/>
      <c r="K91" s="210">
        <v>5.8999999999999999E-3</v>
      </c>
      <c r="L91" s="127">
        <v>5647</v>
      </c>
      <c r="M91" s="127">
        <v>12</v>
      </c>
      <c r="N91" s="201">
        <f>MIN($B91,(75*$F91/1000)+$E91)</f>
        <v>9.5947499999999991E-2</v>
      </c>
      <c r="O91" s="201">
        <f t="shared" si="6"/>
        <v>0.126195</v>
      </c>
      <c r="P91" s="201">
        <f t="shared" si="7"/>
        <v>0.15644249999999998</v>
      </c>
      <c r="Q91" s="201">
        <f t="shared" si="8"/>
        <v>0.18668999999999999</v>
      </c>
      <c r="R91" s="127" t="s">
        <v>179</v>
      </c>
      <c r="S91" s="127" t="s">
        <v>180</v>
      </c>
      <c r="T91" s="127" t="s">
        <v>181</v>
      </c>
      <c r="U91" s="127" t="s">
        <v>182</v>
      </c>
      <c r="V91" s="127" t="s">
        <v>183</v>
      </c>
      <c r="W91" s="127" t="s">
        <v>184</v>
      </c>
      <c r="X91" s="127" t="s">
        <v>185</v>
      </c>
      <c r="Y91" s="127" t="s">
        <v>186</v>
      </c>
      <c r="Z91" s="127" t="s">
        <v>187</v>
      </c>
      <c r="AA91" s="127"/>
      <c r="AB91" s="127">
        <v>12</v>
      </c>
      <c r="AC91" s="210">
        <f>(PBL_OT_2025!$F$3/POWER(1.02,7)+0.62*(PBL_OT_2025!$F$30/POWER(1.02,7)+PBL_OT_2025!$D$99)/90%)/(1+0.62)</f>
        <v>5.8600654634027735E-2</v>
      </c>
      <c r="AD91" s="210">
        <f t="shared" si="2"/>
        <v>5.8999999999999999E-3</v>
      </c>
      <c r="AE91" s="210" t="str">
        <f t="shared" si="3"/>
        <v/>
      </c>
      <c r="AF91" s="367" t="s">
        <v>978</v>
      </c>
      <c r="AG91" s="232" t="s">
        <v>892</v>
      </c>
      <c r="AH91" s="127"/>
    </row>
    <row r="92" spans="1:41" ht="15" x14ac:dyDescent="0.25">
      <c r="A92" s="127" t="s">
        <v>755</v>
      </c>
      <c r="B92" s="211">
        <v>0.1231</v>
      </c>
      <c r="C92" s="202">
        <v>4.2799999999999998E-2</v>
      </c>
      <c r="D92" s="210"/>
      <c r="E92" s="203">
        <v>6.1100000000000002E-2</v>
      </c>
      <c r="F92" s="203">
        <v>0.42109999999999997</v>
      </c>
      <c r="G92" s="238">
        <f t="shared" si="4"/>
        <v>147.2334362384232</v>
      </c>
      <c r="H92" s="210">
        <v>7.3599999999999999E-2</v>
      </c>
      <c r="I92" s="210" t="str">
        <f>""</f>
        <v/>
      </c>
      <c r="J92" s="210"/>
      <c r="K92" s="210">
        <v>5.8999999999999999E-3</v>
      </c>
      <c r="L92" s="127">
        <v>5647</v>
      </c>
      <c r="M92" s="127">
        <v>12</v>
      </c>
      <c r="N92" s="201">
        <f t="shared" si="5"/>
        <v>9.2682500000000001E-2</v>
      </c>
      <c r="O92" s="201">
        <f t="shared" si="6"/>
        <v>0.1231</v>
      </c>
      <c r="P92" s="201">
        <f t="shared" si="7"/>
        <v>0.1231</v>
      </c>
      <c r="Q92" s="201">
        <f t="shared" si="8"/>
        <v>0.1231</v>
      </c>
      <c r="R92" s="127" t="s">
        <v>179</v>
      </c>
      <c r="S92" s="127" t="s">
        <v>180</v>
      </c>
      <c r="T92" s="127" t="s">
        <v>181</v>
      </c>
      <c r="U92" s="127" t="s">
        <v>182</v>
      </c>
      <c r="V92" s="127" t="s">
        <v>183</v>
      </c>
      <c r="W92" s="127" t="s">
        <v>184</v>
      </c>
      <c r="X92" s="127" t="s">
        <v>185</v>
      </c>
      <c r="Y92" s="127" t="s">
        <v>186</v>
      </c>
      <c r="Z92" s="127" t="s">
        <v>187</v>
      </c>
      <c r="AA92" s="127" t="str">
        <f>IF(Productie_en_afzet!$D$17&gt;=1.5,"Indien het nominaal thermisch ingangsvermogen van de installatie ≥ 2 MW is, gelden er duurzaamheidseisen voor de ingezette biomassa!","")</f>
        <v/>
      </c>
      <c r="AB92" s="127">
        <v>12</v>
      </c>
      <c r="AC92" s="210">
        <f>(PBL_OT_2025!$F$3/POWER(1.02,7)+0.62*(PBL_OT_2025!$F$30/POWER(1.02,7)+PBL_OT_2025!$D$100)/90%)/(1+0.62)</f>
        <v>5.3994518851062052E-2</v>
      </c>
      <c r="AD92" s="210">
        <f t="shared" si="2"/>
        <v>5.8999999999999999E-3</v>
      </c>
      <c r="AE92" s="210" t="str">
        <f t="shared" si="3"/>
        <v/>
      </c>
      <c r="AF92" s="367" t="s">
        <v>686</v>
      </c>
      <c r="AG92" s="232" t="s">
        <v>898</v>
      </c>
      <c r="AH92" s="127"/>
    </row>
    <row r="93" spans="1:41" ht="15" x14ac:dyDescent="0.25">
      <c r="A93" s="127" t="s">
        <v>725</v>
      </c>
      <c r="B93" s="210">
        <v>0.1148</v>
      </c>
      <c r="C93" s="202">
        <v>4.7399999999999998E-2</v>
      </c>
      <c r="D93" s="210"/>
      <c r="E93" s="203">
        <v>6.5699999999999995E-2</v>
      </c>
      <c r="F93" s="203">
        <v>0.40329999999999999</v>
      </c>
      <c r="G93" s="238">
        <f>(B93-E93)*1000/F93</f>
        <v>121.745598809819</v>
      </c>
      <c r="H93" s="210">
        <v>7.8200000000000006E-2</v>
      </c>
      <c r="I93" s="210" t="str">
        <f>""</f>
        <v/>
      </c>
      <c r="J93" s="210"/>
      <c r="K93" s="210">
        <v>5.8999999999999999E-3</v>
      </c>
      <c r="L93" s="127">
        <v>5647</v>
      </c>
      <c r="M93" s="127">
        <v>12</v>
      </c>
      <c r="N93" s="201">
        <f>MIN($B93,(75*$F93/1000)+$E93)</f>
        <v>9.5947499999999991E-2</v>
      </c>
      <c r="O93" s="201">
        <f>MIN($B93,(150*$F93/1000)+$E93)</f>
        <v>0.1148</v>
      </c>
      <c r="P93" s="201">
        <f>MIN($B93,(225*$F93/1000)+$E93)</f>
        <v>0.1148</v>
      </c>
      <c r="Q93" s="201">
        <f>MIN($B93,(300*$F93/1000)+$E93)</f>
        <v>0.1148</v>
      </c>
      <c r="R93" s="127" t="s">
        <v>179</v>
      </c>
      <c r="S93" s="127" t="s">
        <v>180</v>
      </c>
      <c r="T93" s="127" t="s">
        <v>181</v>
      </c>
      <c r="U93" s="127" t="s">
        <v>182</v>
      </c>
      <c r="V93" s="127" t="s">
        <v>183</v>
      </c>
      <c r="W93" s="127" t="s">
        <v>734</v>
      </c>
      <c r="X93" s="127" t="s">
        <v>185</v>
      </c>
      <c r="Y93" s="127" t="s">
        <v>186</v>
      </c>
      <c r="Z93" s="127" t="s">
        <v>187</v>
      </c>
      <c r="AA93" s="127" t="str">
        <f>""</f>
        <v/>
      </c>
      <c r="AB93" s="127">
        <v>12</v>
      </c>
      <c r="AC93" s="210">
        <f>(PBL_OT_2025!$F$3/POWER(1.02,7)+0.62*(PBL_OT_2025!$F$30/POWER(1.02,7)+PBL_OT_2025!$D$99)/90%)/(1+0.62)</f>
        <v>5.8600654634027735E-2</v>
      </c>
      <c r="AD93" s="210">
        <f t="shared" si="2"/>
        <v>5.8999999999999999E-3</v>
      </c>
      <c r="AE93" s="210" t="str">
        <f t="shared" si="3"/>
        <v/>
      </c>
      <c r="AF93" s="367" t="s">
        <v>978</v>
      </c>
      <c r="AG93" s="232" t="s">
        <v>892</v>
      </c>
      <c r="AH93" s="127"/>
    </row>
    <row r="94" spans="1:41" ht="15" x14ac:dyDescent="0.25">
      <c r="A94" s="127" t="s">
        <v>188</v>
      </c>
      <c r="B94" s="210">
        <v>0.11008999999999999</v>
      </c>
      <c r="C94" s="202">
        <v>4.4400000000000002E-2</v>
      </c>
      <c r="D94" s="210"/>
      <c r="E94" s="203">
        <v>6.4699999999999994E-2</v>
      </c>
      <c r="F94" s="203">
        <v>0.15129999999999999</v>
      </c>
      <c r="G94" s="238">
        <f t="shared" si="4"/>
        <v>300</v>
      </c>
      <c r="H94" s="210">
        <v>7.6300000000000007E-2</v>
      </c>
      <c r="I94" s="210" t="str">
        <f>""</f>
        <v/>
      </c>
      <c r="J94" s="210"/>
      <c r="K94" s="210">
        <v>3.5000000000000001E-3</v>
      </c>
      <c r="L94" s="233">
        <v>4558</v>
      </c>
      <c r="M94" s="127">
        <v>12</v>
      </c>
      <c r="N94" s="201">
        <f t="shared" si="5"/>
        <v>7.604749999999999E-2</v>
      </c>
      <c r="O94" s="201">
        <f t="shared" si="6"/>
        <v>8.7395E-2</v>
      </c>
      <c r="P94" s="201">
        <f t="shared" si="7"/>
        <v>9.8742499999999983E-2</v>
      </c>
      <c r="Q94" s="201">
        <f t="shared" si="8"/>
        <v>0.11008999999999999</v>
      </c>
      <c r="R94" s="127" t="s">
        <v>179</v>
      </c>
      <c r="S94" s="127" t="s">
        <v>180</v>
      </c>
      <c r="T94" s="127" t="s">
        <v>181</v>
      </c>
      <c r="U94" s="127" t="s">
        <v>182</v>
      </c>
      <c r="V94" s="127" t="s">
        <v>183</v>
      </c>
      <c r="W94" s="127" t="s">
        <v>189</v>
      </c>
      <c r="X94" s="127" t="s">
        <v>185</v>
      </c>
      <c r="Y94" s="127" t="s">
        <v>186</v>
      </c>
      <c r="Z94" s="127" t="s">
        <v>187</v>
      </c>
      <c r="AA94" s="127" t="str">
        <f>IF(Productie_en_afzet!$D$17&gt;=1.5,"Indien het nominaal thermisch ingangsvermogen van de installatie ≥ 2 MW is, gelden er duurzaamheidseisen voor de ingezette biomassa!","")</f>
        <v/>
      </c>
      <c r="AB94" s="127">
        <v>12</v>
      </c>
      <c r="AC94" s="210">
        <f>(PBL_OT_2025!$F$3/POWER(1.02,7)+0.29*(PBL_OT_2025!$F$30/POWER(1.02,7)+PBL_OT_2025!$D$100)/90%)/(1+0.29)</f>
        <v>5.6837329178856554E-2</v>
      </c>
      <c r="AD94" s="210">
        <f t="shared" si="2"/>
        <v>3.5000000000000001E-3</v>
      </c>
      <c r="AE94" s="210" t="str">
        <f t="shared" si="3"/>
        <v/>
      </c>
      <c r="AF94" s="367" t="s">
        <v>979</v>
      </c>
      <c r="AG94" s="232" t="s">
        <v>895</v>
      </c>
      <c r="AH94" s="127"/>
    </row>
    <row r="95" spans="1:41" ht="15" x14ac:dyDescent="0.25">
      <c r="A95" s="127"/>
      <c r="B95" s="210"/>
      <c r="C95" s="202"/>
      <c r="D95" s="210"/>
      <c r="E95" s="203"/>
      <c r="F95" s="203"/>
      <c r="G95" s="238"/>
      <c r="H95" s="210"/>
      <c r="I95" s="210"/>
      <c r="J95" s="210"/>
      <c r="K95" s="210"/>
      <c r="L95" s="127"/>
      <c r="M95" s="127"/>
      <c r="N95" s="201"/>
      <c r="O95" s="201"/>
      <c r="P95" s="201"/>
      <c r="Q95" s="201"/>
      <c r="R95" s="127"/>
      <c r="S95" s="127"/>
      <c r="T95" s="127"/>
      <c r="U95" s="127"/>
      <c r="V95" s="127"/>
      <c r="W95" s="127"/>
      <c r="X95" s="127"/>
      <c r="Y95" s="127"/>
      <c r="Z95" s="127"/>
      <c r="AA95" s="127"/>
      <c r="AB95" s="127"/>
      <c r="AC95" s="237"/>
      <c r="AD95" s="210"/>
      <c r="AE95" s="210"/>
      <c r="AF95" s="210"/>
      <c r="AG95" s="233"/>
      <c r="AH95" s="127"/>
    </row>
    <row r="96" spans="1:41" ht="15" x14ac:dyDescent="0.25">
      <c r="A96" s="204" t="s">
        <v>688</v>
      </c>
      <c r="B96" s="212"/>
      <c r="C96" s="202"/>
      <c r="D96" s="210"/>
      <c r="E96" s="203"/>
      <c r="F96" s="203"/>
      <c r="G96" s="238"/>
      <c r="H96" s="210"/>
      <c r="I96" s="210"/>
      <c r="J96" s="210"/>
      <c r="K96" s="210"/>
      <c r="L96" s="127"/>
      <c r="M96" s="127"/>
      <c r="N96" s="201"/>
      <c r="O96" s="201"/>
      <c r="P96" s="201"/>
      <c r="Q96" s="201"/>
      <c r="R96" s="127"/>
      <c r="S96" s="127"/>
      <c r="T96" s="127"/>
      <c r="U96" s="127"/>
      <c r="V96" s="127"/>
      <c r="W96" s="127"/>
      <c r="X96" s="127"/>
      <c r="Y96" s="127"/>
      <c r="Z96" s="127"/>
      <c r="AA96" s="127"/>
      <c r="AB96" s="127"/>
      <c r="AC96" s="237"/>
      <c r="AD96" s="210"/>
      <c r="AE96" s="210"/>
      <c r="AF96" s="210"/>
      <c r="AG96" s="233"/>
      <c r="AH96" s="127"/>
    </row>
    <row r="97" spans="1:34" ht="15" x14ac:dyDescent="0.25">
      <c r="A97" s="127" t="s">
        <v>190</v>
      </c>
      <c r="B97" s="210">
        <v>0.1024</v>
      </c>
      <c r="C97" s="202">
        <v>3.6600000000000001E-2</v>
      </c>
      <c r="D97" s="210"/>
      <c r="E97" s="203">
        <v>4.6800000000000001E-2</v>
      </c>
      <c r="F97" s="203">
        <v>0.21809999999999999</v>
      </c>
      <c r="G97" s="238">
        <f t="shared" si="4"/>
        <v>254.92893168271436</v>
      </c>
      <c r="H97" s="210">
        <v>6.3E-2</v>
      </c>
      <c r="I97" s="210" t="str">
        <f>""</f>
        <v/>
      </c>
      <c r="J97" s="210"/>
      <c r="K97" s="210">
        <v>1.55E-2</v>
      </c>
      <c r="L97" s="127">
        <v>7000</v>
      </c>
      <c r="M97" s="127">
        <v>12</v>
      </c>
      <c r="N97" s="201">
        <f>MIN($B97,(75*$F97/1000)+$E97)</f>
        <v>6.3157500000000005E-2</v>
      </c>
      <c r="O97" s="201">
        <f>MIN($B97,(150*$F97/1000)+$E97)</f>
        <v>7.9515000000000002E-2</v>
      </c>
      <c r="P97" s="201">
        <f>MIN($B97,(225*$F97/1000)+$E97)</f>
        <v>9.5872499999999999E-2</v>
      </c>
      <c r="Q97" s="201">
        <f t="shared" ref="Q97:Q155" si="9">MIN($B97,(300*$F97/1000)+$E97)</f>
        <v>0.1024</v>
      </c>
      <c r="R97" s="127" t="s">
        <v>180</v>
      </c>
      <c r="S97" s="127" t="str">
        <f>""</f>
        <v/>
      </c>
      <c r="T97" s="127" t="s">
        <v>181</v>
      </c>
      <c r="U97" s="127" t="s">
        <v>182</v>
      </c>
      <c r="V97" s="127" t="s">
        <v>183</v>
      </c>
      <c r="W97" s="127" t="s">
        <v>184</v>
      </c>
      <c r="X97" s="127" t="s">
        <v>191</v>
      </c>
      <c r="Y97" s="127" t="s">
        <v>186</v>
      </c>
      <c r="Z97" s="127" t="s">
        <v>187</v>
      </c>
      <c r="AA97" s="127" t="str">
        <f>IF(Productie_en_afzet!$D$17&gt;=1.5,"Indien het nominaal thermisch ingangsvermogen van de installatie ≥ 2 MW is, gelden er duurzaamheidseisen voor de ingezette biomassa!","")</f>
        <v/>
      </c>
      <c r="AB97" s="127">
        <v>12</v>
      </c>
      <c r="AC97" s="210">
        <f>(PBL_OT_2025!$F$30/POWER(1.02,7)+PBL_OT_2025!$D$100)/90%</f>
        <v>4.2881714842410816E-2</v>
      </c>
      <c r="AD97" s="210">
        <f t="shared" si="2"/>
        <v>1.55E-2</v>
      </c>
      <c r="AE97" s="210" t="str">
        <f t="shared" ref="AE97:AE152" si="10">IF(AC97&lt;B97,"",FALSE)</f>
        <v/>
      </c>
      <c r="AF97" s="210" t="s">
        <v>553</v>
      </c>
      <c r="AG97" s="232">
        <v>16</v>
      </c>
      <c r="AH97" s="127"/>
    </row>
    <row r="98" spans="1:34" ht="15" x14ac:dyDescent="0.25">
      <c r="A98" s="127" t="s">
        <v>726</v>
      </c>
      <c r="B98" s="210">
        <v>8.6400000000000005E-2</v>
      </c>
      <c r="C98" s="202">
        <v>3.6600000000000001E-2</v>
      </c>
      <c r="D98" s="210"/>
      <c r="E98" s="203">
        <v>4.6800000000000001E-2</v>
      </c>
      <c r="F98" s="203">
        <v>0.21809999999999999</v>
      </c>
      <c r="G98" s="238">
        <f t="shared" si="4"/>
        <v>181.5680880330124</v>
      </c>
      <c r="H98" s="210">
        <v>6.3E-2</v>
      </c>
      <c r="I98" s="210" t="str">
        <f>""</f>
        <v/>
      </c>
      <c r="J98" s="210"/>
      <c r="K98" s="210">
        <v>1.55E-2</v>
      </c>
      <c r="L98" s="127">
        <v>7000</v>
      </c>
      <c r="M98" s="127">
        <v>12</v>
      </c>
      <c r="N98" s="201">
        <f>MIN($B98,(75*$F98/1000)+$E98)</f>
        <v>6.3157500000000005E-2</v>
      </c>
      <c r="O98" s="201">
        <f>MIN($B98,(150*$F98/1000)+$E98)</f>
        <v>7.9515000000000002E-2</v>
      </c>
      <c r="P98" s="201">
        <f>MIN($B98,(225*$F98/1000)+$E98)</f>
        <v>8.6400000000000005E-2</v>
      </c>
      <c r="Q98" s="201">
        <f>MIN($B98,(300*$F98/1000)+$E98)</f>
        <v>8.6400000000000005E-2</v>
      </c>
      <c r="R98" s="127" t="s">
        <v>180</v>
      </c>
      <c r="S98" s="127" t="str">
        <f>""</f>
        <v/>
      </c>
      <c r="T98" s="127" t="s">
        <v>181</v>
      </c>
      <c r="U98" s="127" t="s">
        <v>182</v>
      </c>
      <c r="V98" s="127" t="s">
        <v>183</v>
      </c>
      <c r="W98" s="127" t="s">
        <v>734</v>
      </c>
      <c r="X98" s="127" t="s">
        <v>191</v>
      </c>
      <c r="Y98" s="127" t="s">
        <v>186</v>
      </c>
      <c r="Z98" s="127" t="s">
        <v>187</v>
      </c>
      <c r="AA98" s="127" t="str">
        <f>IF(Productie_en_afzet!$D$17&gt;=1.5,"Indien het nominaal thermisch ingangsvermogen van de installatie ≥ 2 MW is, gelden er duurzaamheidseisen voor de ingezette biomassa!","")</f>
        <v/>
      </c>
      <c r="AB98" s="127">
        <v>12</v>
      </c>
      <c r="AC98" s="210">
        <f>(PBL_OT_2025!$F$30/POWER(1.02,7)+PBL_OT_2025!$D$100)/90%</f>
        <v>4.2881714842410816E-2</v>
      </c>
      <c r="AD98" s="210">
        <f t="shared" si="2"/>
        <v>1.55E-2</v>
      </c>
      <c r="AE98" s="210" t="str">
        <f t="shared" si="10"/>
        <v/>
      </c>
      <c r="AF98" s="210" t="s">
        <v>553</v>
      </c>
      <c r="AG98" s="232">
        <v>16</v>
      </c>
      <c r="AH98" s="127"/>
    </row>
    <row r="99" spans="1:34" ht="15" x14ac:dyDescent="0.25">
      <c r="A99" s="127" t="s">
        <v>572</v>
      </c>
      <c r="B99" s="210">
        <v>0.19176000000000001</v>
      </c>
      <c r="C99" s="202">
        <v>3.6600000000000001E-2</v>
      </c>
      <c r="D99" s="210"/>
      <c r="E99" s="203">
        <v>4.6800000000000001E-2</v>
      </c>
      <c r="F99" s="203">
        <v>0.3624</v>
      </c>
      <c r="G99" s="238">
        <f t="shared" si="4"/>
        <v>400</v>
      </c>
      <c r="H99" s="210">
        <v>6.3E-2</v>
      </c>
      <c r="I99" s="210" t="str">
        <f>""</f>
        <v/>
      </c>
      <c r="J99" s="210"/>
      <c r="K99" s="210">
        <v>1.55E-2</v>
      </c>
      <c r="L99" s="127">
        <v>8000</v>
      </c>
      <c r="M99" s="127">
        <v>12</v>
      </c>
      <c r="N99" s="201">
        <f t="shared" ref="N99:N105" si="11">MIN($B99,(75*$F99/1000)+$E99)</f>
        <v>7.3980000000000004E-2</v>
      </c>
      <c r="O99" s="201">
        <f t="shared" ref="O99:O105" si="12">MIN($B99,(150*$F99/1000)+$E99)</f>
        <v>0.10116</v>
      </c>
      <c r="P99" s="201">
        <f t="shared" ref="P99:P105" si="13">MIN($B99,(225*$F99/1000)+$E99)</f>
        <v>0.12834000000000001</v>
      </c>
      <c r="Q99" s="201">
        <f t="shared" si="9"/>
        <v>0.15551999999999999</v>
      </c>
      <c r="R99" s="127" t="s">
        <v>180</v>
      </c>
      <c r="S99" s="127" t="str">
        <f>""</f>
        <v/>
      </c>
      <c r="T99" s="127" t="s">
        <v>181</v>
      </c>
      <c r="U99" s="127" t="s">
        <v>182</v>
      </c>
      <c r="V99" s="127" t="s">
        <v>183</v>
      </c>
      <c r="W99" s="127" t="s">
        <v>184</v>
      </c>
      <c r="X99" s="127" t="s">
        <v>191</v>
      </c>
      <c r="Y99" s="127" t="s">
        <v>186</v>
      </c>
      <c r="Z99" s="127" t="s">
        <v>187</v>
      </c>
      <c r="AA99" s="127" t="str">
        <f>""</f>
        <v/>
      </c>
      <c r="AB99" s="127">
        <v>12</v>
      </c>
      <c r="AC99" s="210">
        <f>(PBL_OT_2025!$F$30/POWER(1.02,7)+PBL_OT_2025!$D$100)/90%</f>
        <v>4.2881714842410816E-2</v>
      </c>
      <c r="AD99" s="210">
        <f t="shared" si="2"/>
        <v>1.55E-2</v>
      </c>
      <c r="AE99" s="210" t="str">
        <f t="shared" si="10"/>
        <v/>
      </c>
      <c r="AF99" s="210" t="s">
        <v>553</v>
      </c>
      <c r="AG99" s="232">
        <v>16</v>
      </c>
      <c r="AH99" s="127"/>
    </row>
    <row r="100" spans="1:34" ht="15" x14ac:dyDescent="0.25">
      <c r="A100" s="127" t="s">
        <v>757</v>
      </c>
      <c r="B100" s="210">
        <v>0.1736</v>
      </c>
      <c r="C100" s="202">
        <v>3.6600000000000001E-2</v>
      </c>
      <c r="D100" s="210"/>
      <c r="E100" s="203">
        <v>4.6800000000000001E-2</v>
      </c>
      <c r="F100" s="203">
        <v>0.3624</v>
      </c>
      <c r="G100" s="238">
        <f t="shared" si="4"/>
        <v>349.88962472406178</v>
      </c>
      <c r="H100" s="210">
        <v>6.3E-2</v>
      </c>
      <c r="I100" s="210"/>
      <c r="J100" s="210"/>
      <c r="K100" s="210">
        <v>1.55E-2</v>
      </c>
      <c r="L100" s="127">
        <v>8000</v>
      </c>
      <c r="M100" s="127">
        <v>12</v>
      </c>
      <c r="N100" s="201">
        <f t="shared" si="11"/>
        <v>7.3980000000000004E-2</v>
      </c>
      <c r="O100" s="201">
        <f t="shared" si="12"/>
        <v>0.10116</v>
      </c>
      <c r="P100" s="201">
        <f t="shared" si="13"/>
        <v>0.12834000000000001</v>
      </c>
      <c r="Q100" s="201">
        <f t="shared" si="9"/>
        <v>0.15551999999999999</v>
      </c>
      <c r="R100" s="127" t="s">
        <v>180</v>
      </c>
      <c r="S100" s="127"/>
      <c r="T100" s="127" t="s">
        <v>181</v>
      </c>
      <c r="U100" s="127" t="s">
        <v>182</v>
      </c>
      <c r="V100" s="127" t="s">
        <v>183</v>
      </c>
      <c r="W100" s="127" t="s">
        <v>184</v>
      </c>
      <c r="X100" s="127" t="s">
        <v>191</v>
      </c>
      <c r="Y100" s="127" t="s">
        <v>186</v>
      </c>
      <c r="Z100" s="127" t="s">
        <v>187</v>
      </c>
      <c r="AA100" s="127"/>
      <c r="AB100" s="127">
        <v>12</v>
      </c>
      <c r="AC100" s="210">
        <f>(PBL_OT_2025!$F$30/POWER(1.02,7)+PBL_OT_2025!$D$100)/90%</f>
        <v>4.2881714842410816E-2</v>
      </c>
      <c r="AD100" s="210">
        <f t="shared" si="2"/>
        <v>1.55E-2</v>
      </c>
      <c r="AE100" s="210" t="str">
        <f t="shared" si="10"/>
        <v/>
      </c>
      <c r="AF100" s="210" t="s">
        <v>553</v>
      </c>
      <c r="AG100" s="232">
        <v>16</v>
      </c>
      <c r="AH100" s="127"/>
    </row>
    <row r="101" spans="1:34" ht="15" x14ac:dyDescent="0.25">
      <c r="A101" s="127" t="s">
        <v>759</v>
      </c>
      <c r="B101" s="210">
        <v>0.17480000000000001</v>
      </c>
      <c r="C101" s="202">
        <v>4.87E-2</v>
      </c>
      <c r="D101" s="210"/>
      <c r="E101" s="203">
        <v>5.8900000000000001E-2</v>
      </c>
      <c r="F101" s="203">
        <v>0.36899999999999999</v>
      </c>
      <c r="G101" s="238">
        <f t="shared" si="4"/>
        <v>314.09214092140923</v>
      </c>
      <c r="H101" s="210">
        <v>7.4999999999999997E-2</v>
      </c>
      <c r="I101" s="210"/>
      <c r="J101" s="210"/>
      <c r="K101" s="210">
        <v>1.55E-2</v>
      </c>
      <c r="L101" s="127">
        <v>5778</v>
      </c>
      <c r="M101" s="127">
        <v>12</v>
      </c>
      <c r="N101" s="201">
        <f t="shared" si="11"/>
        <v>8.6574999999999999E-2</v>
      </c>
      <c r="O101" s="201">
        <f t="shared" si="12"/>
        <v>0.11425</v>
      </c>
      <c r="P101" s="201">
        <f t="shared" si="13"/>
        <v>0.141925</v>
      </c>
      <c r="Q101" s="201">
        <f t="shared" si="9"/>
        <v>0.1696</v>
      </c>
      <c r="R101" s="127" t="s">
        <v>180</v>
      </c>
      <c r="S101" s="127"/>
      <c r="T101" s="127" t="s">
        <v>181</v>
      </c>
      <c r="U101" s="127" t="s">
        <v>182</v>
      </c>
      <c r="V101" s="127" t="s">
        <v>183</v>
      </c>
      <c r="W101" s="127" t="s">
        <v>184</v>
      </c>
      <c r="X101" s="127" t="s">
        <v>191</v>
      </c>
      <c r="Y101" s="127" t="s">
        <v>186</v>
      </c>
      <c r="Z101" s="127" t="s">
        <v>187</v>
      </c>
      <c r="AA101" s="127"/>
      <c r="AB101" s="127">
        <v>12</v>
      </c>
      <c r="AC101" s="210">
        <f>(PBL_OT_2025!$F$30/POWER(1.02,7)+PBL_OT_2025!$D$99)/90%</f>
        <v>5.4917101888224372E-2</v>
      </c>
      <c r="AD101" s="210">
        <f t="shared" si="2"/>
        <v>1.55E-2</v>
      </c>
      <c r="AE101" s="210" t="str">
        <f t="shared" si="10"/>
        <v/>
      </c>
      <c r="AF101" s="210" t="s">
        <v>557</v>
      </c>
      <c r="AG101" s="232">
        <v>15</v>
      </c>
      <c r="AH101" s="127"/>
    </row>
    <row r="102" spans="1:34" ht="15" x14ac:dyDescent="0.25">
      <c r="A102" s="127" t="s">
        <v>758</v>
      </c>
      <c r="B102" s="211">
        <v>0.1187</v>
      </c>
      <c r="C102" s="202">
        <v>3.6600000000000001E-2</v>
      </c>
      <c r="D102" s="210"/>
      <c r="E102" s="203">
        <v>4.6800000000000001E-2</v>
      </c>
      <c r="F102" s="203">
        <v>0.38100000000000001</v>
      </c>
      <c r="G102" s="238">
        <f t="shared" si="4"/>
        <v>188.71391076115484</v>
      </c>
      <c r="H102" s="210">
        <v>6.3E-2</v>
      </c>
      <c r="I102" s="210" t="str">
        <f>""</f>
        <v/>
      </c>
      <c r="J102" s="210"/>
      <c r="K102" s="210">
        <v>1.55E-2</v>
      </c>
      <c r="L102" s="127">
        <v>6000</v>
      </c>
      <c r="M102" s="127">
        <v>12</v>
      </c>
      <c r="N102" s="201">
        <f t="shared" si="11"/>
        <v>7.5374999999999998E-2</v>
      </c>
      <c r="O102" s="201">
        <f t="shared" si="12"/>
        <v>0.10395</v>
      </c>
      <c r="P102" s="201">
        <f t="shared" si="13"/>
        <v>0.1187</v>
      </c>
      <c r="Q102" s="201">
        <f t="shared" si="9"/>
        <v>0.1187</v>
      </c>
      <c r="R102" s="127" t="s">
        <v>180</v>
      </c>
      <c r="S102" s="127" t="str">
        <f>""</f>
        <v/>
      </c>
      <c r="T102" s="127" t="s">
        <v>181</v>
      </c>
      <c r="U102" s="127" t="s">
        <v>182</v>
      </c>
      <c r="V102" s="127" t="s">
        <v>183</v>
      </c>
      <c r="W102" s="127" t="s">
        <v>184</v>
      </c>
      <c r="X102" s="127" t="s">
        <v>191</v>
      </c>
      <c r="Y102" s="127" t="s">
        <v>186</v>
      </c>
      <c r="Z102" s="127" t="s">
        <v>187</v>
      </c>
      <c r="AA102" s="127" t="str">
        <f>IF(Productie_en_afzet!$D$17&gt;=1.5,"Indien het nominaal thermisch ingangsvermogen van de installatie ≥ 2 MW is, gelden er duurzaamheidseisen voor de ingezette biomassa!","")</f>
        <v/>
      </c>
      <c r="AB102" s="127">
        <v>12</v>
      </c>
      <c r="AC102" s="210">
        <f>(PBL_OT_2025!$F$30/POWER(1.02,7)+PBL_OT_2025!$D$100)/90%</f>
        <v>4.2881714842410816E-2</v>
      </c>
      <c r="AD102" s="210">
        <f t="shared" si="2"/>
        <v>1.55E-2</v>
      </c>
      <c r="AE102" s="210" t="str">
        <f t="shared" si="10"/>
        <v/>
      </c>
      <c r="AF102" s="210" t="s">
        <v>553</v>
      </c>
      <c r="AG102" s="232">
        <v>16</v>
      </c>
      <c r="AH102" s="127"/>
    </row>
    <row r="103" spans="1:34" ht="15" x14ac:dyDescent="0.25">
      <c r="A103" s="127" t="s">
        <v>727</v>
      </c>
      <c r="B103" s="211">
        <v>0.1061</v>
      </c>
      <c r="C103" s="202">
        <v>4.87E-2</v>
      </c>
      <c r="D103" s="210"/>
      <c r="E103" s="203">
        <v>5.8900000000000001E-2</v>
      </c>
      <c r="F103" s="203">
        <v>0.36899999999999999</v>
      </c>
      <c r="G103" s="238">
        <f t="shared" si="4"/>
        <v>127.91327913279132</v>
      </c>
      <c r="H103" s="210">
        <v>7.4999999999999997E-2</v>
      </c>
      <c r="I103" s="210"/>
      <c r="J103" s="210"/>
      <c r="K103" s="210">
        <v>1.55E-2</v>
      </c>
      <c r="L103" s="127">
        <v>5778</v>
      </c>
      <c r="M103" s="127">
        <v>12</v>
      </c>
      <c r="N103" s="201">
        <f t="shared" si="11"/>
        <v>8.6574999999999999E-2</v>
      </c>
      <c r="O103" s="201">
        <f t="shared" si="12"/>
        <v>0.1061</v>
      </c>
      <c r="P103" s="201">
        <f t="shared" si="13"/>
        <v>0.1061</v>
      </c>
      <c r="Q103" s="201">
        <f t="shared" si="9"/>
        <v>0.1061</v>
      </c>
      <c r="R103" s="127" t="s">
        <v>180</v>
      </c>
      <c r="S103" s="127"/>
      <c r="T103" s="127" t="s">
        <v>181</v>
      </c>
      <c r="U103" s="127" t="s">
        <v>182</v>
      </c>
      <c r="V103" s="127" t="s">
        <v>183</v>
      </c>
      <c r="W103" s="127" t="s">
        <v>734</v>
      </c>
      <c r="X103" s="127" t="s">
        <v>191</v>
      </c>
      <c r="Y103" s="127" t="s">
        <v>186</v>
      </c>
      <c r="Z103" s="127" t="s">
        <v>187</v>
      </c>
      <c r="AA103" s="127"/>
      <c r="AB103" s="127">
        <v>12</v>
      </c>
      <c r="AC103" s="210">
        <f>(PBL_OT_2025!$F$30/POWER(1.02,7)+PBL_OT_2025!$D$99)/90%</f>
        <v>5.4917101888224372E-2</v>
      </c>
      <c r="AD103" s="210">
        <f t="shared" si="2"/>
        <v>1.55E-2</v>
      </c>
      <c r="AE103" s="210" t="str">
        <f t="shared" si="10"/>
        <v/>
      </c>
      <c r="AF103" s="210" t="s">
        <v>557</v>
      </c>
      <c r="AG103" s="232">
        <v>15</v>
      </c>
      <c r="AH103" s="127"/>
    </row>
    <row r="104" spans="1:34" ht="15" x14ac:dyDescent="0.25">
      <c r="A104" s="127" t="s">
        <v>192</v>
      </c>
      <c r="B104" s="210">
        <v>0.1041</v>
      </c>
      <c r="C104" s="202">
        <v>4.87E-2</v>
      </c>
      <c r="D104" s="210"/>
      <c r="E104" s="203">
        <v>5.8900000000000001E-2</v>
      </c>
      <c r="F104" s="203">
        <v>0.20860000000000001</v>
      </c>
      <c r="G104" s="238">
        <f t="shared" si="4"/>
        <v>216.68264621284752</v>
      </c>
      <c r="H104" s="210">
        <v>7.4999999999999997E-2</v>
      </c>
      <c r="I104" s="210" t="str">
        <f>""</f>
        <v/>
      </c>
      <c r="J104" s="210"/>
      <c r="K104" s="210">
        <v>1.55E-2</v>
      </c>
      <c r="L104" s="127">
        <v>4138</v>
      </c>
      <c r="M104" s="127">
        <v>12</v>
      </c>
      <c r="N104" s="201">
        <f t="shared" si="11"/>
        <v>7.4545E-2</v>
      </c>
      <c r="O104" s="201">
        <f t="shared" si="12"/>
        <v>9.0190000000000006E-2</v>
      </c>
      <c r="P104" s="201">
        <f t="shared" si="13"/>
        <v>0.1041</v>
      </c>
      <c r="Q104" s="201">
        <f t="shared" si="9"/>
        <v>0.1041</v>
      </c>
      <c r="R104" s="127" t="s">
        <v>180</v>
      </c>
      <c r="S104" s="127" t="str">
        <f>""</f>
        <v/>
      </c>
      <c r="T104" s="127" t="s">
        <v>181</v>
      </c>
      <c r="U104" s="127" t="s">
        <v>182</v>
      </c>
      <c r="V104" s="127" t="s">
        <v>183</v>
      </c>
      <c r="W104" s="127" t="s">
        <v>189</v>
      </c>
      <c r="X104" s="127" t="s">
        <v>191</v>
      </c>
      <c r="Y104" s="127" t="s">
        <v>186</v>
      </c>
      <c r="Z104" s="127" t="s">
        <v>187</v>
      </c>
      <c r="AA104" s="127" t="str">
        <f>IF(Productie_en_afzet!$D$17&gt;=1.5,"Indien het nominaal thermisch ingangsvermogen van de installatie ≥ 2 MW is, gelden er duurzaamheidseisen voor de ingezette biomassa!","")</f>
        <v/>
      </c>
      <c r="AB104" s="127">
        <v>12</v>
      </c>
      <c r="AC104" s="210">
        <f>(PBL_OT_2025!$F$30/POWER(1.02,7)+PBL_OT_2025!$D$99)/90%</f>
        <v>5.4917101888224372E-2</v>
      </c>
      <c r="AD104" s="210">
        <f t="shared" si="2"/>
        <v>1.55E-2</v>
      </c>
      <c r="AE104" s="210" t="str">
        <f t="shared" si="10"/>
        <v/>
      </c>
      <c r="AF104" s="210" t="s">
        <v>557</v>
      </c>
      <c r="AG104" s="232">
        <v>15</v>
      </c>
      <c r="AH104" s="127"/>
    </row>
    <row r="105" spans="1:34" ht="15" x14ac:dyDescent="0.25">
      <c r="A105" s="127" t="s">
        <v>193</v>
      </c>
      <c r="B105" s="210">
        <v>5.2900000000000003E-2</v>
      </c>
      <c r="C105" s="202">
        <v>3.6600000000000001E-2</v>
      </c>
      <c r="D105" s="210"/>
      <c r="E105" s="203">
        <v>4.6800000000000001E-2</v>
      </c>
      <c r="F105" s="203">
        <v>0.22500000000000001</v>
      </c>
      <c r="G105" s="238">
        <f t="shared" si="4"/>
        <v>27.111111111111118</v>
      </c>
      <c r="H105" s="210">
        <v>6.3E-2</v>
      </c>
      <c r="I105" s="210" t="str">
        <f>""</f>
        <v/>
      </c>
      <c r="J105" s="210"/>
      <c r="K105" s="210">
        <v>1.55E-2</v>
      </c>
      <c r="L105" s="127">
        <v>5200</v>
      </c>
      <c r="M105" s="127">
        <v>12</v>
      </c>
      <c r="N105" s="201">
        <f t="shared" si="11"/>
        <v>5.2900000000000003E-2</v>
      </c>
      <c r="O105" s="201">
        <f t="shared" si="12"/>
        <v>5.2900000000000003E-2</v>
      </c>
      <c r="P105" s="201">
        <f t="shared" si="13"/>
        <v>5.2900000000000003E-2</v>
      </c>
      <c r="Q105" s="201">
        <f t="shared" si="9"/>
        <v>5.2900000000000003E-2</v>
      </c>
      <c r="R105" s="127" t="s">
        <v>180</v>
      </c>
      <c r="S105" s="127" t="str">
        <f>""</f>
        <v/>
      </c>
      <c r="T105" s="127" t="s">
        <v>181</v>
      </c>
      <c r="U105" s="127" t="s">
        <v>182</v>
      </c>
      <c r="V105" s="127" t="s">
        <v>183</v>
      </c>
      <c r="W105" s="127" t="s">
        <v>184</v>
      </c>
      <c r="X105" s="127" t="s">
        <v>191</v>
      </c>
      <c r="Y105" s="127" t="s">
        <v>186</v>
      </c>
      <c r="Z105" s="127" t="s">
        <v>187</v>
      </c>
      <c r="AA105" s="127" t="s">
        <v>194</v>
      </c>
      <c r="AB105" s="127">
        <v>12</v>
      </c>
      <c r="AC105" s="210">
        <f>(PBL_OT_2025!$F$30/POWER(1.02,7)+PBL_OT_2025!$D$100)/90%</f>
        <v>4.2881714842410816E-2</v>
      </c>
      <c r="AD105" s="210">
        <f t="shared" si="2"/>
        <v>1.55E-2</v>
      </c>
      <c r="AE105" s="210" t="str">
        <f t="shared" si="10"/>
        <v/>
      </c>
      <c r="AF105" s="210" t="s">
        <v>553</v>
      </c>
      <c r="AG105" s="232">
        <v>16</v>
      </c>
      <c r="AH105" s="127"/>
    </row>
    <row r="106" spans="1:34" ht="15" x14ac:dyDescent="0.25">
      <c r="A106" s="127"/>
      <c r="B106" s="210"/>
      <c r="C106" s="202"/>
      <c r="D106" s="210"/>
      <c r="E106" s="203"/>
      <c r="F106" s="203"/>
      <c r="G106" s="238"/>
      <c r="H106" s="210"/>
      <c r="I106" s="210"/>
      <c r="J106" s="210"/>
      <c r="K106" s="210"/>
      <c r="L106" s="127"/>
      <c r="M106" s="127"/>
      <c r="N106" s="201"/>
      <c r="O106" s="201"/>
      <c r="P106" s="201"/>
      <c r="Q106" s="201"/>
      <c r="R106" s="127"/>
      <c r="S106" s="127"/>
      <c r="T106" s="127"/>
      <c r="U106" s="127"/>
      <c r="V106" s="127"/>
      <c r="W106" s="127"/>
      <c r="X106" s="127"/>
      <c r="Y106" s="127"/>
      <c r="Z106" s="216"/>
      <c r="AA106" s="127"/>
      <c r="AB106" s="127"/>
      <c r="AC106" s="237"/>
      <c r="AD106" s="210"/>
      <c r="AE106" s="210"/>
      <c r="AF106" s="210"/>
      <c r="AG106" s="233"/>
      <c r="AH106" s="127"/>
    </row>
    <row r="107" spans="1:34" ht="15" x14ac:dyDescent="0.25">
      <c r="A107" s="204" t="s">
        <v>689</v>
      </c>
      <c r="B107" s="212"/>
      <c r="C107" s="202"/>
      <c r="D107" s="210"/>
      <c r="E107" s="203"/>
      <c r="F107" s="203"/>
      <c r="G107" s="238"/>
      <c r="H107" s="210"/>
      <c r="I107" s="210"/>
      <c r="J107" s="210"/>
      <c r="K107" s="210"/>
      <c r="L107" s="127"/>
      <c r="M107" s="127"/>
      <c r="N107" s="201"/>
      <c r="O107" s="201"/>
      <c r="P107" s="201"/>
      <c r="Q107" s="201"/>
      <c r="R107" s="127"/>
      <c r="S107" s="127"/>
      <c r="T107" s="127"/>
      <c r="U107" s="127"/>
      <c r="V107" s="127"/>
      <c r="W107" s="127"/>
      <c r="X107" s="127"/>
      <c r="Y107" s="127"/>
      <c r="Z107" s="127"/>
      <c r="AA107" s="127"/>
      <c r="AB107" s="127"/>
      <c r="AC107" s="237"/>
      <c r="AD107" s="210"/>
      <c r="AE107" s="210"/>
      <c r="AF107" s="210"/>
      <c r="AG107" s="233"/>
      <c r="AH107" s="127"/>
    </row>
    <row r="108" spans="1:34" ht="15" x14ac:dyDescent="0.25">
      <c r="A108" s="127" t="s">
        <v>195</v>
      </c>
      <c r="B108" s="210">
        <v>9.0300000000000005E-2</v>
      </c>
      <c r="C108" s="202">
        <v>1.6500000000000001E-2</v>
      </c>
      <c r="D108" s="210"/>
      <c r="E108" s="203">
        <v>4.0300000000000002E-2</v>
      </c>
      <c r="F108" s="203">
        <v>0.17199999999999999</v>
      </c>
      <c r="G108" s="238">
        <f t="shared" si="4"/>
        <v>290.69767441860466</v>
      </c>
      <c r="H108" s="210">
        <f>0.0379+J108</f>
        <v>5.3400000000000003E-2</v>
      </c>
      <c r="I108" s="210" t="str">
        <f>""</f>
        <v/>
      </c>
      <c r="J108" s="210">
        <v>1.55E-2</v>
      </c>
      <c r="K108" s="211"/>
      <c r="L108" s="127">
        <v>8000</v>
      </c>
      <c r="M108" s="127">
        <v>12</v>
      </c>
      <c r="N108" s="201">
        <f>MIN($B108,(75*$F108/1000)+$E108)</f>
        <v>5.3199999999999997E-2</v>
      </c>
      <c r="O108" s="201">
        <f>MIN($B108,(150*$F108/1000)+$E108)</f>
        <v>6.6099999999999992E-2</v>
      </c>
      <c r="P108" s="201">
        <f>MIN($B108,(225*$F108/1000)+$E108)</f>
        <v>7.9000000000000001E-2</v>
      </c>
      <c r="Q108" s="201">
        <f t="shared" si="9"/>
        <v>9.0300000000000005E-2</v>
      </c>
      <c r="R108" s="127" t="s">
        <v>196</v>
      </c>
      <c r="S108" s="127" t="str">
        <f>""</f>
        <v/>
      </c>
      <c r="T108" s="127" t="s">
        <v>181</v>
      </c>
      <c r="U108" s="127" t="s">
        <v>182</v>
      </c>
      <c r="V108" s="127" t="s">
        <v>183</v>
      </c>
      <c r="W108" s="127" t="s">
        <v>184</v>
      </c>
      <c r="X108" s="127" t="s">
        <v>141</v>
      </c>
      <c r="Y108" s="127" t="s">
        <v>186</v>
      </c>
      <c r="Z108" s="127" t="s">
        <v>187</v>
      </c>
      <c r="AA108" s="127" t="str">
        <f>IF(Productie_en_afzet!$D$17&gt;=2,"Het vermogen van de gasopwaardeerinstallatie is ≥ 2 MW, er gelden duurzaamheidseisen voor de ingezette biomassa!","")</f>
        <v/>
      </c>
      <c r="AB108" s="127">
        <v>12</v>
      </c>
      <c r="AC108" s="210">
        <f>PBL_OT_2025!$F$8/POWER(1.02,7)+PBL_OT_2025!$D$41</f>
        <v>3.7050587860326195E-2</v>
      </c>
      <c r="AD108" s="210">
        <f t="shared" si="2"/>
        <v>0</v>
      </c>
      <c r="AE108" s="210" t="str">
        <f t="shared" si="10"/>
        <v/>
      </c>
      <c r="AF108" s="210" t="s">
        <v>975</v>
      </c>
      <c r="AG108" s="232">
        <v>13</v>
      </c>
      <c r="AH108" s="127"/>
    </row>
    <row r="109" spans="1:34" ht="15" x14ac:dyDescent="0.25">
      <c r="A109" s="127" t="s">
        <v>728</v>
      </c>
      <c r="B109" s="210">
        <v>7.1800000000000003E-2</v>
      </c>
      <c r="C109" s="202">
        <v>1.6500000000000001E-2</v>
      </c>
      <c r="D109" s="210"/>
      <c r="E109" s="203">
        <v>4.0300000000000002E-2</v>
      </c>
      <c r="F109" s="203">
        <v>0.17199999999999999</v>
      </c>
      <c r="G109" s="238">
        <f>(B109-E109)*1000/F109</f>
        <v>183.13953488372096</v>
      </c>
      <c r="H109" s="210">
        <f t="shared" ref="H109:H119" si="14">0.0379+J109</f>
        <v>5.3400000000000003E-2</v>
      </c>
      <c r="I109" s="210" t="str">
        <f>""</f>
        <v/>
      </c>
      <c r="J109" s="210">
        <v>1.55E-2</v>
      </c>
      <c r="K109" s="211"/>
      <c r="L109" s="127">
        <v>8000</v>
      </c>
      <c r="M109" s="127">
        <v>12</v>
      </c>
      <c r="N109" s="201">
        <f>MIN($B109,(75*$F109/1000)+$E109)</f>
        <v>5.3199999999999997E-2</v>
      </c>
      <c r="O109" s="201">
        <f>MIN($B109,(150*$F109/1000)+$E109)</f>
        <v>6.6099999999999992E-2</v>
      </c>
      <c r="P109" s="201">
        <f>MIN($B109,(225*$F109/1000)+$E109)</f>
        <v>7.1800000000000003E-2</v>
      </c>
      <c r="Q109" s="201">
        <f>MIN($B109,(300*$F109/1000)+$E109)</f>
        <v>7.1800000000000003E-2</v>
      </c>
      <c r="R109" s="127" t="s">
        <v>196</v>
      </c>
      <c r="S109" s="127" t="str">
        <f>""</f>
        <v/>
      </c>
      <c r="T109" s="127" t="s">
        <v>181</v>
      </c>
      <c r="U109" s="127" t="s">
        <v>182</v>
      </c>
      <c r="V109" s="127" t="s">
        <v>183</v>
      </c>
      <c r="W109" s="127" t="s">
        <v>734</v>
      </c>
      <c r="X109" s="127" t="s">
        <v>141</v>
      </c>
      <c r="Y109" s="127" t="s">
        <v>186</v>
      </c>
      <c r="Z109" s="127" t="s">
        <v>187</v>
      </c>
      <c r="AA109" s="127" t="str">
        <f>IF(Productie_en_afzet!$D$17&gt;=2,"Het vermogen van de gasopwaardeerinstallatie is ≥ 2 MW, er gelden duurzaamheidseisen voor de ingezette biomassa!","")</f>
        <v/>
      </c>
      <c r="AB109" s="127">
        <v>12</v>
      </c>
      <c r="AC109" s="210">
        <f>PBL_OT_2025!$F$8/POWER(1.02,7)+PBL_OT_2025!$D$41</f>
        <v>3.7050587860326195E-2</v>
      </c>
      <c r="AD109" s="210">
        <f t="shared" si="2"/>
        <v>0</v>
      </c>
      <c r="AE109" s="210" t="str">
        <f t="shared" si="10"/>
        <v/>
      </c>
      <c r="AF109" s="210" t="s">
        <v>975</v>
      </c>
      <c r="AG109" s="232">
        <v>13</v>
      </c>
      <c r="AH109" s="127"/>
    </row>
    <row r="110" spans="1:34" ht="15" x14ac:dyDescent="0.25">
      <c r="A110" s="127" t="s">
        <v>740</v>
      </c>
      <c r="B110" s="210">
        <v>7.8100000000000003E-2</v>
      </c>
      <c r="C110" s="202">
        <v>1.6500000000000001E-2</v>
      </c>
      <c r="D110" s="210"/>
      <c r="E110" s="203">
        <v>4.0300000000000002E-2</v>
      </c>
      <c r="F110" s="203">
        <v>0.17199999999999999</v>
      </c>
      <c r="G110" s="238">
        <f>(B110-E110)*1000/F110</f>
        <v>219.76744186046511</v>
      </c>
      <c r="H110" s="210">
        <f t="shared" si="14"/>
        <v>5.3400000000000003E-2</v>
      </c>
      <c r="I110" s="210" t="str">
        <f>""</f>
        <v/>
      </c>
      <c r="J110" s="210">
        <v>1.55E-2</v>
      </c>
      <c r="K110" s="211"/>
      <c r="L110" s="127">
        <v>8000</v>
      </c>
      <c r="M110" s="127">
        <v>12</v>
      </c>
      <c r="N110" s="201">
        <f>MIN($B110,(75*$F110/1000)+$E110)</f>
        <v>5.3199999999999997E-2</v>
      </c>
      <c r="O110" s="201">
        <f>MIN($B110,(150*$F110/1000)+$E110)</f>
        <v>6.6099999999999992E-2</v>
      </c>
      <c r="P110" s="201">
        <f>MIN($B110,(225*$F110/1000)+$E110)</f>
        <v>7.8100000000000003E-2</v>
      </c>
      <c r="Q110" s="201">
        <f>MIN($B110,(300*$F110/1000)+$E110)</f>
        <v>7.8100000000000003E-2</v>
      </c>
      <c r="R110" s="127" t="s">
        <v>196</v>
      </c>
      <c r="S110" s="127" t="str">
        <f>""</f>
        <v/>
      </c>
      <c r="T110" s="127" t="s">
        <v>181</v>
      </c>
      <c r="U110" s="127" t="s">
        <v>182</v>
      </c>
      <c r="V110" s="127" t="s">
        <v>183</v>
      </c>
      <c r="W110" s="127" t="s">
        <v>733</v>
      </c>
      <c r="X110" s="127" t="s">
        <v>141</v>
      </c>
      <c r="Y110" s="127" t="s">
        <v>186</v>
      </c>
      <c r="Z110" s="127" t="s">
        <v>187</v>
      </c>
      <c r="AA110" s="127" t="str">
        <f>IF(Productie_en_afzet!$D$17&gt;=2,"Het vermogen van de gasopwaardeerinstallatie is ≥ 2 MW, er gelden duurzaamheidseisen voor de ingezette biomassa!","")</f>
        <v/>
      </c>
      <c r="AB110" s="127">
        <v>12</v>
      </c>
      <c r="AC110" s="210">
        <f>PBL_OT_2025!$F$8/POWER(1.02,7)+PBL_OT_2025!$D$41</f>
        <v>3.7050587860326195E-2</v>
      </c>
      <c r="AD110" s="210">
        <f t="shared" si="2"/>
        <v>0</v>
      </c>
      <c r="AE110" s="210" t="str">
        <f t="shared" si="10"/>
        <v/>
      </c>
      <c r="AF110" s="210" t="s">
        <v>975</v>
      </c>
      <c r="AG110" s="232">
        <v>13</v>
      </c>
      <c r="AH110" s="127"/>
    </row>
    <row r="111" spans="1:34" ht="15" x14ac:dyDescent="0.25">
      <c r="A111" s="127" t="s">
        <v>570</v>
      </c>
      <c r="B111" s="210">
        <v>0.2107</v>
      </c>
      <c r="C111" s="202">
        <v>1.6500000000000001E-2</v>
      </c>
      <c r="D111" s="210"/>
      <c r="E111" s="203">
        <v>4.0300000000000002E-2</v>
      </c>
      <c r="F111" s="203">
        <v>0.51129999999999998</v>
      </c>
      <c r="G111" s="238">
        <f t="shared" si="4"/>
        <v>333.2681400352044</v>
      </c>
      <c r="H111" s="210">
        <f t="shared" si="14"/>
        <v>5.3400000000000003E-2</v>
      </c>
      <c r="I111" s="210" t="str">
        <f>""</f>
        <v/>
      </c>
      <c r="J111" s="210">
        <v>1.55E-2</v>
      </c>
      <c r="K111" s="211"/>
      <c r="L111" s="127">
        <v>8000</v>
      </c>
      <c r="M111" s="127">
        <v>12</v>
      </c>
      <c r="N111" s="201">
        <f t="shared" ref="N111:N119" si="15">MIN($B111,(75*$F111/1000)+$E111)</f>
        <v>7.8647500000000009E-2</v>
      </c>
      <c r="O111" s="201">
        <f t="shared" ref="O111:O119" si="16">MIN($B111,(150*$F111/1000)+$E111)</f>
        <v>0.116995</v>
      </c>
      <c r="P111" s="201">
        <f t="shared" ref="P111:P119" si="17">MIN($B111,(225*$F111/1000)+$E111)</f>
        <v>0.15534249999999999</v>
      </c>
      <c r="Q111" s="201">
        <f t="shared" si="9"/>
        <v>0.19369</v>
      </c>
      <c r="R111" s="127" t="s">
        <v>196</v>
      </c>
      <c r="S111" s="127" t="str">
        <f>""</f>
        <v/>
      </c>
      <c r="T111" s="127" t="s">
        <v>181</v>
      </c>
      <c r="U111" s="127" t="s">
        <v>182</v>
      </c>
      <c r="V111" s="127" t="s">
        <v>183</v>
      </c>
      <c r="W111" s="127" t="s">
        <v>184</v>
      </c>
      <c r="X111" s="127" t="s">
        <v>141</v>
      </c>
      <c r="Y111" s="127" t="s">
        <v>186</v>
      </c>
      <c r="Z111" s="127" t="s">
        <v>187</v>
      </c>
      <c r="AA111" s="127" t="str">
        <f>""</f>
        <v/>
      </c>
      <c r="AB111" s="127">
        <v>12</v>
      </c>
      <c r="AC111" s="210">
        <f>PBL_OT_2025!$F$8/POWER(1.02,7)+PBL_OT_2025!$D$41</f>
        <v>3.7050587860326195E-2</v>
      </c>
      <c r="AD111" s="210">
        <f t="shared" si="2"/>
        <v>0</v>
      </c>
      <c r="AE111" s="210" t="str">
        <f t="shared" si="10"/>
        <v/>
      </c>
      <c r="AF111" s="210" t="s">
        <v>975</v>
      </c>
      <c r="AG111" s="232">
        <v>13</v>
      </c>
      <c r="AH111" s="127"/>
    </row>
    <row r="112" spans="1:34" ht="15" x14ac:dyDescent="0.25">
      <c r="A112" s="127" t="s">
        <v>750</v>
      </c>
      <c r="B112" s="210">
        <v>0.15709999999999999</v>
      </c>
      <c r="C112" s="202">
        <v>1.6500000000000001E-2</v>
      </c>
      <c r="D112" s="210"/>
      <c r="E112" s="203">
        <v>4.0300000000000002E-2</v>
      </c>
      <c r="F112" s="203">
        <v>0.50649999999999995</v>
      </c>
      <c r="G112" s="238">
        <f t="shared" si="4"/>
        <v>230.60217176702861</v>
      </c>
      <c r="H112" s="210">
        <f t="shared" si="14"/>
        <v>5.3400000000000003E-2</v>
      </c>
      <c r="I112" s="210"/>
      <c r="J112" s="210">
        <v>1.55E-2</v>
      </c>
      <c r="K112" s="211"/>
      <c r="L112" s="127">
        <v>8000</v>
      </c>
      <c r="M112" s="127">
        <v>12</v>
      </c>
      <c r="N112" s="201">
        <f t="shared" si="15"/>
        <v>7.828750000000001E-2</v>
      </c>
      <c r="O112" s="201">
        <f t="shared" si="16"/>
        <v>0.116275</v>
      </c>
      <c r="P112" s="201">
        <f t="shared" si="17"/>
        <v>0.1542625</v>
      </c>
      <c r="Q112" s="201">
        <f t="shared" si="9"/>
        <v>0.15709999999999999</v>
      </c>
      <c r="R112" s="127" t="s">
        <v>196</v>
      </c>
      <c r="S112" s="127"/>
      <c r="T112" s="127" t="s">
        <v>181</v>
      </c>
      <c r="U112" s="127" t="s">
        <v>182</v>
      </c>
      <c r="V112" s="127" t="s">
        <v>183</v>
      </c>
      <c r="W112" s="127" t="s">
        <v>184</v>
      </c>
      <c r="X112" s="127" t="s">
        <v>141</v>
      </c>
      <c r="Y112" s="127" t="s">
        <v>186</v>
      </c>
      <c r="Z112" s="127" t="s">
        <v>187</v>
      </c>
      <c r="AA112" s="127"/>
      <c r="AB112" s="127">
        <v>12</v>
      </c>
      <c r="AC112" s="210">
        <f>PBL_OT_2025!$F$8/POWER(1.02,7)+PBL_OT_2025!$D$41</f>
        <v>3.7050587860326195E-2</v>
      </c>
      <c r="AD112" s="210">
        <f t="shared" si="2"/>
        <v>0</v>
      </c>
      <c r="AE112" s="210" t="str">
        <f t="shared" si="10"/>
        <v/>
      </c>
      <c r="AF112" s="210" t="s">
        <v>975</v>
      </c>
      <c r="AG112" s="232">
        <v>13</v>
      </c>
      <c r="AH112" s="127"/>
    </row>
    <row r="113" spans="1:34" ht="15" x14ac:dyDescent="0.25">
      <c r="A113" s="127" t="s">
        <v>751</v>
      </c>
      <c r="B113" s="210">
        <v>0.14230000000000001</v>
      </c>
      <c r="C113" s="202">
        <v>1.6500000000000001E-2</v>
      </c>
      <c r="D113" s="210"/>
      <c r="E113" s="203">
        <v>4.0300000000000002E-2</v>
      </c>
      <c r="F113" s="203">
        <v>0.30690000000000001</v>
      </c>
      <c r="G113" s="238">
        <f t="shared" si="4"/>
        <v>332.35581622678399</v>
      </c>
      <c r="H113" s="210">
        <f t="shared" si="14"/>
        <v>5.3400000000000003E-2</v>
      </c>
      <c r="I113" s="210"/>
      <c r="J113" s="210">
        <v>1.55E-2</v>
      </c>
      <c r="K113" s="211"/>
      <c r="L113" s="127">
        <v>8000</v>
      </c>
      <c r="M113" s="127">
        <v>12</v>
      </c>
      <c r="N113" s="201">
        <f t="shared" si="15"/>
        <v>6.3317499999999999E-2</v>
      </c>
      <c r="O113" s="201">
        <f t="shared" si="16"/>
        <v>8.6335000000000009E-2</v>
      </c>
      <c r="P113" s="201">
        <f t="shared" si="17"/>
        <v>0.10935249999999999</v>
      </c>
      <c r="Q113" s="201">
        <f t="shared" si="9"/>
        <v>0.13237000000000002</v>
      </c>
      <c r="R113" s="127" t="s">
        <v>196</v>
      </c>
      <c r="S113" s="127"/>
      <c r="T113" s="127" t="s">
        <v>181</v>
      </c>
      <c r="U113" s="127" t="s">
        <v>182</v>
      </c>
      <c r="V113" s="127" t="s">
        <v>183</v>
      </c>
      <c r="W113" s="127" t="s">
        <v>184</v>
      </c>
      <c r="X113" s="127" t="s">
        <v>141</v>
      </c>
      <c r="Y113" s="127" t="s">
        <v>186</v>
      </c>
      <c r="Z113" s="127" t="s">
        <v>187</v>
      </c>
      <c r="AA113" s="127"/>
      <c r="AB113" s="127">
        <v>12</v>
      </c>
      <c r="AC113" s="210">
        <f>PBL_OT_2025!$F$8/POWER(1.02,7)+PBL_OT_2025!$D$41</f>
        <v>3.7050587860326195E-2</v>
      </c>
      <c r="AD113" s="210">
        <f t="shared" si="2"/>
        <v>0</v>
      </c>
      <c r="AE113" s="210" t="str">
        <f t="shared" si="10"/>
        <v/>
      </c>
      <c r="AF113" s="210" t="s">
        <v>975</v>
      </c>
      <c r="AG113" s="232">
        <v>13</v>
      </c>
      <c r="AH113" s="127"/>
    </row>
    <row r="114" spans="1:34" ht="15" x14ac:dyDescent="0.25">
      <c r="A114" s="127" t="s">
        <v>752</v>
      </c>
      <c r="B114" s="211">
        <v>9.1800000000000007E-2</v>
      </c>
      <c r="C114" s="202">
        <v>1.6500000000000001E-2</v>
      </c>
      <c r="D114" s="210"/>
      <c r="E114" s="203">
        <v>4.0300000000000002E-2</v>
      </c>
      <c r="F114" s="203">
        <v>0.31769999999999998</v>
      </c>
      <c r="G114" s="238">
        <f t="shared" si="4"/>
        <v>162.10261252754174</v>
      </c>
      <c r="H114" s="210">
        <f t="shared" si="14"/>
        <v>5.3400000000000003E-2</v>
      </c>
      <c r="I114" s="210" t="str">
        <f>""</f>
        <v/>
      </c>
      <c r="J114" s="210">
        <v>1.55E-2</v>
      </c>
      <c r="K114" s="211"/>
      <c r="L114" s="127">
        <v>8000</v>
      </c>
      <c r="M114" s="127">
        <v>12</v>
      </c>
      <c r="N114" s="201">
        <f t="shared" si="15"/>
        <v>6.4127500000000004E-2</v>
      </c>
      <c r="O114" s="201">
        <f t="shared" si="16"/>
        <v>8.7955000000000005E-2</v>
      </c>
      <c r="P114" s="201">
        <f t="shared" si="17"/>
        <v>9.1800000000000007E-2</v>
      </c>
      <c r="Q114" s="201">
        <f t="shared" si="9"/>
        <v>9.1800000000000007E-2</v>
      </c>
      <c r="R114" s="127" t="s">
        <v>196</v>
      </c>
      <c r="S114" s="127" t="str">
        <f>""</f>
        <v/>
      </c>
      <c r="T114" s="127" t="s">
        <v>181</v>
      </c>
      <c r="U114" s="127" t="s">
        <v>182</v>
      </c>
      <c r="V114" s="127" t="s">
        <v>183</v>
      </c>
      <c r="W114" s="127" t="s">
        <v>184</v>
      </c>
      <c r="X114" s="127" t="s">
        <v>141</v>
      </c>
      <c r="Y114" s="127" t="s">
        <v>186</v>
      </c>
      <c r="Z114" s="127" t="s">
        <v>187</v>
      </c>
      <c r="AA114" s="127" t="str">
        <f>IF(Productie_en_afzet!$D$17&gt;=2,"Het vermogen van de gasopwaardeerinstallatie is ≥ 2 MW, er gelden duurzaamheidseisen voor de ingezette biomassa!","")</f>
        <v/>
      </c>
      <c r="AB114" s="127">
        <v>12</v>
      </c>
      <c r="AC114" s="210">
        <f>PBL_OT_2025!$F$8/POWER(1.02,7)+PBL_OT_2025!$D$41</f>
        <v>3.7050587860326195E-2</v>
      </c>
      <c r="AD114" s="210">
        <f t="shared" si="2"/>
        <v>0</v>
      </c>
      <c r="AE114" s="210" t="str">
        <f t="shared" si="10"/>
        <v/>
      </c>
      <c r="AF114" s="210" t="s">
        <v>975</v>
      </c>
      <c r="AG114" s="232">
        <v>13</v>
      </c>
      <c r="AH114" s="127"/>
    </row>
    <row r="115" spans="1:34" ht="15" x14ac:dyDescent="0.25">
      <c r="A115" s="127" t="s">
        <v>729</v>
      </c>
      <c r="B115" s="210">
        <v>8.8599999999999998E-2</v>
      </c>
      <c r="C115" s="202">
        <v>1.6500000000000001E-2</v>
      </c>
      <c r="D115" s="210"/>
      <c r="E115" s="203">
        <v>4.0300000000000002E-2</v>
      </c>
      <c r="F115" s="203">
        <v>0.30690000000000001</v>
      </c>
      <c r="G115" s="238">
        <f t="shared" si="4"/>
        <v>157.3802541544477</v>
      </c>
      <c r="H115" s="210">
        <f t="shared" si="14"/>
        <v>5.3400000000000003E-2</v>
      </c>
      <c r="I115" s="210" t="str">
        <f>""</f>
        <v/>
      </c>
      <c r="J115" s="210">
        <v>1.55E-2</v>
      </c>
      <c r="K115" s="211"/>
      <c r="L115" s="127">
        <v>8000</v>
      </c>
      <c r="M115" s="127">
        <v>12</v>
      </c>
      <c r="N115" s="201">
        <f t="shared" si="15"/>
        <v>6.3317499999999999E-2</v>
      </c>
      <c r="O115" s="201">
        <f t="shared" si="16"/>
        <v>8.6335000000000009E-2</v>
      </c>
      <c r="P115" s="201">
        <f t="shared" si="17"/>
        <v>8.8599999999999998E-2</v>
      </c>
      <c r="Q115" s="201">
        <f t="shared" si="9"/>
        <v>8.8599999999999998E-2</v>
      </c>
      <c r="R115" s="127" t="s">
        <v>196</v>
      </c>
      <c r="S115" s="127" t="str">
        <f>""</f>
        <v/>
      </c>
      <c r="T115" s="127" t="s">
        <v>181</v>
      </c>
      <c r="U115" s="127" t="s">
        <v>182</v>
      </c>
      <c r="V115" s="127" t="s">
        <v>183</v>
      </c>
      <c r="W115" s="127" t="s">
        <v>734</v>
      </c>
      <c r="X115" s="127" t="s">
        <v>141</v>
      </c>
      <c r="Y115" s="127" t="s">
        <v>186</v>
      </c>
      <c r="Z115" s="127" t="s">
        <v>187</v>
      </c>
      <c r="AA115" s="127" t="str">
        <f>""</f>
        <v/>
      </c>
      <c r="AB115" s="127">
        <v>12</v>
      </c>
      <c r="AC115" s="210">
        <f>PBL_OT_2025!$F$8/POWER(1.02,7)+PBL_OT_2025!$D$41</f>
        <v>3.7050587860326195E-2</v>
      </c>
      <c r="AD115" s="210">
        <f t="shared" si="2"/>
        <v>0</v>
      </c>
      <c r="AE115" s="210" t="str">
        <f t="shared" si="10"/>
        <v/>
      </c>
      <c r="AF115" s="210" t="s">
        <v>975</v>
      </c>
      <c r="AG115" s="232">
        <v>13</v>
      </c>
      <c r="AH115" s="127"/>
    </row>
    <row r="116" spans="1:34" ht="15" x14ac:dyDescent="0.25">
      <c r="A116" s="127" t="s">
        <v>739</v>
      </c>
      <c r="B116" s="210">
        <v>0.1026</v>
      </c>
      <c r="C116" s="202">
        <v>1.6500000000000001E-2</v>
      </c>
      <c r="D116" s="210"/>
      <c r="E116" s="203">
        <v>4.0300000000000002E-2</v>
      </c>
      <c r="F116" s="203">
        <v>0.30690000000000001</v>
      </c>
      <c r="G116" s="238">
        <f t="shared" si="4"/>
        <v>202.99771912675138</v>
      </c>
      <c r="H116" s="210">
        <f t="shared" si="14"/>
        <v>5.3400000000000003E-2</v>
      </c>
      <c r="I116" s="210" t="str">
        <f>""</f>
        <v/>
      </c>
      <c r="J116" s="210">
        <v>1.55E-2</v>
      </c>
      <c r="K116" s="211"/>
      <c r="L116" s="127">
        <v>8000</v>
      </c>
      <c r="M116" s="127">
        <v>12</v>
      </c>
      <c r="N116" s="201">
        <f t="shared" si="15"/>
        <v>6.3317499999999999E-2</v>
      </c>
      <c r="O116" s="201">
        <f t="shared" si="16"/>
        <v>8.6335000000000009E-2</v>
      </c>
      <c r="P116" s="201">
        <f t="shared" si="17"/>
        <v>0.1026</v>
      </c>
      <c r="Q116" s="201">
        <f t="shared" si="9"/>
        <v>0.1026</v>
      </c>
      <c r="R116" s="127" t="s">
        <v>196</v>
      </c>
      <c r="S116" s="127" t="str">
        <f>""</f>
        <v/>
      </c>
      <c r="T116" s="127" t="s">
        <v>181</v>
      </c>
      <c r="U116" s="127" t="s">
        <v>182</v>
      </c>
      <c r="V116" s="127" t="s">
        <v>183</v>
      </c>
      <c r="W116" s="127" t="s">
        <v>733</v>
      </c>
      <c r="X116" s="127" t="s">
        <v>141</v>
      </c>
      <c r="Y116" s="127" t="s">
        <v>186</v>
      </c>
      <c r="Z116" s="127" t="s">
        <v>187</v>
      </c>
      <c r="AA116" s="127" t="str">
        <f>""</f>
        <v/>
      </c>
      <c r="AB116" s="127">
        <v>12</v>
      </c>
      <c r="AC116" s="210">
        <f>PBL_OT_2025!$F$8/POWER(1.02,7)+PBL_OT_2025!$D$41</f>
        <v>3.7050587860326195E-2</v>
      </c>
      <c r="AD116" s="210">
        <f t="shared" si="2"/>
        <v>0</v>
      </c>
      <c r="AE116" s="210" t="str">
        <f t="shared" si="10"/>
        <v/>
      </c>
      <c r="AF116" s="210" t="s">
        <v>975</v>
      </c>
      <c r="AG116" s="232">
        <v>13</v>
      </c>
      <c r="AH116" s="127"/>
    </row>
    <row r="117" spans="1:34" ht="15" x14ac:dyDescent="0.25">
      <c r="A117" s="127" t="s">
        <v>197</v>
      </c>
      <c r="B117" s="210">
        <v>0.1085</v>
      </c>
      <c r="C117" s="202">
        <v>1.6500000000000001E-2</v>
      </c>
      <c r="D117" s="210"/>
      <c r="E117" s="203">
        <v>4.0300000000000002E-2</v>
      </c>
      <c r="F117" s="203">
        <v>0.17050000000000001</v>
      </c>
      <c r="G117" s="238">
        <f t="shared" si="4"/>
        <v>400</v>
      </c>
      <c r="H117" s="210">
        <f t="shared" si="14"/>
        <v>5.3400000000000003E-2</v>
      </c>
      <c r="I117" s="210" t="str">
        <f>""</f>
        <v/>
      </c>
      <c r="J117" s="210">
        <v>1.55E-2</v>
      </c>
      <c r="K117" s="211"/>
      <c r="L117" s="127">
        <v>8000</v>
      </c>
      <c r="M117" s="127">
        <v>12</v>
      </c>
      <c r="N117" s="201">
        <f t="shared" si="15"/>
        <v>5.3087500000000003E-2</v>
      </c>
      <c r="O117" s="201">
        <f t="shared" si="16"/>
        <v>6.5875000000000003E-2</v>
      </c>
      <c r="P117" s="201">
        <f t="shared" si="17"/>
        <v>7.866250000000001E-2</v>
      </c>
      <c r="Q117" s="201">
        <f t="shared" si="9"/>
        <v>9.1450000000000004E-2</v>
      </c>
      <c r="R117" s="127" t="s">
        <v>196</v>
      </c>
      <c r="S117" s="127" t="str">
        <f>""</f>
        <v/>
      </c>
      <c r="T117" s="127" t="s">
        <v>181</v>
      </c>
      <c r="U117" s="127" t="s">
        <v>182</v>
      </c>
      <c r="V117" s="127" t="s">
        <v>183</v>
      </c>
      <c r="W117" s="127" t="s">
        <v>189</v>
      </c>
      <c r="X117" s="127" t="s">
        <v>141</v>
      </c>
      <c r="Y117" s="127" t="s">
        <v>186</v>
      </c>
      <c r="Z117" s="127" t="s">
        <v>187</v>
      </c>
      <c r="AA117" s="127" t="str">
        <f>IF(Productie_en_afzet!$D$17&gt;=2,"Het vermogen van de gasopwaardeerinstallatie is ≥ 2 MW, er gelden duurzaamheidseisen voor de ingezette biomassa!","")</f>
        <v/>
      </c>
      <c r="AB117" s="127">
        <v>12</v>
      </c>
      <c r="AC117" s="210">
        <f>PBL_OT_2025!$F$8/POWER(1.02,7)+PBL_OT_2025!$D$41</f>
        <v>3.7050587860326195E-2</v>
      </c>
      <c r="AD117" s="210">
        <f t="shared" si="2"/>
        <v>0</v>
      </c>
      <c r="AE117" s="210" t="str">
        <f t="shared" si="10"/>
        <v/>
      </c>
      <c r="AF117" s="210" t="s">
        <v>975</v>
      </c>
      <c r="AG117" s="232">
        <v>13</v>
      </c>
      <c r="AH117" s="127"/>
    </row>
    <row r="118" spans="1:34" ht="15" x14ac:dyDescent="0.25">
      <c r="A118" s="127" t="s">
        <v>753</v>
      </c>
      <c r="B118" s="210">
        <v>3.7499999999999999E-2</v>
      </c>
      <c r="C118" s="202">
        <v>1.6500000000000001E-2</v>
      </c>
      <c r="D118" s="210"/>
      <c r="E118" s="203">
        <v>4.0300000000000002E-2</v>
      </c>
      <c r="F118" s="203">
        <v>0.1716</v>
      </c>
      <c r="G118" s="238">
        <f t="shared" si="4"/>
        <v>-16.317016317016339</v>
      </c>
      <c r="H118" s="210">
        <f t="shared" si="14"/>
        <v>5.3400000000000003E-2</v>
      </c>
      <c r="I118" s="210"/>
      <c r="J118" s="210">
        <v>1.55E-2</v>
      </c>
      <c r="K118" s="211"/>
      <c r="L118" s="127">
        <v>8000</v>
      </c>
      <c r="M118" s="127">
        <v>12</v>
      </c>
      <c r="N118" s="201">
        <f t="shared" si="15"/>
        <v>3.7499999999999999E-2</v>
      </c>
      <c r="O118" s="201">
        <f t="shared" si="16"/>
        <v>3.7499999999999999E-2</v>
      </c>
      <c r="P118" s="201">
        <f t="shared" si="17"/>
        <v>3.7499999999999999E-2</v>
      </c>
      <c r="Q118" s="201">
        <f t="shared" si="9"/>
        <v>3.7499999999999999E-2</v>
      </c>
      <c r="R118" s="127" t="s">
        <v>196</v>
      </c>
      <c r="S118" s="127"/>
      <c r="T118" s="127" t="s">
        <v>181</v>
      </c>
      <c r="U118" s="127" t="s">
        <v>182</v>
      </c>
      <c r="V118" s="127" t="s">
        <v>183</v>
      </c>
      <c r="W118" s="127" t="s">
        <v>733</v>
      </c>
      <c r="X118" s="127" t="s">
        <v>141</v>
      </c>
      <c r="Y118" s="127" t="s">
        <v>186</v>
      </c>
      <c r="Z118" s="127" t="s">
        <v>187</v>
      </c>
      <c r="AA118" s="127" t="str">
        <f>IF(Productie_en_afzet!$D$17&gt;=2,"Het vermogen van de gasopwaardeerinstallatie is ≥ 2 MW, er gelden duurzaamheidseisen voor de ingezette biomassa!","")</f>
        <v/>
      </c>
      <c r="AB118" s="127">
        <v>12</v>
      </c>
      <c r="AC118" s="210">
        <f>PBL_OT_2025!$F$8/POWER(1.02,7)+PBL_OT_2025!$D$41</f>
        <v>3.7050587860326195E-2</v>
      </c>
      <c r="AD118" s="210">
        <f t="shared" si="2"/>
        <v>0</v>
      </c>
      <c r="AE118" s="210" t="str">
        <f t="shared" si="10"/>
        <v/>
      </c>
      <c r="AF118" s="210" t="s">
        <v>975</v>
      </c>
      <c r="AG118" s="232">
        <v>13</v>
      </c>
      <c r="AH118" s="127"/>
    </row>
    <row r="119" spans="1:34" ht="15" x14ac:dyDescent="0.25">
      <c r="A119" s="127" t="s">
        <v>749</v>
      </c>
      <c r="B119" s="210">
        <v>9.1499999999999998E-2</v>
      </c>
      <c r="C119" s="202">
        <v>1.6500000000000001E-2</v>
      </c>
      <c r="D119" s="210"/>
      <c r="E119" s="203">
        <v>4.0300000000000002E-2</v>
      </c>
      <c r="F119" s="203">
        <v>0.1651</v>
      </c>
      <c r="G119" s="238">
        <f t="shared" si="4"/>
        <v>310.11508176862503</v>
      </c>
      <c r="H119" s="210">
        <f t="shared" si="14"/>
        <v>5.3400000000000003E-2</v>
      </c>
      <c r="I119" s="210" t="str">
        <f>""</f>
        <v/>
      </c>
      <c r="J119" s="210">
        <v>1.55E-2</v>
      </c>
      <c r="K119" s="211"/>
      <c r="L119" s="127">
        <v>7500</v>
      </c>
      <c r="M119" s="127">
        <v>15</v>
      </c>
      <c r="N119" s="201">
        <f t="shared" si="15"/>
        <v>5.2682500000000007E-2</v>
      </c>
      <c r="O119" s="201">
        <f t="shared" si="16"/>
        <v>6.5065000000000012E-2</v>
      </c>
      <c r="P119" s="201">
        <f t="shared" si="17"/>
        <v>7.7447500000000002E-2</v>
      </c>
      <c r="Q119" s="201">
        <f t="shared" si="9"/>
        <v>8.9830000000000007E-2</v>
      </c>
      <c r="R119" s="127" t="s">
        <v>196</v>
      </c>
      <c r="S119" s="127" t="str">
        <f>""</f>
        <v/>
      </c>
      <c r="T119" s="127" t="s">
        <v>181</v>
      </c>
      <c r="U119" s="127" t="s">
        <v>182</v>
      </c>
      <c r="V119" s="127" t="s">
        <v>183</v>
      </c>
      <c r="W119" s="127" t="s">
        <v>184</v>
      </c>
      <c r="X119" s="127" t="s">
        <v>141</v>
      </c>
      <c r="Y119" s="127" t="s">
        <v>186</v>
      </c>
      <c r="Z119" s="127" t="s">
        <v>187</v>
      </c>
      <c r="AA119" s="127" t="str">
        <f>IF(Productie_en_afzet!$D$17&gt;=2,"Het vermogen van de gasopwaardeerinstallatie is ≥ 2 MW, er gelden duurzaamheidseisen voor de ingezette biomassa!","")</f>
        <v/>
      </c>
      <c r="AB119" s="127">
        <v>12</v>
      </c>
      <c r="AC119" s="210">
        <f>PBL_OT_2025!$F$8/POWER(1.02,7)+PBL_OT_2025!$D$41</f>
        <v>3.7050587860326195E-2</v>
      </c>
      <c r="AD119" s="210">
        <f t="shared" si="2"/>
        <v>0</v>
      </c>
      <c r="AE119" s="210" t="str">
        <f t="shared" si="10"/>
        <v/>
      </c>
      <c r="AF119" s="210" t="s">
        <v>975</v>
      </c>
      <c r="AG119" s="232">
        <v>13</v>
      </c>
      <c r="AH119" s="127"/>
    </row>
    <row r="120" spans="1:34" ht="15" x14ac:dyDescent="0.25">
      <c r="A120" s="127"/>
      <c r="B120" s="210"/>
      <c r="C120" s="203"/>
      <c r="D120" s="210"/>
      <c r="E120" s="203"/>
      <c r="F120" s="203"/>
      <c r="G120" s="238"/>
      <c r="H120" s="210"/>
      <c r="I120" s="210"/>
      <c r="J120" s="210"/>
      <c r="K120" s="210"/>
      <c r="L120" s="127"/>
      <c r="M120" s="127"/>
      <c r="N120" s="201"/>
      <c r="O120" s="201"/>
      <c r="P120" s="201"/>
      <c r="Q120" s="201"/>
      <c r="R120" s="127"/>
      <c r="S120" s="127"/>
      <c r="T120" s="127"/>
      <c r="U120" s="127"/>
      <c r="V120" s="127"/>
      <c r="W120" s="127"/>
      <c r="X120" s="127"/>
      <c r="Y120" s="127"/>
      <c r="Z120" s="127"/>
      <c r="AA120" s="127"/>
      <c r="AB120" s="127"/>
      <c r="AC120" s="237"/>
      <c r="AD120" s="210"/>
      <c r="AE120" s="210"/>
      <c r="AF120" s="210"/>
      <c r="AG120" s="233"/>
      <c r="AH120" s="127"/>
    </row>
    <row r="121" spans="1:34" ht="15" x14ac:dyDescent="0.25">
      <c r="A121" s="204" t="s">
        <v>690</v>
      </c>
      <c r="B121" s="211"/>
      <c r="C121" s="203"/>
      <c r="D121" s="210"/>
      <c r="E121" s="203"/>
      <c r="F121" s="203"/>
      <c r="G121" s="238"/>
      <c r="H121" s="210"/>
      <c r="I121" s="210"/>
      <c r="J121" s="210"/>
      <c r="K121" s="210"/>
      <c r="L121" s="127"/>
      <c r="M121" s="127"/>
      <c r="N121" s="201"/>
      <c r="O121" s="201"/>
      <c r="P121" s="201"/>
      <c r="Q121" s="201"/>
      <c r="R121" s="127"/>
      <c r="S121" s="127"/>
      <c r="T121" s="127"/>
      <c r="U121" s="127"/>
      <c r="V121" s="127"/>
      <c r="W121" s="127"/>
      <c r="X121" s="127"/>
      <c r="Y121" s="127"/>
      <c r="Z121" s="127"/>
      <c r="AA121" s="127"/>
      <c r="AB121" s="127"/>
      <c r="AC121" s="237"/>
      <c r="AD121" s="210"/>
      <c r="AE121" s="210"/>
      <c r="AF121" s="210"/>
      <c r="AG121" s="233"/>
      <c r="AH121" s="127"/>
    </row>
    <row r="122" spans="1:34" ht="15" x14ac:dyDescent="0.25">
      <c r="A122" s="127" t="s">
        <v>692</v>
      </c>
      <c r="B122" s="211">
        <v>0.1396</v>
      </c>
      <c r="C122" s="203">
        <v>3.6600000000000001E-2</v>
      </c>
      <c r="D122" s="210"/>
      <c r="E122" s="203">
        <v>4.9599999999999998E-2</v>
      </c>
      <c r="F122" s="203">
        <v>0.22500000000000001</v>
      </c>
      <c r="G122" s="238">
        <f t="shared" si="4"/>
        <v>400</v>
      </c>
      <c r="H122" s="210">
        <v>6.3E-2</v>
      </c>
      <c r="I122" s="210" t="str">
        <f>""</f>
        <v/>
      </c>
      <c r="J122" s="210"/>
      <c r="K122" s="210">
        <v>1.5E-3</v>
      </c>
      <c r="L122" s="127">
        <v>7000</v>
      </c>
      <c r="M122" s="127">
        <v>12</v>
      </c>
      <c r="N122" s="201">
        <f>MIN($B122,(75*$F122/1000)+$E122)</f>
        <v>6.6475000000000006E-2</v>
      </c>
      <c r="O122" s="201">
        <f>MIN($B122,(150*$F122/1000)+$E122)</f>
        <v>8.3350000000000007E-2</v>
      </c>
      <c r="P122" s="201">
        <f>MIN($B122,(225*$F122/1000)+$E122)</f>
        <v>0.10022500000000001</v>
      </c>
      <c r="Q122" s="201">
        <f t="shared" si="9"/>
        <v>0.11710000000000001</v>
      </c>
      <c r="R122" s="127" t="s">
        <v>180</v>
      </c>
      <c r="S122" s="127"/>
      <c r="T122" s="127" t="s">
        <v>181</v>
      </c>
      <c r="U122" s="127" t="s">
        <v>182</v>
      </c>
      <c r="V122" s="127" t="s">
        <v>183</v>
      </c>
      <c r="W122" s="127" t="s">
        <v>184</v>
      </c>
      <c r="X122" s="127" t="s">
        <v>191</v>
      </c>
      <c r="Y122" s="127" t="s">
        <v>186</v>
      </c>
      <c r="Z122" s="127" t="s">
        <v>187</v>
      </c>
      <c r="AA122" s="127" t="s">
        <v>198</v>
      </c>
      <c r="AB122" s="127">
        <v>12</v>
      </c>
      <c r="AC122" s="210">
        <f>(PBL_OT_2025!$F$30/POWER(1.02,7)+PBL_OT_2025!$D$100)/90%</f>
        <v>4.2881714842410816E-2</v>
      </c>
      <c r="AD122" s="210">
        <f t="shared" si="2"/>
        <v>1.5E-3</v>
      </c>
      <c r="AE122" s="210" t="str">
        <f t="shared" si="10"/>
        <v/>
      </c>
      <c r="AF122" s="210" t="s">
        <v>554</v>
      </c>
      <c r="AG122" s="232">
        <v>16</v>
      </c>
      <c r="AH122" s="127"/>
    </row>
    <row r="123" spans="1:34" ht="15" x14ac:dyDescent="0.25">
      <c r="A123" s="127" t="s">
        <v>693</v>
      </c>
      <c r="B123" s="211">
        <v>0.15970000000000001</v>
      </c>
      <c r="C123" s="203">
        <v>3.6600000000000001E-2</v>
      </c>
      <c r="D123" s="210"/>
      <c r="E123" s="203">
        <v>7.51E-2</v>
      </c>
      <c r="F123" s="203">
        <v>0.22500000000000001</v>
      </c>
      <c r="G123" s="238">
        <f t="shared" si="4"/>
        <v>376.00000000000006</v>
      </c>
      <c r="H123" s="210">
        <v>6.3E-2</v>
      </c>
      <c r="I123" s="210"/>
      <c r="J123" s="210"/>
      <c r="K123" s="210">
        <v>1.55E-2</v>
      </c>
      <c r="L123" s="127">
        <v>7000</v>
      </c>
      <c r="M123" s="127">
        <v>12</v>
      </c>
      <c r="N123" s="201">
        <f t="shared" ref="N123:N136" si="18">MIN($B123,(75*$F123/1000)+$E123)</f>
        <v>9.1975000000000001E-2</v>
      </c>
      <c r="O123" s="201">
        <f t="shared" ref="O123:O136" si="19">MIN($B123,(150*$F123/1000)+$E123)</f>
        <v>0.10885</v>
      </c>
      <c r="P123" s="201">
        <f t="shared" ref="P123:P136" si="20">MIN($B123,(225*$F123/1000)+$E123)</f>
        <v>0.125725</v>
      </c>
      <c r="Q123" s="201">
        <f t="shared" si="9"/>
        <v>0.1426</v>
      </c>
      <c r="R123" s="127" t="s">
        <v>180</v>
      </c>
      <c r="S123" s="127"/>
      <c r="T123" s="127" t="s">
        <v>181</v>
      </c>
      <c r="U123" s="127" t="s">
        <v>182</v>
      </c>
      <c r="V123" s="127" t="s">
        <v>183</v>
      </c>
      <c r="W123" s="127" t="s">
        <v>184</v>
      </c>
      <c r="X123" s="127" t="s">
        <v>191</v>
      </c>
      <c r="Y123" s="127" t="s">
        <v>186</v>
      </c>
      <c r="Z123" s="127" t="s">
        <v>187</v>
      </c>
      <c r="AA123" s="127" t="s">
        <v>198</v>
      </c>
      <c r="AB123" s="127">
        <v>12</v>
      </c>
      <c r="AC123" s="210">
        <f>(PBL_OT_2025!$F$30/POWER(1.02,7)+PBL_OT_2025!$D$100)/90%</f>
        <v>4.2881714842410816E-2</v>
      </c>
      <c r="AD123" s="210">
        <f t="shared" si="2"/>
        <v>1.55E-2</v>
      </c>
      <c r="AE123" s="210" t="str">
        <f t="shared" si="10"/>
        <v/>
      </c>
      <c r="AF123" s="210" t="s">
        <v>554</v>
      </c>
      <c r="AG123" s="232">
        <v>16</v>
      </c>
      <c r="AH123" s="127"/>
    </row>
    <row r="124" spans="1:34" ht="15" x14ac:dyDescent="0.25">
      <c r="A124" s="127" t="s">
        <v>200</v>
      </c>
      <c r="B124" s="211">
        <v>6.4899999999999999E-2</v>
      </c>
      <c r="C124" s="203">
        <v>1.29E-2</v>
      </c>
      <c r="D124" s="210"/>
      <c r="E124" s="203">
        <v>1.9300000000000001E-2</v>
      </c>
      <c r="F124" s="203">
        <v>0.22500000000000001</v>
      </c>
      <c r="G124" s="238">
        <f t="shared" si="4"/>
        <v>202.66666666666666</v>
      </c>
      <c r="H124" s="210">
        <v>2.9399999999999999E-2</v>
      </c>
      <c r="I124" s="210" t="str">
        <f>""</f>
        <v/>
      </c>
      <c r="J124" s="210"/>
      <c r="K124" s="210">
        <v>1.55E-2</v>
      </c>
      <c r="L124" s="127">
        <v>4500</v>
      </c>
      <c r="M124" s="127">
        <v>12</v>
      </c>
      <c r="N124" s="201">
        <f t="shared" si="18"/>
        <v>3.6174999999999999E-2</v>
      </c>
      <c r="O124" s="201">
        <f t="shared" si="19"/>
        <v>5.305E-2</v>
      </c>
      <c r="P124" s="201">
        <f t="shared" si="20"/>
        <v>6.4899999999999999E-2</v>
      </c>
      <c r="Q124" s="201">
        <f t="shared" si="9"/>
        <v>6.4899999999999999E-2</v>
      </c>
      <c r="R124" s="127" t="s">
        <v>180</v>
      </c>
      <c r="S124" s="127"/>
      <c r="T124" s="127" t="s">
        <v>181</v>
      </c>
      <c r="U124" s="127" t="s">
        <v>182</v>
      </c>
      <c r="V124" s="127" t="s">
        <v>183</v>
      </c>
      <c r="W124" s="127" t="s">
        <v>199</v>
      </c>
      <c r="X124" s="127" t="s">
        <v>191</v>
      </c>
      <c r="Y124" s="127" t="s">
        <v>186</v>
      </c>
      <c r="Z124" s="127" t="s">
        <v>187</v>
      </c>
      <c r="AA124"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4" s="127">
        <v>12</v>
      </c>
      <c r="AC124" s="210">
        <f>PBL_OT_2025!$F$12/POWER(1.02,7)</f>
        <v>1.678021968721171E-2</v>
      </c>
      <c r="AD124" s="210">
        <f t="shared" si="2"/>
        <v>1.55E-2</v>
      </c>
      <c r="AE124" s="210" t="str">
        <f t="shared" si="10"/>
        <v/>
      </c>
      <c r="AF124" s="210" t="s">
        <v>556</v>
      </c>
      <c r="AG124" s="232">
        <v>17</v>
      </c>
      <c r="AH124" s="127"/>
    </row>
    <row r="125" spans="1:34" ht="15" x14ac:dyDescent="0.25">
      <c r="A125" s="127" t="s">
        <v>201</v>
      </c>
      <c r="B125" s="211">
        <v>6.3700000000000007E-2</v>
      </c>
      <c r="C125" s="203">
        <v>1.29E-2</v>
      </c>
      <c r="D125" s="210"/>
      <c r="E125" s="203">
        <v>1.9300000000000001E-2</v>
      </c>
      <c r="F125" s="203">
        <v>0.22500000000000001</v>
      </c>
      <c r="G125" s="238">
        <f t="shared" si="4"/>
        <v>197.33333333333334</v>
      </c>
      <c r="H125" s="210">
        <v>2.9399999999999999E-2</v>
      </c>
      <c r="I125" s="210" t="str">
        <f>""</f>
        <v/>
      </c>
      <c r="J125" s="210"/>
      <c r="K125" s="210">
        <v>1.55E-2</v>
      </c>
      <c r="L125" s="127">
        <v>5000</v>
      </c>
      <c r="M125" s="127">
        <v>12</v>
      </c>
      <c r="N125" s="201">
        <f t="shared" si="18"/>
        <v>3.6174999999999999E-2</v>
      </c>
      <c r="O125" s="201">
        <f t="shared" si="19"/>
        <v>5.305E-2</v>
      </c>
      <c r="P125" s="201">
        <f t="shared" si="20"/>
        <v>6.3700000000000007E-2</v>
      </c>
      <c r="Q125" s="201">
        <f t="shared" si="9"/>
        <v>6.3700000000000007E-2</v>
      </c>
      <c r="R125" s="127" t="s">
        <v>180</v>
      </c>
      <c r="S125" s="127"/>
      <c r="T125" s="127" t="s">
        <v>181</v>
      </c>
      <c r="U125" s="127" t="s">
        <v>182</v>
      </c>
      <c r="V125" s="127" t="s">
        <v>183</v>
      </c>
      <c r="W125" s="127" t="s">
        <v>199</v>
      </c>
      <c r="X125" s="127" t="s">
        <v>191</v>
      </c>
      <c r="Y125" s="127" t="s">
        <v>186</v>
      </c>
      <c r="Z125" s="127" t="s">
        <v>187</v>
      </c>
      <c r="AA125"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5" s="127">
        <v>12</v>
      </c>
      <c r="AC125" s="210">
        <f>PBL_OT_2025!$F$12/POWER(1.02,7)</f>
        <v>1.678021968721171E-2</v>
      </c>
      <c r="AD125" s="210">
        <f t="shared" si="2"/>
        <v>1.55E-2</v>
      </c>
      <c r="AE125" s="210" t="str">
        <f t="shared" si="10"/>
        <v/>
      </c>
      <c r="AF125" s="210" t="s">
        <v>556</v>
      </c>
      <c r="AG125" s="232">
        <v>17</v>
      </c>
      <c r="AH125" s="127"/>
    </row>
    <row r="126" spans="1:34" ht="15" x14ac:dyDescent="0.25">
      <c r="A126" s="127" t="s">
        <v>202</v>
      </c>
      <c r="B126" s="211">
        <v>6.2799999999999995E-2</v>
      </c>
      <c r="C126" s="203">
        <v>1.29E-2</v>
      </c>
      <c r="D126" s="210"/>
      <c r="E126" s="203">
        <v>1.9300000000000001E-2</v>
      </c>
      <c r="F126" s="203">
        <v>0.22500000000000001</v>
      </c>
      <c r="G126" s="238">
        <f t="shared" si="4"/>
        <v>193.33333333333331</v>
      </c>
      <c r="H126" s="210">
        <v>2.9399999999999999E-2</v>
      </c>
      <c r="I126" s="210" t="str">
        <f>""</f>
        <v/>
      </c>
      <c r="J126" s="210"/>
      <c r="K126" s="210">
        <v>1.55E-2</v>
      </c>
      <c r="L126" s="127">
        <v>5500</v>
      </c>
      <c r="M126" s="127">
        <v>12</v>
      </c>
      <c r="N126" s="201">
        <f t="shared" si="18"/>
        <v>3.6174999999999999E-2</v>
      </c>
      <c r="O126" s="201">
        <f t="shared" si="19"/>
        <v>5.305E-2</v>
      </c>
      <c r="P126" s="201">
        <f t="shared" si="20"/>
        <v>6.2799999999999995E-2</v>
      </c>
      <c r="Q126" s="201">
        <f t="shared" si="9"/>
        <v>6.2799999999999995E-2</v>
      </c>
      <c r="R126" s="127" t="s">
        <v>180</v>
      </c>
      <c r="S126" s="127"/>
      <c r="T126" s="127" t="s">
        <v>181</v>
      </c>
      <c r="U126" s="127" t="s">
        <v>182</v>
      </c>
      <c r="V126" s="127" t="s">
        <v>183</v>
      </c>
      <c r="W126" s="127" t="s">
        <v>199</v>
      </c>
      <c r="X126" s="127" t="s">
        <v>191</v>
      </c>
      <c r="Y126" s="127" t="s">
        <v>186</v>
      </c>
      <c r="Z126" s="127" t="s">
        <v>187</v>
      </c>
      <c r="AA126"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6" s="127">
        <v>12</v>
      </c>
      <c r="AC126" s="210">
        <f>PBL_OT_2025!$F$12/POWER(1.02,7)</f>
        <v>1.678021968721171E-2</v>
      </c>
      <c r="AD126" s="210">
        <f t="shared" si="2"/>
        <v>1.55E-2</v>
      </c>
      <c r="AE126" s="210" t="str">
        <f t="shared" si="10"/>
        <v/>
      </c>
      <c r="AF126" s="210" t="s">
        <v>556</v>
      </c>
      <c r="AG126" s="232">
        <v>17</v>
      </c>
      <c r="AH126" s="127"/>
    </row>
    <row r="127" spans="1:34" ht="15" x14ac:dyDescent="0.25">
      <c r="A127" s="127" t="s">
        <v>203</v>
      </c>
      <c r="B127" s="211">
        <v>6.2E-2</v>
      </c>
      <c r="C127" s="203">
        <v>1.29E-2</v>
      </c>
      <c r="D127" s="210"/>
      <c r="E127" s="203">
        <v>1.9300000000000001E-2</v>
      </c>
      <c r="F127" s="203">
        <v>0.22500000000000001</v>
      </c>
      <c r="G127" s="238">
        <f t="shared" si="4"/>
        <v>189.7777777777778</v>
      </c>
      <c r="H127" s="210">
        <v>2.9399999999999999E-2</v>
      </c>
      <c r="I127" s="210" t="str">
        <f>""</f>
        <v/>
      </c>
      <c r="J127" s="210"/>
      <c r="K127" s="210">
        <v>1.55E-2</v>
      </c>
      <c r="L127" s="127">
        <v>6000</v>
      </c>
      <c r="M127" s="127">
        <v>12</v>
      </c>
      <c r="N127" s="201">
        <f t="shared" si="18"/>
        <v>3.6174999999999999E-2</v>
      </c>
      <c r="O127" s="201">
        <f t="shared" si="19"/>
        <v>5.305E-2</v>
      </c>
      <c r="P127" s="201">
        <f t="shared" si="20"/>
        <v>6.2E-2</v>
      </c>
      <c r="Q127" s="201">
        <f t="shared" si="9"/>
        <v>6.2E-2</v>
      </c>
      <c r="R127" s="127" t="s">
        <v>180</v>
      </c>
      <c r="S127" s="127"/>
      <c r="T127" s="127" t="s">
        <v>181</v>
      </c>
      <c r="U127" s="127" t="s">
        <v>182</v>
      </c>
      <c r="V127" s="127" t="s">
        <v>183</v>
      </c>
      <c r="W127" s="127" t="s">
        <v>199</v>
      </c>
      <c r="X127" s="127" t="s">
        <v>191</v>
      </c>
      <c r="Y127" s="127" t="s">
        <v>186</v>
      </c>
      <c r="Z127" s="127" t="s">
        <v>187</v>
      </c>
      <c r="AA127"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7" s="127">
        <v>12</v>
      </c>
      <c r="AC127" s="210">
        <f>PBL_OT_2025!$F$12/POWER(1.02,7)</f>
        <v>1.678021968721171E-2</v>
      </c>
      <c r="AD127" s="210">
        <f t="shared" si="2"/>
        <v>1.55E-2</v>
      </c>
      <c r="AE127" s="210" t="str">
        <f t="shared" si="10"/>
        <v/>
      </c>
      <c r="AF127" s="210" t="s">
        <v>556</v>
      </c>
      <c r="AG127" s="232">
        <v>17</v>
      </c>
      <c r="AH127" s="127"/>
    </row>
    <row r="128" spans="1:34" ht="15" x14ac:dyDescent="0.25">
      <c r="A128" s="127" t="s">
        <v>204</v>
      </c>
      <c r="B128" s="211">
        <v>6.1400000000000003E-2</v>
      </c>
      <c r="C128" s="203">
        <v>1.29E-2</v>
      </c>
      <c r="D128" s="210"/>
      <c r="E128" s="203">
        <v>1.9300000000000001E-2</v>
      </c>
      <c r="F128" s="203">
        <v>0.22500000000000001</v>
      </c>
      <c r="G128" s="238">
        <f t="shared" si="4"/>
        <v>187.11111111111111</v>
      </c>
      <c r="H128" s="210">
        <v>2.9399999999999999E-2</v>
      </c>
      <c r="I128" s="210" t="str">
        <f>""</f>
        <v/>
      </c>
      <c r="J128" s="210"/>
      <c r="K128" s="210">
        <v>1.55E-2</v>
      </c>
      <c r="L128" s="127">
        <v>6500</v>
      </c>
      <c r="M128" s="127">
        <v>12</v>
      </c>
      <c r="N128" s="201">
        <f t="shared" si="18"/>
        <v>3.6174999999999999E-2</v>
      </c>
      <c r="O128" s="201">
        <f t="shared" si="19"/>
        <v>5.305E-2</v>
      </c>
      <c r="P128" s="201">
        <f t="shared" si="20"/>
        <v>6.1400000000000003E-2</v>
      </c>
      <c r="Q128" s="201">
        <f t="shared" si="9"/>
        <v>6.1400000000000003E-2</v>
      </c>
      <c r="R128" s="127" t="s">
        <v>180</v>
      </c>
      <c r="S128" s="127"/>
      <c r="T128" s="127" t="s">
        <v>181</v>
      </c>
      <c r="U128" s="127" t="s">
        <v>182</v>
      </c>
      <c r="V128" s="127" t="s">
        <v>183</v>
      </c>
      <c r="W128" s="127" t="s">
        <v>199</v>
      </c>
      <c r="X128" s="127" t="s">
        <v>191</v>
      </c>
      <c r="Y128" s="127" t="s">
        <v>186</v>
      </c>
      <c r="Z128" s="127" t="s">
        <v>187</v>
      </c>
      <c r="AA128"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8" s="127">
        <v>12</v>
      </c>
      <c r="AC128" s="210">
        <f>PBL_OT_2025!$F$12/POWER(1.02,7)</f>
        <v>1.678021968721171E-2</v>
      </c>
      <c r="AD128" s="210">
        <f t="shared" si="2"/>
        <v>1.55E-2</v>
      </c>
      <c r="AE128" s="210" t="str">
        <f t="shared" si="10"/>
        <v/>
      </c>
      <c r="AF128" s="210" t="s">
        <v>556</v>
      </c>
      <c r="AG128" s="232">
        <v>17</v>
      </c>
      <c r="AH128" s="127"/>
    </row>
    <row r="129" spans="1:34" ht="15" x14ac:dyDescent="0.25">
      <c r="A129" s="127" t="s">
        <v>205</v>
      </c>
      <c r="B129" s="211">
        <v>6.08E-2</v>
      </c>
      <c r="C129" s="203">
        <v>1.29E-2</v>
      </c>
      <c r="D129" s="210"/>
      <c r="E129" s="203">
        <v>1.9300000000000001E-2</v>
      </c>
      <c r="F129" s="203">
        <v>0.22500000000000001</v>
      </c>
      <c r="G129" s="238">
        <f t="shared" si="4"/>
        <v>184.4444444444444</v>
      </c>
      <c r="H129" s="210">
        <v>2.9399999999999999E-2</v>
      </c>
      <c r="I129" s="210" t="str">
        <f>""</f>
        <v/>
      </c>
      <c r="J129" s="210"/>
      <c r="K129" s="210">
        <v>1.55E-2</v>
      </c>
      <c r="L129" s="127">
        <v>7000</v>
      </c>
      <c r="M129" s="127">
        <v>12</v>
      </c>
      <c r="N129" s="201">
        <f t="shared" si="18"/>
        <v>3.6174999999999999E-2</v>
      </c>
      <c r="O129" s="201">
        <f t="shared" si="19"/>
        <v>5.305E-2</v>
      </c>
      <c r="P129" s="201">
        <f t="shared" si="20"/>
        <v>6.08E-2</v>
      </c>
      <c r="Q129" s="201">
        <f t="shared" si="9"/>
        <v>6.08E-2</v>
      </c>
      <c r="R129" s="127" t="s">
        <v>180</v>
      </c>
      <c r="S129" s="127"/>
      <c r="T129" s="127" t="s">
        <v>181</v>
      </c>
      <c r="U129" s="127" t="s">
        <v>182</v>
      </c>
      <c r="V129" s="127" t="s">
        <v>183</v>
      </c>
      <c r="W129" s="127" t="s">
        <v>199</v>
      </c>
      <c r="X129" s="127" t="s">
        <v>191</v>
      </c>
      <c r="Y129" s="127" t="s">
        <v>186</v>
      </c>
      <c r="Z129" s="127" t="s">
        <v>187</v>
      </c>
      <c r="AA129"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9" s="127">
        <v>12</v>
      </c>
      <c r="AC129" s="210">
        <f>PBL_OT_2025!$F$12/POWER(1.02,7)</f>
        <v>1.678021968721171E-2</v>
      </c>
      <c r="AD129" s="210">
        <f t="shared" si="2"/>
        <v>1.55E-2</v>
      </c>
      <c r="AE129" s="210" t="str">
        <f t="shared" si="10"/>
        <v/>
      </c>
      <c r="AF129" s="210" t="s">
        <v>556</v>
      </c>
      <c r="AG129" s="232">
        <v>17</v>
      </c>
      <c r="AH129" s="127"/>
    </row>
    <row r="130" spans="1:34" ht="15" x14ac:dyDescent="0.25">
      <c r="A130" s="127" t="s">
        <v>206</v>
      </c>
      <c r="B130" s="211">
        <v>6.0299999999999999E-2</v>
      </c>
      <c r="C130" s="203">
        <v>1.29E-2</v>
      </c>
      <c r="D130" s="210"/>
      <c r="E130" s="203">
        <v>1.9300000000000001E-2</v>
      </c>
      <c r="F130" s="203">
        <v>0.22500000000000001</v>
      </c>
      <c r="G130" s="238">
        <f t="shared" si="4"/>
        <v>182.2222222222222</v>
      </c>
      <c r="H130" s="210">
        <v>2.9399999999999999E-2</v>
      </c>
      <c r="I130" s="210" t="str">
        <f>""</f>
        <v/>
      </c>
      <c r="J130" s="210"/>
      <c r="K130" s="210">
        <v>1.55E-2</v>
      </c>
      <c r="L130" s="127">
        <v>7500</v>
      </c>
      <c r="M130" s="127">
        <v>12</v>
      </c>
      <c r="N130" s="201">
        <f t="shared" si="18"/>
        <v>3.6174999999999999E-2</v>
      </c>
      <c r="O130" s="201">
        <f t="shared" si="19"/>
        <v>5.305E-2</v>
      </c>
      <c r="P130" s="201">
        <f t="shared" si="20"/>
        <v>6.0299999999999999E-2</v>
      </c>
      <c r="Q130" s="201">
        <f t="shared" si="9"/>
        <v>6.0299999999999999E-2</v>
      </c>
      <c r="R130" s="127" t="s">
        <v>180</v>
      </c>
      <c r="S130" s="127"/>
      <c r="T130" s="127" t="s">
        <v>181</v>
      </c>
      <c r="U130" s="127" t="s">
        <v>182</v>
      </c>
      <c r="V130" s="127" t="s">
        <v>183</v>
      </c>
      <c r="W130" s="127" t="s">
        <v>199</v>
      </c>
      <c r="X130" s="127" t="s">
        <v>191</v>
      </c>
      <c r="Y130" s="127" t="s">
        <v>186</v>
      </c>
      <c r="Z130" s="127" t="s">
        <v>187</v>
      </c>
      <c r="AA130"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30" s="127">
        <v>12</v>
      </c>
      <c r="AC130" s="210">
        <f>PBL_OT_2025!$F$12/POWER(1.02,7)</f>
        <v>1.678021968721171E-2</v>
      </c>
      <c r="AD130" s="210">
        <f t="shared" si="2"/>
        <v>1.55E-2</v>
      </c>
      <c r="AE130" s="210" t="str">
        <f t="shared" si="10"/>
        <v/>
      </c>
      <c r="AF130" s="210" t="s">
        <v>556</v>
      </c>
      <c r="AG130" s="232">
        <v>17</v>
      </c>
      <c r="AH130" s="127"/>
    </row>
    <row r="131" spans="1:34" ht="15" x14ac:dyDescent="0.25">
      <c r="A131" s="127" t="s">
        <v>207</v>
      </c>
      <c r="B131" s="211">
        <v>5.9799999999999999E-2</v>
      </c>
      <c r="C131" s="203">
        <v>1.29E-2</v>
      </c>
      <c r="D131" s="210"/>
      <c r="E131" s="203">
        <v>1.9300000000000001E-2</v>
      </c>
      <c r="F131" s="203">
        <v>0.22500000000000001</v>
      </c>
      <c r="G131" s="238">
        <f t="shared" si="4"/>
        <v>179.99999999999997</v>
      </c>
      <c r="H131" s="210">
        <v>2.9399999999999999E-2</v>
      </c>
      <c r="I131" s="210" t="str">
        <f>""</f>
        <v/>
      </c>
      <c r="J131" s="210"/>
      <c r="K131" s="210">
        <v>1.55E-2</v>
      </c>
      <c r="L131" s="127">
        <v>8000</v>
      </c>
      <c r="M131" s="127">
        <v>12</v>
      </c>
      <c r="N131" s="201">
        <f t="shared" si="18"/>
        <v>3.6174999999999999E-2</v>
      </c>
      <c r="O131" s="201">
        <f t="shared" si="19"/>
        <v>5.305E-2</v>
      </c>
      <c r="P131" s="201">
        <f t="shared" si="20"/>
        <v>5.9799999999999999E-2</v>
      </c>
      <c r="Q131" s="201">
        <f t="shared" si="9"/>
        <v>5.9799999999999999E-2</v>
      </c>
      <c r="R131" s="127" t="s">
        <v>180</v>
      </c>
      <c r="S131" s="127"/>
      <c r="T131" s="127" t="s">
        <v>181</v>
      </c>
      <c r="U131" s="127" t="s">
        <v>182</v>
      </c>
      <c r="V131" s="127" t="s">
        <v>183</v>
      </c>
      <c r="W131" s="127" t="s">
        <v>199</v>
      </c>
      <c r="X131" s="127" t="s">
        <v>191</v>
      </c>
      <c r="Y131" s="127" t="s">
        <v>186</v>
      </c>
      <c r="Z131" s="127" t="s">
        <v>187</v>
      </c>
      <c r="AA131"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31" s="127">
        <v>12</v>
      </c>
      <c r="AC131" s="210">
        <f>PBL_OT_2025!$F$12/POWER(1.02,7)</f>
        <v>1.678021968721171E-2</v>
      </c>
      <c r="AD131" s="210">
        <f t="shared" si="2"/>
        <v>1.55E-2</v>
      </c>
      <c r="AE131" s="210" t="str">
        <f t="shared" si="10"/>
        <v/>
      </c>
      <c r="AF131" s="210" t="s">
        <v>556</v>
      </c>
      <c r="AG131" s="232">
        <v>17</v>
      </c>
      <c r="AH131" s="127"/>
    </row>
    <row r="132" spans="1:34" ht="15" x14ac:dyDescent="0.25">
      <c r="A132" s="127" t="s">
        <v>208</v>
      </c>
      <c r="B132" s="211">
        <v>5.9499999999999997E-2</v>
      </c>
      <c r="C132" s="203">
        <v>1.29E-2</v>
      </c>
      <c r="D132" s="210"/>
      <c r="E132" s="203">
        <v>1.9300000000000001E-2</v>
      </c>
      <c r="F132" s="203">
        <v>0.22500000000000001</v>
      </c>
      <c r="G132" s="238">
        <f t="shared" si="4"/>
        <v>178.66666666666669</v>
      </c>
      <c r="H132" s="210">
        <v>2.9399999999999999E-2</v>
      </c>
      <c r="I132" s="210" t="str">
        <f>""</f>
        <v/>
      </c>
      <c r="J132" s="210"/>
      <c r="K132" s="210">
        <v>1.55E-2</v>
      </c>
      <c r="L132" s="127">
        <v>8500</v>
      </c>
      <c r="M132" s="127">
        <v>12</v>
      </c>
      <c r="N132" s="201">
        <f t="shared" si="18"/>
        <v>3.6174999999999999E-2</v>
      </c>
      <c r="O132" s="201">
        <f t="shared" si="19"/>
        <v>5.305E-2</v>
      </c>
      <c r="P132" s="201">
        <f t="shared" si="20"/>
        <v>5.9499999999999997E-2</v>
      </c>
      <c r="Q132" s="201">
        <f t="shared" si="9"/>
        <v>5.9499999999999997E-2</v>
      </c>
      <c r="R132" s="127" t="s">
        <v>180</v>
      </c>
      <c r="S132" s="127"/>
      <c r="T132" s="127" t="s">
        <v>181</v>
      </c>
      <c r="U132" s="127" t="s">
        <v>182</v>
      </c>
      <c r="V132" s="127" t="s">
        <v>183</v>
      </c>
      <c r="W132" s="127" t="s">
        <v>199</v>
      </c>
      <c r="X132" s="127" t="s">
        <v>191</v>
      </c>
      <c r="Y132" s="127" t="s">
        <v>186</v>
      </c>
      <c r="Z132" s="127" t="s">
        <v>187</v>
      </c>
      <c r="AA132" s="127"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32" s="127">
        <v>12</v>
      </c>
      <c r="AC132" s="210">
        <f>PBL_OT_2025!$F$12/POWER(1.02,7)</f>
        <v>1.678021968721171E-2</v>
      </c>
      <c r="AD132" s="210">
        <f t="shared" si="2"/>
        <v>1.55E-2</v>
      </c>
      <c r="AE132" s="210" t="str">
        <f t="shared" si="10"/>
        <v/>
      </c>
      <c r="AF132" s="210" t="s">
        <v>556</v>
      </c>
      <c r="AG132" s="232">
        <v>17</v>
      </c>
      <c r="AH132" s="127"/>
    </row>
    <row r="133" spans="1:34" ht="15" x14ac:dyDescent="0.25">
      <c r="A133" s="127" t="s">
        <v>415</v>
      </c>
      <c r="B133" s="211">
        <v>9.11E-2</v>
      </c>
      <c r="C133" s="203">
        <v>1.29E-2</v>
      </c>
      <c r="D133" s="210"/>
      <c r="E133" s="203">
        <v>4.7600000000000003E-2</v>
      </c>
      <c r="F133" s="203">
        <v>0.22500000000000001</v>
      </c>
      <c r="G133" s="238">
        <f t="shared" si="4"/>
        <v>193.33333333333331</v>
      </c>
      <c r="H133" s="210">
        <v>2.9399999999999999E-2</v>
      </c>
      <c r="I133" s="210" t="str">
        <f>""</f>
        <v/>
      </c>
      <c r="J133" s="210"/>
      <c r="K133" s="210">
        <v>1.55E-2</v>
      </c>
      <c r="L133" s="127">
        <v>8500</v>
      </c>
      <c r="M133" s="127">
        <v>12</v>
      </c>
      <c r="N133" s="201">
        <f t="shared" si="18"/>
        <v>6.4475000000000005E-2</v>
      </c>
      <c r="O133" s="201">
        <f t="shared" si="19"/>
        <v>8.1350000000000006E-2</v>
      </c>
      <c r="P133" s="201">
        <f t="shared" si="20"/>
        <v>9.11E-2</v>
      </c>
      <c r="Q133" s="201">
        <f t="shared" si="9"/>
        <v>9.11E-2</v>
      </c>
      <c r="R133" s="127" t="s">
        <v>180</v>
      </c>
      <c r="S133" s="127"/>
      <c r="T133" s="127" t="s">
        <v>181</v>
      </c>
      <c r="U133" s="127" t="s">
        <v>182</v>
      </c>
      <c r="V133" s="127" t="s">
        <v>183</v>
      </c>
      <c r="W133" s="127" t="s">
        <v>184</v>
      </c>
      <c r="X133" s="127" t="s">
        <v>191</v>
      </c>
      <c r="Y133" s="127" t="s">
        <v>186</v>
      </c>
      <c r="Z133" s="127" t="s">
        <v>187</v>
      </c>
      <c r="AA133" s="127" t="s">
        <v>209</v>
      </c>
      <c r="AB133" s="127">
        <v>12</v>
      </c>
      <c r="AC133" s="210">
        <f>PBL_OT_2025!$F$12/POWER(1.02,7)</f>
        <v>1.678021968721171E-2</v>
      </c>
      <c r="AD133" s="210">
        <f t="shared" si="2"/>
        <v>1.55E-2</v>
      </c>
      <c r="AE133" s="210" t="str">
        <f t="shared" si="10"/>
        <v/>
      </c>
      <c r="AF133" s="210" t="s">
        <v>556</v>
      </c>
      <c r="AG133" s="232">
        <v>17</v>
      </c>
      <c r="AH133" s="127"/>
    </row>
    <row r="134" spans="1:34" ht="15" x14ac:dyDescent="0.25">
      <c r="A134" s="127" t="s">
        <v>416</v>
      </c>
      <c r="B134" s="211">
        <v>0.1079</v>
      </c>
      <c r="C134" s="203">
        <v>1.29E-2</v>
      </c>
      <c r="D134" s="210"/>
      <c r="E134" s="203">
        <v>4.7600000000000003E-2</v>
      </c>
      <c r="F134" s="203">
        <v>0.22500000000000001</v>
      </c>
      <c r="G134" s="238">
        <f t="shared" si="4"/>
        <v>267.99999999999994</v>
      </c>
      <c r="H134" s="210">
        <v>2.9399999999999999E-2</v>
      </c>
      <c r="I134" s="210"/>
      <c r="J134" s="210"/>
      <c r="K134" s="210">
        <v>1.55E-2</v>
      </c>
      <c r="L134" s="127">
        <v>8500</v>
      </c>
      <c r="M134" s="127">
        <v>12</v>
      </c>
      <c r="N134" s="201">
        <f t="shared" si="18"/>
        <v>6.4475000000000005E-2</v>
      </c>
      <c r="O134" s="201">
        <f t="shared" si="19"/>
        <v>8.1350000000000006E-2</v>
      </c>
      <c r="P134" s="201">
        <f t="shared" si="20"/>
        <v>9.8225000000000007E-2</v>
      </c>
      <c r="Q134" s="201">
        <f t="shared" si="9"/>
        <v>0.1079</v>
      </c>
      <c r="R134" s="127" t="s">
        <v>180</v>
      </c>
      <c r="S134" s="127"/>
      <c r="T134" s="127" t="s">
        <v>181</v>
      </c>
      <c r="U134" s="127" t="s">
        <v>182</v>
      </c>
      <c r="V134" s="127" t="s">
        <v>183</v>
      </c>
      <c r="W134" s="127" t="s">
        <v>184</v>
      </c>
      <c r="X134" s="127" t="s">
        <v>191</v>
      </c>
      <c r="Y134" s="127" t="s">
        <v>186</v>
      </c>
      <c r="Z134" s="127" t="s">
        <v>187</v>
      </c>
      <c r="AA134" s="127" t="s">
        <v>209</v>
      </c>
      <c r="AB134" s="127">
        <v>12</v>
      </c>
      <c r="AC134" s="210">
        <f>PBL_OT_2025!$F$12/POWER(1.02,7)</f>
        <v>1.678021968721171E-2</v>
      </c>
      <c r="AD134" s="210">
        <f t="shared" si="2"/>
        <v>1.55E-2</v>
      </c>
      <c r="AE134" s="210" t="str">
        <f t="shared" si="10"/>
        <v/>
      </c>
      <c r="AF134" s="210" t="s">
        <v>556</v>
      </c>
      <c r="AG134" s="232">
        <v>17</v>
      </c>
      <c r="AH134" s="127"/>
    </row>
    <row r="135" spans="1:34" ht="15" x14ac:dyDescent="0.25">
      <c r="A135" s="127" t="s">
        <v>691</v>
      </c>
      <c r="B135" s="211">
        <v>6.9599999999999995E-2</v>
      </c>
      <c r="C135" s="203">
        <v>3.3000000000000002E-2</v>
      </c>
      <c r="D135" s="210"/>
      <c r="E135" s="203">
        <v>7.0499999999999993E-2</v>
      </c>
      <c r="F135" s="203">
        <v>0.22500000000000001</v>
      </c>
      <c r="G135" s="238">
        <f t="shared" si="4"/>
        <v>-3.9999999999999911</v>
      </c>
      <c r="H135" s="210">
        <v>5.67E-2</v>
      </c>
      <c r="I135" s="210" t="str">
        <f>""</f>
        <v/>
      </c>
      <c r="J135" s="210"/>
      <c r="K135" s="210">
        <v>1.55E-2</v>
      </c>
      <c r="L135" s="127">
        <v>3000</v>
      </c>
      <c r="M135" s="127">
        <v>12</v>
      </c>
      <c r="N135" s="201">
        <f t="shared" si="18"/>
        <v>6.9599999999999995E-2</v>
      </c>
      <c r="O135" s="201">
        <f t="shared" si="19"/>
        <v>6.9599999999999995E-2</v>
      </c>
      <c r="P135" s="201">
        <f t="shared" si="20"/>
        <v>6.9599999999999995E-2</v>
      </c>
      <c r="Q135" s="201">
        <f t="shared" si="9"/>
        <v>6.9599999999999995E-2</v>
      </c>
      <c r="R135" s="127" t="s">
        <v>180</v>
      </c>
      <c r="S135" s="127"/>
      <c r="T135" s="127" t="s">
        <v>181</v>
      </c>
      <c r="U135" s="127" t="s">
        <v>182</v>
      </c>
      <c r="V135" s="127" t="s">
        <v>183</v>
      </c>
      <c r="W135" s="127" t="s">
        <v>184</v>
      </c>
      <c r="X135" s="127" t="s">
        <v>191</v>
      </c>
      <c r="Y135" s="127" t="s">
        <v>186</v>
      </c>
      <c r="Z135" s="127" t="s">
        <v>187</v>
      </c>
      <c r="AA135" s="127" t="s">
        <v>209</v>
      </c>
      <c r="AB135" s="127">
        <v>12</v>
      </c>
      <c r="AC135" s="210">
        <f>PBL_OT_2025!$F$30/POWER(1.02,7)+PBL_OT_2025!$D$100</f>
        <v>3.8593543358169738E-2</v>
      </c>
      <c r="AD135" s="210">
        <f t="shared" si="2"/>
        <v>1.55E-2</v>
      </c>
      <c r="AE135" s="210" t="str">
        <f t="shared" si="10"/>
        <v/>
      </c>
      <c r="AF135" s="210" t="s">
        <v>555</v>
      </c>
      <c r="AG135" s="232">
        <v>20</v>
      </c>
      <c r="AH135" s="127"/>
    </row>
    <row r="136" spans="1:34" ht="15" x14ac:dyDescent="0.25">
      <c r="A136" s="127" t="s">
        <v>730</v>
      </c>
      <c r="B136" s="211">
        <v>4.5699999999999998E-2</v>
      </c>
      <c r="C136" s="203">
        <v>1.29E-2</v>
      </c>
      <c r="D136" s="210"/>
      <c r="E136" s="203">
        <v>1.9300000000000001E-2</v>
      </c>
      <c r="F136" s="203">
        <v>0.22500000000000001</v>
      </c>
      <c r="G136" s="238">
        <f t="shared" si="4"/>
        <v>117.33333333333331</v>
      </c>
      <c r="H136" s="210">
        <v>2.9399999999999999E-2</v>
      </c>
      <c r="I136" s="210" t="str">
        <f>""</f>
        <v/>
      </c>
      <c r="J136" s="210"/>
      <c r="K136" s="210">
        <v>1.55E-2</v>
      </c>
      <c r="L136" s="127">
        <v>8000</v>
      </c>
      <c r="M136" s="127">
        <v>12</v>
      </c>
      <c r="N136" s="201">
        <f t="shared" si="18"/>
        <v>3.6174999999999999E-2</v>
      </c>
      <c r="O136" s="201">
        <f t="shared" si="19"/>
        <v>4.5699999999999998E-2</v>
      </c>
      <c r="P136" s="201">
        <f t="shared" si="20"/>
        <v>4.5699999999999998E-2</v>
      </c>
      <c r="Q136" s="201">
        <f t="shared" si="9"/>
        <v>4.5699999999999998E-2</v>
      </c>
      <c r="R136" s="127" t="s">
        <v>180</v>
      </c>
      <c r="S136" s="127"/>
      <c r="T136" s="127" t="s">
        <v>181</v>
      </c>
      <c r="U136" s="127" t="s">
        <v>182</v>
      </c>
      <c r="V136" s="127" t="s">
        <v>183</v>
      </c>
      <c r="W136" s="127" t="s">
        <v>738</v>
      </c>
      <c r="X136" s="127" t="s">
        <v>191</v>
      </c>
      <c r="Y136" s="127" t="s">
        <v>186</v>
      </c>
      <c r="Z136" s="127" t="s">
        <v>187</v>
      </c>
      <c r="AA136" s="127" t="s">
        <v>194</v>
      </c>
      <c r="AB136" s="127">
        <v>12</v>
      </c>
      <c r="AC136" s="210">
        <f>PBL_OT_2025!$F$12/POWER(1.02,7)</f>
        <v>1.678021968721171E-2</v>
      </c>
      <c r="AD136" s="210">
        <f t="shared" si="2"/>
        <v>1.55E-2</v>
      </c>
      <c r="AE136" s="210" t="str">
        <f t="shared" si="10"/>
        <v/>
      </c>
      <c r="AF136" s="210" t="s">
        <v>556</v>
      </c>
      <c r="AG136" s="232">
        <v>17</v>
      </c>
      <c r="AH136" s="127"/>
    </row>
    <row r="137" spans="1:34" ht="15" x14ac:dyDescent="0.25">
      <c r="A137" s="127"/>
      <c r="B137" s="211"/>
      <c r="C137" s="203"/>
      <c r="D137" s="210"/>
      <c r="E137" s="203"/>
      <c r="F137" s="203"/>
      <c r="G137" s="238"/>
      <c r="H137" s="210"/>
      <c r="I137" s="210"/>
      <c r="J137" s="210"/>
      <c r="K137" s="210"/>
      <c r="L137" s="127"/>
      <c r="M137" s="127"/>
      <c r="N137" s="201"/>
      <c r="O137" s="201"/>
      <c r="P137" s="201"/>
      <c r="Q137" s="201"/>
      <c r="R137" s="127"/>
      <c r="S137" s="127"/>
      <c r="T137" s="127"/>
      <c r="U137" s="127"/>
      <c r="V137" s="127"/>
      <c r="W137" s="127"/>
      <c r="X137" s="127"/>
      <c r="Y137" s="127"/>
      <c r="Z137" s="127"/>
      <c r="AA137" s="127"/>
      <c r="AB137" s="127"/>
      <c r="AC137" s="237"/>
      <c r="AD137" s="210"/>
      <c r="AE137" s="210"/>
      <c r="AF137" s="210"/>
      <c r="AG137" s="233"/>
      <c r="AH137" s="127"/>
    </row>
    <row r="138" spans="1:34" ht="15" x14ac:dyDescent="0.25">
      <c r="A138" s="204" t="s">
        <v>210</v>
      </c>
      <c r="B138" s="213"/>
      <c r="C138" s="203"/>
      <c r="D138" s="210"/>
      <c r="E138" s="203"/>
      <c r="F138" s="203"/>
      <c r="G138" s="238"/>
      <c r="H138" s="210"/>
      <c r="I138" s="210"/>
      <c r="J138" s="210"/>
      <c r="K138" s="210"/>
      <c r="L138" s="127"/>
      <c r="M138" s="127"/>
      <c r="N138" s="201"/>
      <c r="O138" s="201"/>
      <c r="P138" s="201"/>
      <c r="Q138" s="201"/>
      <c r="R138" s="127"/>
      <c r="S138" s="127"/>
      <c r="T138" s="127"/>
      <c r="U138" s="127"/>
      <c r="V138" s="127"/>
      <c r="W138" s="127"/>
      <c r="X138" s="127"/>
      <c r="Y138" s="127"/>
      <c r="Z138" s="127"/>
      <c r="AA138" s="127"/>
      <c r="AB138" s="127"/>
      <c r="AC138" s="237"/>
      <c r="AD138" s="210"/>
      <c r="AE138" s="210"/>
      <c r="AF138" s="210"/>
      <c r="AG138" s="233"/>
      <c r="AH138" s="127"/>
    </row>
    <row r="139" spans="1:34" ht="15" x14ac:dyDescent="0.25">
      <c r="A139" s="127" t="s">
        <v>211</v>
      </c>
      <c r="B139" s="211">
        <v>8.8999999999999996E-2</v>
      </c>
      <c r="C139" s="203">
        <v>1.29E-2</v>
      </c>
      <c r="D139" s="210"/>
      <c r="E139" s="203">
        <v>1.9300000000000001E-2</v>
      </c>
      <c r="F139" s="203">
        <v>0.36359999999999998</v>
      </c>
      <c r="G139" s="238">
        <f t="shared" si="4"/>
        <v>191.69416941694172</v>
      </c>
      <c r="H139" s="210">
        <v>2.9399999999999999E-2</v>
      </c>
      <c r="I139" s="210" t="str">
        <f>""</f>
        <v/>
      </c>
      <c r="J139" s="210"/>
      <c r="K139" s="210">
        <v>2.9999999999999997E-4</v>
      </c>
      <c r="L139" s="127">
        <v>6000</v>
      </c>
      <c r="M139" s="127">
        <v>15</v>
      </c>
      <c r="N139" s="201">
        <f>MIN($B139,(75*$F139/1000)+$E139)</f>
        <v>4.657E-2</v>
      </c>
      <c r="O139" s="201">
        <f>MIN($B139,(150*$F139/1000)+$E139)</f>
        <v>7.3840000000000003E-2</v>
      </c>
      <c r="P139" s="201">
        <f>MIN($B139,(225*$F139/1000)+$E139)</f>
        <v>8.8999999999999996E-2</v>
      </c>
      <c r="Q139" s="201">
        <f t="shared" si="9"/>
        <v>8.8999999999999996E-2</v>
      </c>
      <c r="R139" s="127" t="s">
        <v>180</v>
      </c>
      <c r="S139" s="127" t="str">
        <f>""</f>
        <v/>
      </c>
      <c r="T139" s="127" t="s">
        <v>181</v>
      </c>
      <c r="U139" s="127" t="s">
        <v>182</v>
      </c>
      <c r="V139" s="127" t="s">
        <v>183</v>
      </c>
      <c r="W139" s="127" t="s">
        <v>212</v>
      </c>
      <c r="X139" s="127" t="s">
        <v>191</v>
      </c>
      <c r="Y139" s="127" t="s">
        <v>1010</v>
      </c>
      <c r="Z139" s="127" t="s">
        <v>187</v>
      </c>
      <c r="AA139" s="127" t="s">
        <v>214</v>
      </c>
      <c r="AB139" s="127">
        <v>15</v>
      </c>
      <c r="AC139" s="210">
        <f>PBL_OT_2025!$F$12/POWER(1.02,7)</f>
        <v>1.678021968721171E-2</v>
      </c>
      <c r="AD139" s="210">
        <f t="shared" si="2"/>
        <v>2.9999999999999997E-4</v>
      </c>
      <c r="AE139" s="210" t="str">
        <f t="shared" si="10"/>
        <v/>
      </c>
      <c r="AF139" s="210" t="s">
        <v>556</v>
      </c>
      <c r="AG139" s="232">
        <v>17</v>
      </c>
      <c r="AH139" s="127"/>
    </row>
    <row r="140" spans="1:34" ht="15" x14ac:dyDescent="0.25">
      <c r="A140" s="127" t="s">
        <v>215</v>
      </c>
      <c r="B140" s="211">
        <v>0.16474</v>
      </c>
      <c r="C140" s="203">
        <v>1.29E-2</v>
      </c>
      <c r="D140" s="210"/>
      <c r="E140" s="203">
        <v>1.9300000000000001E-2</v>
      </c>
      <c r="F140" s="203">
        <v>0.36359999999999998</v>
      </c>
      <c r="G140" s="238">
        <f t="shared" si="4"/>
        <v>400</v>
      </c>
      <c r="H140" s="210">
        <v>2.9399999999999999E-2</v>
      </c>
      <c r="I140" s="210" t="str">
        <f>""</f>
        <v/>
      </c>
      <c r="J140" s="210"/>
      <c r="K140" s="210">
        <v>2.9999999999999997E-4</v>
      </c>
      <c r="L140" s="127">
        <v>3500</v>
      </c>
      <c r="M140" s="127">
        <v>15</v>
      </c>
      <c r="N140" s="201">
        <f t="shared" ref="N140:N152" si="21">MIN($B140,(75*$F140/1000)+$E140)</f>
        <v>4.657E-2</v>
      </c>
      <c r="O140" s="201">
        <f t="shared" ref="O140:O152" si="22">MIN($B140,(150*$F140/1000)+$E140)</f>
        <v>7.3840000000000003E-2</v>
      </c>
      <c r="P140" s="201">
        <f t="shared" ref="P140:P152" si="23">MIN($B140,(225*$F140/1000)+$E140)</f>
        <v>0.10111000000000001</v>
      </c>
      <c r="Q140" s="201">
        <f t="shared" si="9"/>
        <v>0.12837999999999999</v>
      </c>
      <c r="R140" s="127" t="s">
        <v>180</v>
      </c>
      <c r="S140" s="127" t="str">
        <f>""</f>
        <v/>
      </c>
      <c r="T140" s="127" t="s">
        <v>181</v>
      </c>
      <c r="U140" s="127" t="s">
        <v>182</v>
      </c>
      <c r="V140" s="127" t="s">
        <v>183</v>
      </c>
      <c r="W140" s="127" t="s">
        <v>212</v>
      </c>
      <c r="X140" s="127" t="s">
        <v>191</v>
      </c>
      <c r="Y140" s="127" t="s">
        <v>1010</v>
      </c>
      <c r="Z140" s="127" t="s">
        <v>187</v>
      </c>
      <c r="AA140" s="127" t="s">
        <v>871</v>
      </c>
      <c r="AB140" s="127">
        <v>15</v>
      </c>
      <c r="AC140" s="210">
        <f>PBL_OT_2025!$F$12/POWER(1.02,7)</f>
        <v>1.678021968721171E-2</v>
      </c>
      <c r="AD140" s="210">
        <f t="shared" si="2"/>
        <v>2.9999999999999997E-4</v>
      </c>
      <c r="AE140" s="210" t="str">
        <f t="shared" si="10"/>
        <v/>
      </c>
      <c r="AF140" s="210" t="s">
        <v>556</v>
      </c>
      <c r="AG140" s="232">
        <v>17</v>
      </c>
      <c r="AH140" s="127"/>
    </row>
    <row r="141" spans="1:34" ht="15" x14ac:dyDescent="0.25">
      <c r="A141" s="127" t="s">
        <v>769</v>
      </c>
      <c r="B141" s="211">
        <v>0.13739999999999999</v>
      </c>
      <c r="C141" s="203">
        <v>1.29E-2</v>
      </c>
      <c r="D141" s="210"/>
      <c r="E141" s="203">
        <v>1.9900000000000001E-2</v>
      </c>
      <c r="F141" s="203">
        <v>0.36170000000000002</v>
      </c>
      <c r="G141" s="238">
        <f t="shared" si="4"/>
        <v>324.8548520873652</v>
      </c>
      <c r="H141" s="210">
        <v>2.9399999999999999E-2</v>
      </c>
      <c r="I141" s="210" t="str">
        <f>""</f>
        <v/>
      </c>
      <c r="J141" s="210"/>
      <c r="K141" s="210">
        <v>2.9999999999999997E-4</v>
      </c>
      <c r="L141" s="127">
        <v>6000</v>
      </c>
      <c r="M141" s="127">
        <v>15</v>
      </c>
      <c r="N141" s="201">
        <f t="shared" si="21"/>
        <v>4.70275E-2</v>
      </c>
      <c r="O141" s="201">
        <f t="shared" si="22"/>
        <v>7.4154999999999999E-2</v>
      </c>
      <c r="P141" s="201">
        <f t="shared" si="23"/>
        <v>0.10128250000000001</v>
      </c>
      <c r="Q141" s="201">
        <f t="shared" si="9"/>
        <v>0.12841000000000002</v>
      </c>
      <c r="R141" s="127" t="s">
        <v>180</v>
      </c>
      <c r="S141" s="127" t="str">
        <f>""</f>
        <v/>
      </c>
      <c r="T141" s="127" t="s">
        <v>181</v>
      </c>
      <c r="U141" s="127" t="s">
        <v>182</v>
      </c>
      <c r="V141" s="127" t="s">
        <v>183</v>
      </c>
      <c r="W141" s="127" t="s">
        <v>212</v>
      </c>
      <c r="X141" s="127" t="s">
        <v>191</v>
      </c>
      <c r="Y141" s="127" t="s">
        <v>1010</v>
      </c>
      <c r="Z141" s="127" t="s">
        <v>187</v>
      </c>
      <c r="AA141" s="127" t="s">
        <v>414</v>
      </c>
      <c r="AB141" s="127">
        <v>15</v>
      </c>
      <c r="AC141" s="210">
        <f>PBL_OT_2025!$F$12/POWER(1.02,7)</f>
        <v>1.678021968721171E-2</v>
      </c>
      <c r="AD141" s="210">
        <f t="shared" si="2"/>
        <v>2.9999999999999997E-4</v>
      </c>
      <c r="AE141" s="210" t="str">
        <f t="shared" si="10"/>
        <v/>
      </c>
      <c r="AF141" s="210" t="s">
        <v>556</v>
      </c>
      <c r="AG141" s="232">
        <v>17</v>
      </c>
      <c r="AH141" s="127"/>
    </row>
    <row r="142" spans="1:34" ht="15" x14ac:dyDescent="0.25">
      <c r="A142" s="127" t="s">
        <v>770</v>
      </c>
      <c r="B142" s="211">
        <v>0.12690000000000001</v>
      </c>
      <c r="C142" s="203">
        <v>1.29E-2</v>
      </c>
      <c r="D142" s="210"/>
      <c r="E142" s="203">
        <v>1.9900000000000001E-2</v>
      </c>
      <c r="F142" s="203">
        <v>0.36180000000000001</v>
      </c>
      <c r="G142" s="238">
        <f t="shared" si="4"/>
        <v>295.7435046987286</v>
      </c>
      <c r="H142" s="210">
        <v>2.9399999999999999E-2</v>
      </c>
      <c r="I142" s="210"/>
      <c r="J142" s="210"/>
      <c r="K142" s="210">
        <v>2.9999999999999997E-4</v>
      </c>
      <c r="L142" s="127">
        <v>6000</v>
      </c>
      <c r="M142" s="127">
        <v>15</v>
      </c>
      <c r="N142" s="201">
        <f t="shared" si="21"/>
        <v>4.7035000000000007E-2</v>
      </c>
      <c r="O142" s="201">
        <f t="shared" si="22"/>
        <v>7.4170000000000014E-2</v>
      </c>
      <c r="P142" s="201">
        <f t="shared" si="23"/>
        <v>0.10130500000000001</v>
      </c>
      <c r="Q142" s="201">
        <f t="shared" si="9"/>
        <v>0.12690000000000001</v>
      </c>
      <c r="R142" s="127" t="s">
        <v>180</v>
      </c>
      <c r="S142" s="127"/>
      <c r="T142" s="127" t="s">
        <v>181</v>
      </c>
      <c r="U142" s="127" t="s">
        <v>182</v>
      </c>
      <c r="V142" s="127" t="s">
        <v>183</v>
      </c>
      <c r="W142" s="127" t="s">
        <v>212</v>
      </c>
      <c r="X142" s="127" t="s">
        <v>191</v>
      </c>
      <c r="Y142" s="127" t="s">
        <v>1010</v>
      </c>
      <c r="Z142" s="127" t="s">
        <v>187</v>
      </c>
      <c r="AA142" s="127" t="s">
        <v>414</v>
      </c>
      <c r="AB142" s="127">
        <v>15</v>
      </c>
      <c r="AC142" s="210">
        <f>PBL_OT_2025!$F$12/POWER(1.02,7)</f>
        <v>1.678021968721171E-2</v>
      </c>
      <c r="AD142" s="210">
        <f t="shared" si="2"/>
        <v>2.9999999999999997E-4</v>
      </c>
      <c r="AE142" s="210" t="str">
        <f t="shared" si="10"/>
        <v/>
      </c>
      <c r="AF142" s="210" t="s">
        <v>556</v>
      </c>
      <c r="AG142" s="232">
        <v>17</v>
      </c>
      <c r="AH142" s="127"/>
    </row>
    <row r="143" spans="1:34" ht="15" x14ac:dyDescent="0.25">
      <c r="A143" s="127" t="s">
        <v>216</v>
      </c>
      <c r="B143" s="211">
        <v>7.0800000000000002E-2</v>
      </c>
      <c r="C143" s="203">
        <v>1.29E-2</v>
      </c>
      <c r="D143" s="210"/>
      <c r="E143" s="203">
        <v>1.9300000000000001E-2</v>
      </c>
      <c r="F143" s="203">
        <v>0.43509999999999999</v>
      </c>
      <c r="G143" s="238">
        <f t="shared" si="4"/>
        <v>118.36359457595957</v>
      </c>
      <c r="H143" s="210">
        <v>2.9399999999999999E-2</v>
      </c>
      <c r="I143" s="210" t="str">
        <f>""</f>
        <v/>
      </c>
      <c r="J143" s="210"/>
      <c r="K143" s="210">
        <v>1.5E-3</v>
      </c>
      <c r="L143" s="127">
        <v>6000</v>
      </c>
      <c r="M143" s="127">
        <v>15</v>
      </c>
      <c r="N143" s="201">
        <f t="shared" si="21"/>
        <v>5.1932500000000006E-2</v>
      </c>
      <c r="O143" s="201">
        <f t="shared" si="22"/>
        <v>7.0800000000000002E-2</v>
      </c>
      <c r="P143" s="201">
        <f t="shared" si="23"/>
        <v>7.0800000000000002E-2</v>
      </c>
      <c r="Q143" s="201">
        <f t="shared" si="9"/>
        <v>7.0800000000000002E-2</v>
      </c>
      <c r="R143" s="127" t="s">
        <v>180</v>
      </c>
      <c r="S143" s="127" t="str">
        <f>""</f>
        <v/>
      </c>
      <c r="T143" s="127" t="s">
        <v>181</v>
      </c>
      <c r="U143" s="127" t="s">
        <v>182</v>
      </c>
      <c r="V143" s="127" t="s">
        <v>183</v>
      </c>
      <c r="W143" s="127" t="s">
        <v>217</v>
      </c>
      <c r="X143" s="127" t="s">
        <v>191</v>
      </c>
      <c r="Y143" s="127" t="s">
        <v>213</v>
      </c>
      <c r="Z143" s="127" t="s">
        <v>187</v>
      </c>
      <c r="AA143" s="127" t="str">
        <f>""</f>
        <v/>
      </c>
      <c r="AB143" s="127">
        <v>15</v>
      </c>
      <c r="AC143" s="210">
        <f>PBL_OT_2025!$F$12/POWER(1.02,7)</f>
        <v>1.678021968721171E-2</v>
      </c>
      <c r="AD143" s="210">
        <f t="shared" si="2"/>
        <v>1.5E-3</v>
      </c>
      <c r="AE143" s="210" t="str">
        <f t="shared" si="10"/>
        <v/>
      </c>
      <c r="AF143" s="210" t="s">
        <v>556</v>
      </c>
      <c r="AG143" s="232">
        <v>17</v>
      </c>
      <c r="AH143" s="127"/>
    </row>
    <row r="144" spans="1:34" ht="15" x14ac:dyDescent="0.25">
      <c r="A144" s="127" t="s">
        <v>218</v>
      </c>
      <c r="B144" s="211">
        <v>6.1899999999999997E-2</v>
      </c>
      <c r="C144" s="203">
        <v>1.29E-2</v>
      </c>
      <c r="D144" s="210"/>
      <c r="E144" s="203">
        <v>1.9300000000000001E-2</v>
      </c>
      <c r="F144" s="203">
        <v>0.438</v>
      </c>
      <c r="G144" s="238">
        <f t="shared" si="4"/>
        <v>97.260273972602747</v>
      </c>
      <c r="H144" s="210">
        <v>2.9399999999999999E-2</v>
      </c>
      <c r="I144" s="210" t="str">
        <f>""</f>
        <v/>
      </c>
      <c r="J144" s="210"/>
      <c r="K144" s="210">
        <v>1.5E-3</v>
      </c>
      <c r="L144" s="127">
        <v>6000</v>
      </c>
      <c r="M144" s="127">
        <v>15</v>
      </c>
      <c r="N144" s="201">
        <f t="shared" si="21"/>
        <v>5.2150000000000002E-2</v>
      </c>
      <c r="O144" s="201">
        <f t="shared" si="22"/>
        <v>6.1899999999999997E-2</v>
      </c>
      <c r="P144" s="201">
        <f t="shared" si="23"/>
        <v>6.1899999999999997E-2</v>
      </c>
      <c r="Q144" s="201">
        <f t="shared" si="9"/>
        <v>6.1899999999999997E-2</v>
      </c>
      <c r="R144" s="127" t="s">
        <v>180</v>
      </c>
      <c r="S144" s="127" t="str">
        <f>""</f>
        <v/>
      </c>
      <c r="T144" s="127" t="s">
        <v>181</v>
      </c>
      <c r="U144" s="127" t="s">
        <v>182</v>
      </c>
      <c r="V144" s="127" t="s">
        <v>183</v>
      </c>
      <c r="W144" s="127" t="s">
        <v>217</v>
      </c>
      <c r="X144" s="127" t="s">
        <v>191</v>
      </c>
      <c r="Y144" s="127" t="s">
        <v>213</v>
      </c>
      <c r="Z144" s="127" t="s">
        <v>187</v>
      </c>
      <c r="AA144" s="127" t="str">
        <f>""</f>
        <v/>
      </c>
      <c r="AB144" s="127">
        <v>15</v>
      </c>
      <c r="AC144" s="210">
        <f>PBL_OT_2025!$F$12/POWER(1.02,7)</f>
        <v>1.678021968721171E-2</v>
      </c>
      <c r="AD144" s="210">
        <f t="shared" si="2"/>
        <v>1.5E-3</v>
      </c>
      <c r="AE144" s="210" t="str">
        <f t="shared" si="10"/>
        <v/>
      </c>
      <c r="AF144" s="210" t="s">
        <v>556</v>
      </c>
      <c r="AG144" s="232">
        <v>17</v>
      </c>
      <c r="AH144" s="127"/>
    </row>
    <row r="145" spans="1:34" ht="15" x14ac:dyDescent="0.25">
      <c r="A145" s="127" t="s">
        <v>219</v>
      </c>
      <c r="B145" s="211">
        <v>5.67E-2</v>
      </c>
      <c r="C145" s="203">
        <v>1.29E-2</v>
      </c>
      <c r="D145" s="210"/>
      <c r="E145" s="203">
        <v>1.9300000000000001E-2</v>
      </c>
      <c r="F145" s="203">
        <v>0.43719999999999998</v>
      </c>
      <c r="G145" s="238">
        <f t="shared" si="4"/>
        <v>85.544373284537983</v>
      </c>
      <c r="H145" s="210">
        <v>2.9399999999999999E-2</v>
      </c>
      <c r="I145" s="210" t="str">
        <f>""</f>
        <v/>
      </c>
      <c r="J145" s="210"/>
      <c r="K145" s="210">
        <v>1.5E-3</v>
      </c>
      <c r="L145" s="127">
        <v>6000</v>
      </c>
      <c r="M145" s="127">
        <v>15</v>
      </c>
      <c r="N145" s="201">
        <f t="shared" si="21"/>
        <v>5.2089999999999997E-2</v>
      </c>
      <c r="O145" s="201">
        <f t="shared" si="22"/>
        <v>5.67E-2</v>
      </c>
      <c r="P145" s="201">
        <f t="shared" si="23"/>
        <v>5.67E-2</v>
      </c>
      <c r="Q145" s="201">
        <f t="shared" si="9"/>
        <v>5.67E-2</v>
      </c>
      <c r="R145" s="127" t="s">
        <v>180</v>
      </c>
      <c r="S145" s="127" t="str">
        <f>""</f>
        <v/>
      </c>
      <c r="T145" s="127" t="s">
        <v>181</v>
      </c>
      <c r="U145" s="127" t="s">
        <v>182</v>
      </c>
      <c r="V145" s="127" t="s">
        <v>183</v>
      </c>
      <c r="W145" s="127" t="s">
        <v>217</v>
      </c>
      <c r="X145" s="127" t="s">
        <v>191</v>
      </c>
      <c r="Y145" s="127" t="s">
        <v>213</v>
      </c>
      <c r="Z145" s="127" t="s">
        <v>187</v>
      </c>
      <c r="AA145" s="127" t="str">
        <f>""</f>
        <v/>
      </c>
      <c r="AB145" s="127">
        <v>15</v>
      </c>
      <c r="AC145" s="210">
        <f>PBL_OT_2025!$F$12/POWER(1.02,7)</f>
        <v>1.678021968721171E-2</v>
      </c>
      <c r="AD145" s="210">
        <f t="shared" si="2"/>
        <v>1.5E-3</v>
      </c>
      <c r="AE145" s="210" t="str">
        <f t="shared" si="10"/>
        <v/>
      </c>
      <c r="AF145" s="210" t="s">
        <v>556</v>
      </c>
      <c r="AG145" s="232">
        <v>17</v>
      </c>
      <c r="AH145" s="127"/>
    </row>
    <row r="146" spans="1:34" ht="15" x14ac:dyDescent="0.25">
      <c r="A146" s="127" t="s">
        <v>220</v>
      </c>
      <c r="B146" s="211">
        <v>7.0800000000000002E-2</v>
      </c>
      <c r="C146" s="203">
        <v>1.29E-2</v>
      </c>
      <c r="D146" s="210"/>
      <c r="E146" s="203">
        <v>1.9300000000000001E-2</v>
      </c>
      <c r="F146" s="203">
        <v>0.43509999999999999</v>
      </c>
      <c r="G146" s="238">
        <f t="shared" si="4"/>
        <v>118.36359457595957</v>
      </c>
      <c r="H146" s="210">
        <v>2.9399999999999999E-2</v>
      </c>
      <c r="I146" s="210" t="str">
        <f>""</f>
        <v/>
      </c>
      <c r="J146" s="210"/>
      <c r="K146" s="210">
        <v>1.5E-3</v>
      </c>
      <c r="L146" s="127">
        <v>6000</v>
      </c>
      <c r="M146" s="127">
        <v>15</v>
      </c>
      <c r="N146" s="201">
        <f t="shared" si="21"/>
        <v>5.1932500000000006E-2</v>
      </c>
      <c r="O146" s="201">
        <f t="shared" si="22"/>
        <v>7.0800000000000002E-2</v>
      </c>
      <c r="P146" s="201">
        <f t="shared" si="23"/>
        <v>7.0800000000000002E-2</v>
      </c>
      <c r="Q146" s="201">
        <f t="shared" si="9"/>
        <v>7.0800000000000002E-2</v>
      </c>
      <c r="R146" s="127" t="s">
        <v>180</v>
      </c>
      <c r="S146" s="127" t="str">
        <f>""</f>
        <v/>
      </c>
      <c r="T146" s="127" t="s">
        <v>181</v>
      </c>
      <c r="U146" s="127" t="s">
        <v>182</v>
      </c>
      <c r="V146" s="127" t="s">
        <v>183</v>
      </c>
      <c r="W146" s="127" t="s">
        <v>217</v>
      </c>
      <c r="X146" s="127" t="s">
        <v>191</v>
      </c>
      <c r="Y146" s="127" t="s">
        <v>213</v>
      </c>
      <c r="Z146" s="127" t="s">
        <v>187</v>
      </c>
      <c r="AA146" s="127" t="str">
        <f>""</f>
        <v/>
      </c>
      <c r="AB146" s="127">
        <v>15</v>
      </c>
      <c r="AC146" s="210">
        <f>PBL_OT_2025!$F$12/POWER(1.02,7)</f>
        <v>1.678021968721171E-2</v>
      </c>
      <c r="AD146" s="210">
        <f t="shared" si="2"/>
        <v>1.5E-3</v>
      </c>
      <c r="AE146" s="210" t="str">
        <f t="shared" si="10"/>
        <v/>
      </c>
      <c r="AF146" s="210" t="s">
        <v>556</v>
      </c>
      <c r="AG146" s="232">
        <v>17</v>
      </c>
      <c r="AH146" s="127"/>
    </row>
    <row r="147" spans="1:34" ht="15" x14ac:dyDescent="0.25">
      <c r="A147" s="127" t="s">
        <v>221</v>
      </c>
      <c r="B147" s="211">
        <v>6.1899999999999997E-2</v>
      </c>
      <c r="C147" s="203">
        <v>1.29E-2</v>
      </c>
      <c r="D147" s="210"/>
      <c r="E147" s="203">
        <v>1.9300000000000001E-2</v>
      </c>
      <c r="F147" s="203">
        <v>0.438</v>
      </c>
      <c r="G147" s="238">
        <f t="shared" si="4"/>
        <v>97.260273972602747</v>
      </c>
      <c r="H147" s="210">
        <v>2.9399999999999999E-2</v>
      </c>
      <c r="I147" s="210" t="str">
        <f>""</f>
        <v/>
      </c>
      <c r="J147" s="210"/>
      <c r="K147" s="210">
        <v>1.5E-3</v>
      </c>
      <c r="L147" s="127">
        <v>6000</v>
      </c>
      <c r="M147" s="127">
        <v>15</v>
      </c>
      <c r="N147" s="201">
        <f t="shared" si="21"/>
        <v>5.2150000000000002E-2</v>
      </c>
      <c r="O147" s="201">
        <f t="shared" si="22"/>
        <v>6.1899999999999997E-2</v>
      </c>
      <c r="P147" s="201">
        <f t="shared" si="23"/>
        <v>6.1899999999999997E-2</v>
      </c>
      <c r="Q147" s="201">
        <f t="shared" si="9"/>
        <v>6.1899999999999997E-2</v>
      </c>
      <c r="R147" s="127" t="s">
        <v>180</v>
      </c>
      <c r="S147" s="127" t="str">
        <f>""</f>
        <v/>
      </c>
      <c r="T147" s="127" t="s">
        <v>181</v>
      </c>
      <c r="U147" s="127" t="s">
        <v>182</v>
      </c>
      <c r="V147" s="127" t="s">
        <v>183</v>
      </c>
      <c r="W147" s="127" t="s">
        <v>217</v>
      </c>
      <c r="X147" s="127" t="s">
        <v>191</v>
      </c>
      <c r="Y147" s="127" t="s">
        <v>213</v>
      </c>
      <c r="Z147" s="127" t="s">
        <v>187</v>
      </c>
      <c r="AA147" s="127" t="str">
        <f>""</f>
        <v/>
      </c>
      <c r="AB147" s="127">
        <v>15</v>
      </c>
      <c r="AC147" s="210">
        <f>PBL_OT_2025!$F$12/POWER(1.02,7)</f>
        <v>1.678021968721171E-2</v>
      </c>
      <c r="AD147" s="210">
        <f t="shared" si="2"/>
        <v>1.5E-3</v>
      </c>
      <c r="AE147" s="210" t="str">
        <f t="shared" si="10"/>
        <v/>
      </c>
      <c r="AF147" s="210" t="s">
        <v>556</v>
      </c>
      <c r="AG147" s="232">
        <v>17</v>
      </c>
      <c r="AH147" s="127"/>
    </row>
    <row r="148" spans="1:34" ht="15" x14ac:dyDescent="0.25">
      <c r="A148" s="127" t="s">
        <v>222</v>
      </c>
      <c r="B148" s="211">
        <v>5.67E-2</v>
      </c>
      <c r="C148" s="203">
        <v>1.29E-2</v>
      </c>
      <c r="D148" s="210"/>
      <c r="E148" s="203">
        <v>1.9300000000000001E-2</v>
      </c>
      <c r="F148" s="203">
        <v>0.43719999999999998</v>
      </c>
      <c r="G148" s="238">
        <f t="shared" si="4"/>
        <v>85.544373284537983</v>
      </c>
      <c r="H148" s="210">
        <v>2.9399999999999999E-2</v>
      </c>
      <c r="I148" s="210" t="str">
        <f>""</f>
        <v/>
      </c>
      <c r="J148" s="210"/>
      <c r="K148" s="210">
        <v>1.5E-3</v>
      </c>
      <c r="L148" s="127">
        <v>6000</v>
      </c>
      <c r="M148" s="127">
        <v>15</v>
      </c>
      <c r="N148" s="201">
        <f t="shared" si="21"/>
        <v>5.2089999999999997E-2</v>
      </c>
      <c r="O148" s="201">
        <f t="shared" si="22"/>
        <v>5.67E-2</v>
      </c>
      <c r="P148" s="201">
        <f t="shared" si="23"/>
        <v>5.67E-2</v>
      </c>
      <c r="Q148" s="201">
        <f t="shared" si="9"/>
        <v>5.67E-2</v>
      </c>
      <c r="R148" s="127" t="s">
        <v>180</v>
      </c>
      <c r="S148" s="127" t="str">
        <f>""</f>
        <v/>
      </c>
      <c r="T148" s="127" t="s">
        <v>181</v>
      </c>
      <c r="U148" s="127" t="s">
        <v>182</v>
      </c>
      <c r="V148" s="127" t="s">
        <v>183</v>
      </c>
      <c r="W148" s="127" t="s">
        <v>217</v>
      </c>
      <c r="X148" s="127" t="s">
        <v>191</v>
      </c>
      <c r="Y148" s="127" t="s">
        <v>213</v>
      </c>
      <c r="Z148" s="127" t="s">
        <v>187</v>
      </c>
      <c r="AA148" s="127" t="str">
        <f>""</f>
        <v/>
      </c>
      <c r="AB148" s="127">
        <v>15</v>
      </c>
      <c r="AC148" s="210">
        <f>PBL_OT_2025!$F$12/POWER(1.02,7)</f>
        <v>1.678021968721171E-2</v>
      </c>
      <c r="AD148" s="210">
        <f t="shared" si="2"/>
        <v>1.5E-3</v>
      </c>
      <c r="AE148" s="210" t="str">
        <f t="shared" si="10"/>
        <v/>
      </c>
      <c r="AF148" s="210" t="s">
        <v>556</v>
      </c>
      <c r="AG148" s="232">
        <v>17</v>
      </c>
      <c r="AH148" s="127"/>
    </row>
    <row r="149" spans="1:34" ht="15" x14ac:dyDescent="0.25">
      <c r="A149" s="127" t="s">
        <v>760</v>
      </c>
      <c r="B149" s="211">
        <v>0.16650000000000001</v>
      </c>
      <c r="C149" s="203">
        <v>1.29E-2</v>
      </c>
      <c r="D149" s="210"/>
      <c r="E149" s="203">
        <v>2.2100000000000002E-2</v>
      </c>
      <c r="F149" s="203">
        <v>0.4304</v>
      </c>
      <c r="G149" s="238">
        <f t="shared" si="4"/>
        <v>335.50185873605949</v>
      </c>
      <c r="H149" s="210">
        <v>2.9399999999999999E-2</v>
      </c>
      <c r="I149" s="210" t="str">
        <f>""</f>
        <v/>
      </c>
      <c r="J149" s="210"/>
      <c r="K149" s="210">
        <v>1.5E-3</v>
      </c>
      <c r="L149" s="127">
        <v>3500</v>
      </c>
      <c r="M149" s="127">
        <v>15</v>
      </c>
      <c r="N149" s="201">
        <f t="shared" si="21"/>
        <v>5.4380000000000005E-2</v>
      </c>
      <c r="O149" s="201">
        <f t="shared" si="22"/>
        <v>8.6660000000000015E-2</v>
      </c>
      <c r="P149" s="201">
        <f t="shared" si="23"/>
        <v>0.11894000000000002</v>
      </c>
      <c r="Q149" s="201">
        <f t="shared" si="9"/>
        <v>0.15122000000000002</v>
      </c>
      <c r="R149" s="127" t="s">
        <v>180</v>
      </c>
      <c r="S149" s="127" t="str">
        <f>""</f>
        <v/>
      </c>
      <c r="T149" s="127" t="s">
        <v>181</v>
      </c>
      <c r="U149" s="127" t="s">
        <v>182</v>
      </c>
      <c r="V149" s="127" t="s">
        <v>183</v>
      </c>
      <c r="W149" s="127" t="s">
        <v>217</v>
      </c>
      <c r="X149" s="127" t="s">
        <v>191</v>
      </c>
      <c r="Y149" s="127" t="s">
        <v>213</v>
      </c>
      <c r="Z149" s="127" t="s">
        <v>187</v>
      </c>
      <c r="AA149" s="127" t="s">
        <v>223</v>
      </c>
      <c r="AB149" s="127">
        <v>15</v>
      </c>
      <c r="AC149" s="210">
        <f>PBL_OT_2025!$F$12/POWER(1.02,7)</f>
        <v>1.678021968721171E-2</v>
      </c>
      <c r="AD149" s="210">
        <f t="shared" si="2"/>
        <v>1.5E-3</v>
      </c>
      <c r="AE149" s="210" t="str">
        <f t="shared" si="10"/>
        <v/>
      </c>
      <c r="AF149" s="210" t="s">
        <v>556</v>
      </c>
      <c r="AG149" s="232">
        <v>17</v>
      </c>
      <c r="AH149" s="127"/>
    </row>
    <row r="150" spans="1:34" ht="15" x14ac:dyDescent="0.25">
      <c r="A150" s="127" t="s">
        <v>761</v>
      </c>
      <c r="B150" s="211">
        <v>0.15429999999999999</v>
      </c>
      <c r="C150" s="203">
        <v>1.29E-2</v>
      </c>
      <c r="D150" s="210"/>
      <c r="E150" s="203">
        <v>2.2100000000000002E-2</v>
      </c>
      <c r="F150" s="203">
        <v>0.4304</v>
      </c>
      <c r="G150" s="238">
        <f t="shared" si="4"/>
        <v>307.15613382899625</v>
      </c>
      <c r="H150" s="210">
        <v>2.9399999999999999E-2</v>
      </c>
      <c r="I150" s="210"/>
      <c r="J150" s="210"/>
      <c r="K150" s="210">
        <v>1.5E-3</v>
      </c>
      <c r="L150" s="127">
        <v>3500</v>
      </c>
      <c r="M150" s="127">
        <v>15</v>
      </c>
      <c r="N150" s="201">
        <f t="shared" si="21"/>
        <v>5.4380000000000005E-2</v>
      </c>
      <c r="O150" s="201">
        <f t="shared" si="22"/>
        <v>8.6660000000000015E-2</v>
      </c>
      <c r="P150" s="201">
        <f t="shared" si="23"/>
        <v>0.11894000000000002</v>
      </c>
      <c r="Q150" s="201">
        <f t="shared" si="9"/>
        <v>0.15122000000000002</v>
      </c>
      <c r="R150" s="127" t="s">
        <v>180</v>
      </c>
      <c r="S150" s="127"/>
      <c r="T150" s="127" t="s">
        <v>181</v>
      </c>
      <c r="U150" s="127" t="s">
        <v>182</v>
      </c>
      <c r="V150" s="127" t="s">
        <v>183</v>
      </c>
      <c r="W150" s="127" t="s">
        <v>217</v>
      </c>
      <c r="X150" s="127" t="s">
        <v>191</v>
      </c>
      <c r="Y150" s="127" t="s">
        <v>213</v>
      </c>
      <c r="Z150" s="127" t="s">
        <v>187</v>
      </c>
      <c r="AA150" s="127" t="s">
        <v>223</v>
      </c>
      <c r="AB150" s="127">
        <v>15</v>
      </c>
      <c r="AC150" s="210">
        <f>PBL_OT_2025!$F$12/POWER(1.02,7)</f>
        <v>1.678021968721171E-2</v>
      </c>
      <c r="AD150" s="210">
        <f t="shared" si="2"/>
        <v>1.5E-3</v>
      </c>
      <c r="AE150" s="210" t="str">
        <f t="shared" si="10"/>
        <v/>
      </c>
      <c r="AF150" s="210" t="s">
        <v>556</v>
      </c>
      <c r="AG150" s="232">
        <v>17</v>
      </c>
      <c r="AH150" s="127"/>
    </row>
    <row r="151" spans="1:34" ht="15" x14ac:dyDescent="0.25">
      <c r="A151" s="127" t="s">
        <v>224</v>
      </c>
      <c r="B151" s="211">
        <v>9.8599999999999993E-2</v>
      </c>
      <c r="C151" s="203">
        <v>1.29E-2</v>
      </c>
      <c r="D151" s="210"/>
      <c r="E151" s="203">
        <v>2.2100000000000002E-2</v>
      </c>
      <c r="F151" s="203">
        <v>0.43730000000000002</v>
      </c>
      <c r="G151" s="238">
        <f t="shared" si="4"/>
        <v>174.93711410930706</v>
      </c>
      <c r="H151" s="210">
        <v>2.9399999999999999E-2</v>
      </c>
      <c r="I151" s="210" t="str">
        <f>""</f>
        <v/>
      </c>
      <c r="J151" s="210"/>
      <c r="K151" s="210">
        <v>1.5E-3</v>
      </c>
      <c r="L151" s="127">
        <v>5000</v>
      </c>
      <c r="M151" s="127">
        <v>15</v>
      </c>
      <c r="N151" s="201">
        <f t="shared" si="21"/>
        <v>5.4897500000000002E-2</v>
      </c>
      <c r="O151" s="201">
        <f t="shared" si="22"/>
        <v>8.7694999999999995E-2</v>
      </c>
      <c r="P151" s="201">
        <f t="shared" si="23"/>
        <v>9.8599999999999993E-2</v>
      </c>
      <c r="Q151" s="201">
        <f t="shared" si="9"/>
        <v>9.8599999999999993E-2</v>
      </c>
      <c r="R151" s="127" t="s">
        <v>180</v>
      </c>
      <c r="S151" s="127" t="str">
        <f>""</f>
        <v/>
      </c>
      <c r="T151" s="127" t="s">
        <v>181</v>
      </c>
      <c r="U151" s="127" t="s">
        <v>182</v>
      </c>
      <c r="V151" s="127" t="s">
        <v>183</v>
      </c>
      <c r="W151" s="127" t="s">
        <v>217</v>
      </c>
      <c r="X151" s="127" t="s">
        <v>191</v>
      </c>
      <c r="Y151" s="127" t="s">
        <v>213</v>
      </c>
      <c r="Z151" s="127" t="s">
        <v>187</v>
      </c>
      <c r="AA151" s="127" t="s">
        <v>223</v>
      </c>
      <c r="AB151" s="127">
        <v>15</v>
      </c>
      <c r="AC151" s="210">
        <f>PBL_OT_2025!$F$12/POWER(1.02,7)</f>
        <v>1.678021968721171E-2</v>
      </c>
      <c r="AD151" s="210">
        <f t="shared" si="2"/>
        <v>1.5E-3</v>
      </c>
      <c r="AE151" s="210" t="str">
        <f t="shared" si="10"/>
        <v/>
      </c>
      <c r="AF151" s="210" t="s">
        <v>556</v>
      </c>
      <c r="AG151" s="232">
        <v>17</v>
      </c>
      <c r="AH151" s="127"/>
    </row>
    <row r="152" spans="1:34" ht="15" x14ac:dyDescent="0.25">
      <c r="A152" s="127" t="s">
        <v>225</v>
      </c>
      <c r="B152" s="211">
        <v>3.7600000000000001E-2</v>
      </c>
      <c r="C152" s="203">
        <v>1.29E-2</v>
      </c>
      <c r="D152" s="210"/>
      <c r="E152" s="203">
        <v>1.9300000000000001E-2</v>
      </c>
      <c r="F152" s="203">
        <v>0.438</v>
      </c>
      <c r="G152" s="238">
        <f t="shared" si="4"/>
        <v>41.780821917808218</v>
      </c>
      <c r="H152" s="210">
        <v>2.9399999999999999E-2</v>
      </c>
      <c r="I152" s="210" t="str">
        <f>""</f>
        <v/>
      </c>
      <c r="J152" s="210"/>
      <c r="K152" s="210">
        <v>1.5E-3</v>
      </c>
      <c r="L152" s="127">
        <v>6000</v>
      </c>
      <c r="M152" s="127">
        <v>15</v>
      </c>
      <c r="N152" s="201">
        <f t="shared" si="21"/>
        <v>3.7600000000000001E-2</v>
      </c>
      <c r="O152" s="201">
        <f t="shared" si="22"/>
        <v>3.7600000000000001E-2</v>
      </c>
      <c r="P152" s="201">
        <f t="shared" si="23"/>
        <v>3.7600000000000001E-2</v>
      </c>
      <c r="Q152" s="201">
        <f t="shared" si="9"/>
        <v>3.7600000000000001E-2</v>
      </c>
      <c r="R152" s="127" t="s">
        <v>180</v>
      </c>
      <c r="S152" s="127" t="str">
        <f>""</f>
        <v/>
      </c>
      <c r="T152" s="127" t="s">
        <v>181</v>
      </c>
      <c r="U152" s="127" t="s">
        <v>182</v>
      </c>
      <c r="V152" s="127" t="s">
        <v>183</v>
      </c>
      <c r="W152" s="127" t="s">
        <v>217</v>
      </c>
      <c r="X152" s="127" t="s">
        <v>191</v>
      </c>
      <c r="Y152" s="127" t="s">
        <v>213</v>
      </c>
      <c r="Z152" s="127" t="s">
        <v>187</v>
      </c>
      <c r="AA152" s="127" t="str">
        <f>""</f>
        <v/>
      </c>
      <c r="AB152" s="127">
        <v>15</v>
      </c>
      <c r="AC152" s="210">
        <f>PBL_OT_2025!$F$12/POWER(1.02,7)</f>
        <v>1.678021968721171E-2</v>
      </c>
      <c r="AD152" s="210">
        <f t="shared" ref="AD152:AD205" si="24">K152</f>
        <v>1.5E-3</v>
      </c>
      <c r="AE152" s="210" t="str">
        <f t="shared" si="10"/>
        <v/>
      </c>
      <c r="AF152" s="210" t="s">
        <v>556</v>
      </c>
      <c r="AG152" s="232">
        <v>17</v>
      </c>
      <c r="AH152" s="127"/>
    </row>
    <row r="153" spans="1:34" ht="15" x14ac:dyDescent="0.25">
      <c r="A153" s="127"/>
      <c r="B153" s="211"/>
      <c r="C153" s="203"/>
      <c r="D153" s="210"/>
      <c r="E153" s="203"/>
      <c r="F153" s="203"/>
      <c r="G153" s="238"/>
      <c r="H153" s="210"/>
      <c r="I153" s="210"/>
      <c r="J153" s="210"/>
      <c r="K153" s="210"/>
      <c r="L153" s="127"/>
      <c r="M153" s="127"/>
      <c r="N153" s="201"/>
      <c r="O153" s="201"/>
      <c r="P153" s="201"/>
      <c r="Q153" s="201"/>
      <c r="R153" s="127"/>
      <c r="S153" s="127" t="s">
        <v>226</v>
      </c>
      <c r="T153" s="127"/>
      <c r="U153" s="127"/>
      <c r="V153" s="127"/>
      <c r="W153" s="127"/>
      <c r="X153" s="127"/>
      <c r="Y153" s="127"/>
      <c r="Z153" s="127"/>
      <c r="AA153" s="127"/>
      <c r="AB153" s="127"/>
      <c r="AC153" s="237"/>
      <c r="AD153" s="210"/>
      <c r="AE153" s="210"/>
      <c r="AF153" s="210"/>
      <c r="AG153" s="232"/>
      <c r="AH153" s="127"/>
    </row>
    <row r="154" spans="1:34" ht="15" x14ac:dyDescent="0.25">
      <c r="A154" s="204" t="s">
        <v>227</v>
      </c>
      <c r="B154" s="213"/>
      <c r="C154" s="203"/>
      <c r="D154" s="210"/>
      <c r="E154" s="203"/>
      <c r="F154" s="203"/>
      <c r="G154" s="238"/>
      <c r="H154" s="210"/>
      <c r="I154" s="210"/>
      <c r="J154" s="210"/>
      <c r="K154" s="210"/>
      <c r="L154" s="127"/>
      <c r="M154" s="127"/>
      <c r="N154" s="201"/>
      <c r="O154" s="201"/>
      <c r="P154" s="201"/>
      <c r="Q154" s="201"/>
      <c r="R154" s="127"/>
      <c r="S154" s="127" t="s">
        <v>226</v>
      </c>
      <c r="T154" s="127"/>
      <c r="U154" s="127"/>
      <c r="V154" s="127"/>
      <c r="W154" s="127"/>
      <c r="X154" s="127"/>
      <c r="Y154" s="127"/>
      <c r="Z154" s="127"/>
      <c r="AA154" s="127"/>
      <c r="AB154" s="127"/>
      <c r="AC154" s="237"/>
      <c r="AD154" s="210"/>
      <c r="AE154" s="210"/>
      <c r="AF154" s="210"/>
      <c r="AG154" s="232"/>
      <c r="AH154" s="127"/>
    </row>
    <row r="155" spans="1:34" ht="15.75" x14ac:dyDescent="0.25">
      <c r="A155" s="127" t="s">
        <v>228</v>
      </c>
      <c r="B155" s="211">
        <v>0.1089</v>
      </c>
      <c r="C155" s="203">
        <v>4.6600000000000003E-2</v>
      </c>
      <c r="D155" s="210"/>
      <c r="E155" s="203">
        <v>6.9900000000000004E-2</v>
      </c>
      <c r="F155" s="203">
        <v>0.13</v>
      </c>
      <c r="G155" s="238">
        <f t="shared" ref="G155:G293" si="25">(B155-E155)*1000/F155</f>
        <v>299.99999999999994</v>
      </c>
      <c r="H155" s="210">
        <v>8.0199999999999994E-2</v>
      </c>
      <c r="I155" s="210" t="str">
        <f>""</f>
        <v/>
      </c>
      <c r="J155" s="210"/>
      <c r="K155" s="211"/>
      <c r="L155" s="127">
        <v>3700</v>
      </c>
      <c r="M155" s="127">
        <v>15</v>
      </c>
      <c r="N155" s="201">
        <f>MIN($B155,(75*$F155/1000)+$E155)</f>
        <v>7.9649999999999999E-2</v>
      </c>
      <c r="O155" s="201">
        <f>MIN($B155,(150*$F155/1000)+$E155)</f>
        <v>8.9400000000000007E-2</v>
      </c>
      <c r="P155" s="201">
        <f>MIN($B155,(225*$F155/1000)+$E155)</f>
        <v>9.9150000000000002E-2</v>
      </c>
      <c r="Q155" s="201">
        <f t="shared" si="9"/>
        <v>0.1089</v>
      </c>
      <c r="R155" s="127" t="s">
        <v>179</v>
      </c>
      <c r="S155" s="127" t="str">
        <f>""</f>
        <v/>
      </c>
      <c r="T155" s="127" t="s">
        <v>181</v>
      </c>
      <c r="U155" s="127" t="s">
        <v>182</v>
      </c>
      <c r="V155" s="127" t="s">
        <v>183</v>
      </c>
      <c r="W155" s="127" t="s">
        <v>229</v>
      </c>
      <c r="X155" s="127" t="s">
        <v>230</v>
      </c>
      <c r="Y155" s="127" t="s">
        <v>231</v>
      </c>
      <c r="Z155" s="127" t="s">
        <v>187</v>
      </c>
      <c r="AA155" s="127" t="str">
        <f>""</f>
        <v/>
      </c>
      <c r="AB155" s="127">
        <v>15</v>
      </c>
      <c r="AC155" s="210">
        <f>PBL_OT_2025!$F$3/POWER(1.02,7)</f>
        <v>6.0884457336425828E-2</v>
      </c>
      <c r="AD155" s="210">
        <f t="shared" si="24"/>
        <v>0</v>
      </c>
      <c r="AE155" s="210" t="str">
        <f t="shared" ref="AE155:AE293" si="26">IF(AC155&lt;B155,"",FALSE)</f>
        <v/>
      </c>
      <c r="AF155" s="368" t="s">
        <v>552</v>
      </c>
      <c r="AG155" s="232" t="s">
        <v>873</v>
      </c>
      <c r="AH155" s="127"/>
    </row>
    <row r="156" spans="1:34" ht="15" x14ac:dyDescent="0.25">
      <c r="A156" s="127"/>
      <c r="B156" s="211"/>
      <c r="C156" s="203"/>
      <c r="D156" s="210"/>
      <c r="E156" s="203"/>
      <c r="F156" s="203"/>
      <c r="G156" s="238"/>
      <c r="H156" s="210"/>
      <c r="I156" s="210"/>
      <c r="J156" s="210"/>
      <c r="K156" s="210"/>
      <c r="L156" s="127"/>
      <c r="M156" s="127"/>
      <c r="N156" s="201"/>
      <c r="O156" s="201"/>
      <c r="P156" s="201"/>
      <c r="Q156" s="201"/>
      <c r="R156" s="127"/>
      <c r="S156" s="127" t="s">
        <v>226</v>
      </c>
      <c r="T156" s="127"/>
      <c r="U156" s="127"/>
      <c r="V156" s="127"/>
      <c r="W156" s="127"/>
      <c r="X156" s="127"/>
      <c r="Y156" s="127"/>
      <c r="Z156" s="127"/>
      <c r="AA156" s="127"/>
      <c r="AB156" s="127"/>
      <c r="AC156" s="237"/>
      <c r="AD156" s="210"/>
      <c r="AE156" s="210"/>
      <c r="AF156" s="210"/>
      <c r="AG156" s="232"/>
      <c r="AH156" s="127"/>
    </row>
    <row r="157" spans="1:34" ht="15" x14ac:dyDescent="0.25">
      <c r="A157" s="204" t="s">
        <v>232</v>
      </c>
      <c r="B157" s="211"/>
      <c r="C157" s="203"/>
      <c r="D157" s="210"/>
      <c r="E157" s="203"/>
      <c r="F157" s="203"/>
      <c r="G157" s="238"/>
      <c r="H157" s="210"/>
      <c r="I157" s="210"/>
      <c r="J157" s="210"/>
      <c r="K157" s="210"/>
      <c r="L157" s="127"/>
      <c r="M157" s="127"/>
      <c r="N157" s="201"/>
      <c r="O157" s="201"/>
      <c r="P157" s="201"/>
      <c r="Q157" s="201"/>
      <c r="R157" s="127"/>
      <c r="S157" s="127" t="s">
        <v>226</v>
      </c>
      <c r="T157" s="127"/>
      <c r="U157" s="127"/>
      <c r="V157" s="127"/>
      <c r="W157" s="127"/>
      <c r="X157" s="127"/>
      <c r="Y157" s="127"/>
      <c r="Z157" s="127"/>
      <c r="AA157" s="127"/>
      <c r="AB157" s="127"/>
      <c r="AC157" s="237"/>
      <c r="AD157" s="210"/>
      <c r="AE157" s="210"/>
      <c r="AF157" s="210"/>
      <c r="AG157" s="232"/>
      <c r="AH157" s="127"/>
    </row>
    <row r="158" spans="1:34" ht="15" x14ac:dyDescent="0.25">
      <c r="A158" s="127" t="s">
        <v>709</v>
      </c>
      <c r="B158" s="211">
        <v>9.2019999999999991E-2</v>
      </c>
      <c r="C158" s="203">
        <v>1.29E-2</v>
      </c>
      <c r="D158" s="210"/>
      <c r="E158" s="203">
        <v>1.9300000000000001E-2</v>
      </c>
      <c r="F158" s="203">
        <v>0.18179999999999999</v>
      </c>
      <c r="G158" s="238">
        <f>(B158-E158)*1000/F158</f>
        <v>400</v>
      </c>
      <c r="H158" s="210">
        <v>2.9399999999999999E-2</v>
      </c>
      <c r="I158" s="210" t="str">
        <f>""</f>
        <v/>
      </c>
      <c r="J158" s="210"/>
      <c r="K158" s="210">
        <v>2.9999999999999997E-4</v>
      </c>
      <c r="L158" s="127">
        <v>6000</v>
      </c>
      <c r="M158" s="127">
        <v>15</v>
      </c>
      <c r="N158" s="201">
        <f>MIN($B158,(75*$F158/1000)+$E158)</f>
        <v>3.2934999999999999E-2</v>
      </c>
      <c r="O158" s="201">
        <f>MIN($B158,(150*$F158/1000)+$E158)</f>
        <v>4.657E-2</v>
      </c>
      <c r="P158" s="201">
        <f>MIN($B158,(225*$F158/1000)+$E158)</f>
        <v>6.0205000000000009E-2</v>
      </c>
      <c r="Q158" s="201">
        <f>MIN($B158,(300*$F158/1000)+$E158)</f>
        <v>7.3840000000000003E-2</v>
      </c>
      <c r="R158" s="127" t="s">
        <v>180</v>
      </c>
      <c r="S158" s="127" t="str">
        <f>""</f>
        <v/>
      </c>
      <c r="T158" s="127" t="s">
        <v>181</v>
      </c>
      <c r="U158" s="127" t="s">
        <v>182</v>
      </c>
      <c r="V158" s="127" t="s">
        <v>183</v>
      </c>
      <c r="W158" s="127" t="s">
        <v>716</v>
      </c>
      <c r="X158" s="127" t="s">
        <v>191</v>
      </c>
      <c r="Y158" s="127" t="s">
        <v>1009</v>
      </c>
      <c r="Z158" s="127" t="s">
        <v>187</v>
      </c>
      <c r="AA158" s="127" t="s">
        <v>710</v>
      </c>
      <c r="AB158" s="127">
        <v>15</v>
      </c>
      <c r="AC158" s="210">
        <f>PBL_OT_2025!$F$12/POWER(1.02,7)</f>
        <v>1.678021968721171E-2</v>
      </c>
      <c r="AD158" s="210">
        <f t="shared" si="24"/>
        <v>2.9999999999999997E-4</v>
      </c>
      <c r="AE158" s="210" t="str">
        <f>IF(AC158&lt;B158,"",FALSE)</f>
        <v/>
      </c>
      <c r="AF158" s="210" t="s">
        <v>556</v>
      </c>
      <c r="AG158" s="232">
        <v>17</v>
      </c>
      <c r="AH158" s="127"/>
    </row>
    <row r="159" spans="1:34" ht="15" x14ac:dyDescent="0.25">
      <c r="A159" s="127" t="s">
        <v>576</v>
      </c>
      <c r="B159" s="211">
        <v>7.7899999999999997E-2</v>
      </c>
      <c r="C159" s="203">
        <v>1.29E-2</v>
      </c>
      <c r="D159" s="210"/>
      <c r="E159" s="203">
        <v>1.9300000000000001E-2</v>
      </c>
      <c r="F159" s="203">
        <v>0.1827</v>
      </c>
      <c r="G159" s="238">
        <f t="shared" si="25"/>
        <v>320.74438970990695</v>
      </c>
      <c r="H159" s="210">
        <v>2.9399999999999999E-2</v>
      </c>
      <c r="I159" s="210" t="str">
        <f>""</f>
        <v/>
      </c>
      <c r="J159" s="210"/>
      <c r="K159" s="210">
        <v>2.9999999999999997E-4</v>
      </c>
      <c r="L159" s="127">
        <v>6000</v>
      </c>
      <c r="M159" s="127">
        <v>15</v>
      </c>
      <c r="N159" s="201">
        <f t="shared" ref="N159:N161" si="27">MIN($B159,(75*$F159/1000)+$E159)</f>
        <v>3.3002500000000004E-2</v>
      </c>
      <c r="O159" s="201">
        <f t="shared" ref="O159:O161" si="28">MIN($B159,(150*$F159/1000)+$E159)</f>
        <v>4.6705000000000003E-2</v>
      </c>
      <c r="P159" s="201">
        <f t="shared" ref="P159:P161" si="29">MIN($B159,(225*$F159/1000)+$E159)</f>
        <v>6.0407500000000003E-2</v>
      </c>
      <c r="Q159" s="201">
        <f t="shared" ref="Q159:Q293" si="30">MIN($B159,(300*$F159/1000)+$E159)</f>
        <v>7.4110000000000009E-2</v>
      </c>
      <c r="R159" s="127" t="s">
        <v>180</v>
      </c>
      <c r="S159" s="127" t="str">
        <f>""</f>
        <v/>
      </c>
      <c r="T159" s="127" t="s">
        <v>181</v>
      </c>
      <c r="U159" s="127" t="s">
        <v>182</v>
      </c>
      <c r="V159" s="127" t="s">
        <v>183</v>
      </c>
      <c r="W159" s="127" t="s">
        <v>717</v>
      </c>
      <c r="X159" s="127" t="s">
        <v>191</v>
      </c>
      <c r="Y159" s="127" t="s">
        <v>1009</v>
      </c>
      <c r="Z159" s="127" t="s">
        <v>187</v>
      </c>
      <c r="AA159" s="127" t="s">
        <v>234</v>
      </c>
      <c r="AB159" s="127">
        <v>15</v>
      </c>
      <c r="AC159" s="210">
        <f>PBL_OT_2025!$F$12/POWER(1.02,7)</f>
        <v>1.678021968721171E-2</v>
      </c>
      <c r="AD159" s="210">
        <f t="shared" si="24"/>
        <v>2.9999999999999997E-4</v>
      </c>
      <c r="AE159" s="210" t="str">
        <f t="shared" ref="AE159:AE161" si="31">IF(AC159&lt;B159,"",FALSE)</f>
        <v/>
      </c>
      <c r="AF159" s="210" t="s">
        <v>556</v>
      </c>
      <c r="AG159" s="232">
        <v>17</v>
      </c>
      <c r="AH159" s="127"/>
    </row>
    <row r="160" spans="1:34" ht="15" x14ac:dyDescent="0.25">
      <c r="A160" s="127" t="s">
        <v>708</v>
      </c>
      <c r="B160" s="211">
        <v>9.3379999999999991E-2</v>
      </c>
      <c r="C160" s="203">
        <v>1.29E-2</v>
      </c>
      <c r="D160" s="210"/>
      <c r="E160" s="203">
        <v>1.9300000000000001E-2</v>
      </c>
      <c r="F160" s="203">
        <v>0.1852</v>
      </c>
      <c r="G160" s="238">
        <f t="shared" si="25"/>
        <v>400</v>
      </c>
      <c r="H160" s="210">
        <v>2.9399999999999999E-2</v>
      </c>
      <c r="I160" s="210" t="str">
        <f>""</f>
        <v/>
      </c>
      <c r="J160" s="210"/>
      <c r="K160" s="210">
        <v>2.9999999999999997E-4</v>
      </c>
      <c r="L160" s="127">
        <v>3500</v>
      </c>
      <c r="M160" s="127">
        <v>15</v>
      </c>
      <c r="N160" s="201">
        <f t="shared" si="27"/>
        <v>3.3190000000000004E-2</v>
      </c>
      <c r="O160" s="201">
        <f t="shared" si="28"/>
        <v>4.7080000000000004E-2</v>
      </c>
      <c r="P160" s="201">
        <f t="shared" si="29"/>
        <v>6.0969999999999996E-2</v>
      </c>
      <c r="Q160" s="201">
        <f t="shared" si="30"/>
        <v>7.486000000000001E-2</v>
      </c>
      <c r="R160" s="127" t="s">
        <v>180</v>
      </c>
      <c r="S160" s="127" t="str">
        <f>""</f>
        <v/>
      </c>
      <c r="T160" s="127" t="s">
        <v>181</v>
      </c>
      <c r="U160" s="127" t="s">
        <v>182</v>
      </c>
      <c r="V160" s="127" t="s">
        <v>183</v>
      </c>
      <c r="W160" s="127" t="s">
        <v>717</v>
      </c>
      <c r="X160" s="127" t="s">
        <v>191</v>
      </c>
      <c r="Y160" s="127" t="s">
        <v>1009</v>
      </c>
      <c r="Z160" s="127" t="s">
        <v>187</v>
      </c>
      <c r="AA160" s="127" t="s">
        <v>711</v>
      </c>
      <c r="AB160" s="127">
        <v>15</v>
      </c>
      <c r="AC160" s="210">
        <f>PBL_OT_2025!$F$12/POWER(1.02,7)</f>
        <v>1.678021968721171E-2</v>
      </c>
      <c r="AD160" s="210">
        <f t="shared" si="24"/>
        <v>2.9999999999999997E-4</v>
      </c>
      <c r="AE160" s="210" t="str">
        <f t="shared" si="31"/>
        <v/>
      </c>
      <c r="AF160" s="210" t="s">
        <v>556</v>
      </c>
      <c r="AG160" s="232">
        <v>17</v>
      </c>
      <c r="AH160" s="127"/>
    </row>
    <row r="161" spans="1:34" ht="15" x14ac:dyDescent="0.25">
      <c r="A161" s="127" t="s">
        <v>782</v>
      </c>
      <c r="B161" s="211">
        <v>7.3400000000000007E-2</v>
      </c>
      <c r="C161" s="203">
        <v>1.29E-2</v>
      </c>
      <c r="D161" s="210"/>
      <c r="E161" s="203">
        <v>1.9300000000000001E-2</v>
      </c>
      <c r="F161" s="203">
        <v>0.18390000000000001</v>
      </c>
      <c r="G161" s="238">
        <f t="shared" si="25"/>
        <v>294.18162044589457</v>
      </c>
      <c r="H161" s="210">
        <v>2.9399999999999999E-2</v>
      </c>
      <c r="I161" s="210" t="str">
        <f>""</f>
        <v/>
      </c>
      <c r="J161" s="210"/>
      <c r="K161" s="210">
        <v>2.9999999999999997E-4</v>
      </c>
      <c r="L161" s="127">
        <v>3500</v>
      </c>
      <c r="M161" s="127">
        <v>15</v>
      </c>
      <c r="N161" s="201">
        <f t="shared" si="27"/>
        <v>3.3092500000000004E-2</v>
      </c>
      <c r="O161" s="201">
        <f t="shared" si="28"/>
        <v>4.6885000000000003E-2</v>
      </c>
      <c r="P161" s="201">
        <f t="shared" si="29"/>
        <v>6.0677500000000009E-2</v>
      </c>
      <c r="Q161" s="201">
        <f t="shared" si="30"/>
        <v>7.3400000000000007E-2</v>
      </c>
      <c r="R161" s="127" t="s">
        <v>180</v>
      </c>
      <c r="S161" s="127" t="str">
        <f>""</f>
        <v/>
      </c>
      <c r="T161" s="127" t="s">
        <v>181</v>
      </c>
      <c r="U161" s="127" t="s">
        <v>182</v>
      </c>
      <c r="V161" s="127" t="s">
        <v>183</v>
      </c>
      <c r="W161" s="127" t="s">
        <v>717</v>
      </c>
      <c r="X161" s="127" t="s">
        <v>191</v>
      </c>
      <c r="Y161" s="127" t="s">
        <v>1009</v>
      </c>
      <c r="Z161" s="127" t="s">
        <v>187</v>
      </c>
      <c r="AA161" s="127" t="s">
        <v>214</v>
      </c>
      <c r="AB161" s="127">
        <v>15</v>
      </c>
      <c r="AC161" s="210">
        <f>PBL_OT_2025!$F$12/POWER(1.02,7)</f>
        <v>1.678021968721171E-2</v>
      </c>
      <c r="AD161" s="210">
        <f t="shared" si="24"/>
        <v>2.9999999999999997E-4</v>
      </c>
      <c r="AE161" s="210" t="str">
        <f t="shared" si="31"/>
        <v/>
      </c>
      <c r="AF161" s="210" t="s">
        <v>556</v>
      </c>
      <c r="AG161" s="232">
        <v>17</v>
      </c>
      <c r="AH161" s="127"/>
    </row>
    <row r="162" spans="1:34" ht="15" x14ac:dyDescent="0.25">
      <c r="A162" s="127"/>
      <c r="B162" s="211"/>
      <c r="C162" s="203"/>
      <c r="D162" s="210"/>
      <c r="E162" s="203"/>
      <c r="F162" s="203"/>
      <c r="G162" s="238"/>
      <c r="H162" s="210"/>
      <c r="I162" s="210"/>
      <c r="J162" s="210"/>
      <c r="K162" s="210"/>
      <c r="L162" s="127"/>
      <c r="M162" s="127"/>
      <c r="N162" s="201"/>
      <c r="O162" s="201"/>
      <c r="P162" s="201"/>
      <c r="Q162" s="201"/>
      <c r="R162" s="127"/>
      <c r="S162" s="127"/>
      <c r="T162" s="127"/>
      <c r="U162" s="127"/>
      <c r="V162" s="127"/>
      <c r="W162" s="127"/>
      <c r="X162" s="127"/>
      <c r="Y162" s="127"/>
      <c r="Z162" s="127"/>
      <c r="AA162" s="127"/>
      <c r="AB162" s="127"/>
      <c r="AC162" s="237"/>
      <c r="AD162" s="210"/>
      <c r="AE162" s="210"/>
      <c r="AF162" s="210"/>
      <c r="AG162" s="233"/>
      <c r="AH162" s="127"/>
    </row>
    <row r="163" spans="1:34" ht="15" x14ac:dyDescent="0.25">
      <c r="A163" s="204" t="s">
        <v>417</v>
      </c>
      <c r="B163" s="211"/>
      <c r="C163" s="203"/>
      <c r="D163" s="210"/>
      <c r="E163" s="203"/>
      <c r="F163" s="203"/>
      <c r="G163" s="238"/>
      <c r="H163" s="210"/>
      <c r="I163" s="210"/>
      <c r="J163" s="210"/>
      <c r="K163" s="210"/>
      <c r="L163" s="127"/>
      <c r="M163" s="127"/>
      <c r="N163" s="201"/>
      <c r="O163" s="201"/>
      <c r="P163" s="201"/>
      <c r="Q163" s="201"/>
      <c r="R163" s="127"/>
      <c r="S163" s="127"/>
      <c r="T163" s="127"/>
      <c r="U163" s="127"/>
      <c r="V163" s="127"/>
      <c r="W163" s="127"/>
      <c r="X163" s="127"/>
      <c r="Y163" s="127"/>
      <c r="Z163" s="127"/>
      <c r="AA163" s="127"/>
      <c r="AB163" s="127"/>
      <c r="AC163" s="237"/>
      <c r="AD163" s="210"/>
      <c r="AE163" s="210"/>
      <c r="AF163" s="210"/>
      <c r="AG163" s="233"/>
      <c r="AH163" s="127"/>
    </row>
    <row r="164" spans="1:34" ht="15" x14ac:dyDescent="0.25">
      <c r="A164" s="127" t="s">
        <v>712</v>
      </c>
      <c r="B164" s="211">
        <v>0.11976000000000001</v>
      </c>
      <c r="C164" s="203">
        <v>3.6600000000000001E-2</v>
      </c>
      <c r="D164" s="210"/>
      <c r="E164" s="203">
        <v>4.6800000000000001E-2</v>
      </c>
      <c r="F164" s="203">
        <v>0.18240000000000001</v>
      </c>
      <c r="G164" s="238">
        <f t="shared" si="25"/>
        <v>399.99999999999994</v>
      </c>
      <c r="H164" s="210">
        <v>6.3E-2</v>
      </c>
      <c r="I164" s="210"/>
      <c r="J164" s="210"/>
      <c r="K164" s="210">
        <v>2.9999999999999997E-4</v>
      </c>
      <c r="L164" s="127">
        <v>3500</v>
      </c>
      <c r="M164" s="127">
        <v>15</v>
      </c>
      <c r="N164" s="201">
        <f>MIN($B164,(75*$F164/1000)+$E164)</f>
        <v>6.0479999999999999E-2</v>
      </c>
      <c r="O164" s="201">
        <f>MIN($B164,(150*$F164/1000)+$E164)</f>
        <v>7.4160000000000004E-2</v>
      </c>
      <c r="P164" s="201">
        <f>MIN($B164,(225*$F164/1000)+$E164)</f>
        <v>8.7840000000000001E-2</v>
      </c>
      <c r="Q164" s="201">
        <f t="shared" si="30"/>
        <v>0.10152</v>
      </c>
      <c r="R164" s="127" t="s">
        <v>180</v>
      </c>
      <c r="S164" s="127" t="s">
        <v>226</v>
      </c>
      <c r="T164" s="127" t="s">
        <v>181</v>
      </c>
      <c r="U164" s="127" t="s">
        <v>182</v>
      </c>
      <c r="V164" s="127" t="s">
        <v>183</v>
      </c>
      <c r="W164" s="127" t="s">
        <v>703</v>
      </c>
      <c r="X164" s="127" t="s">
        <v>191</v>
      </c>
      <c r="Y164" s="127" t="s">
        <v>1028</v>
      </c>
      <c r="Z164" s="127" t="s">
        <v>187</v>
      </c>
      <c r="AA164" s="127" t="s">
        <v>713</v>
      </c>
      <c r="AB164" s="127">
        <v>15</v>
      </c>
      <c r="AC164" s="210">
        <f>(PBL_OT_2025!$F$30/POWER(1.02,7)+PBL_OT_2025!$D$100)/90%</f>
        <v>4.2881714842410816E-2</v>
      </c>
      <c r="AD164" s="210">
        <f t="shared" si="24"/>
        <v>2.9999999999999997E-4</v>
      </c>
      <c r="AE164" s="210" t="str">
        <f t="shared" si="26"/>
        <v/>
      </c>
      <c r="AF164" s="210" t="s">
        <v>553</v>
      </c>
      <c r="AG164" s="232">
        <v>16</v>
      </c>
      <c r="AH164" s="127"/>
    </row>
    <row r="165" spans="1:34" ht="15" x14ac:dyDescent="0.25">
      <c r="A165" s="127" t="s">
        <v>771</v>
      </c>
      <c r="B165" s="211">
        <v>6.3500000000000001E-2</v>
      </c>
      <c r="C165" s="203">
        <v>1.29E-2</v>
      </c>
      <c r="D165" s="210"/>
      <c r="E165" s="203">
        <v>1.9300000000000001E-2</v>
      </c>
      <c r="F165" s="203">
        <v>0.1925</v>
      </c>
      <c r="G165" s="238">
        <f t="shared" si="25"/>
        <v>229.61038961038963</v>
      </c>
      <c r="H165" s="210">
        <v>2.9399999999999999E-2</v>
      </c>
      <c r="I165" s="210"/>
      <c r="J165" s="210"/>
      <c r="K165" s="210">
        <v>2.9999999999999997E-4</v>
      </c>
      <c r="L165" s="127">
        <v>3500</v>
      </c>
      <c r="M165" s="127">
        <v>15</v>
      </c>
      <c r="N165" s="201">
        <f>MIN($B165,(75*$F165/1000)+$E165)</f>
        <v>3.3737500000000004E-2</v>
      </c>
      <c r="O165" s="201">
        <f>MIN($B165,(150*$F165/1000)+$E165)</f>
        <v>4.8175000000000003E-2</v>
      </c>
      <c r="P165" s="201">
        <f>MIN($B165,(225*$F165/1000)+$E165)</f>
        <v>6.2612500000000001E-2</v>
      </c>
      <c r="Q165" s="201">
        <f t="shared" si="30"/>
        <v>6.3500000000000001E-2</v>
      </c>
      <c r="R165" s="127" t="s">
        <v>180</v>
      </c>
      <c r="S165" s="127"/>
      <c r="T165" s="127" t="s">
        <v>181</v>
      </c>
      <c r="U165" s="127" t="s">
        <v>182</v>
      </c>
      <c r="V165" s="127" t="s">
        <v>183</v>
      </c>
      <c r="W165" s="127" t="s">
        <v>704</v>
      </c>
      <c r="X165" s="127" t="s">
        <v>191</v>
      </c>
      <c r="Y165" s="127" t="s">
        <v>1028</v>
      </c>
      <c r="Z165" s="127" t="s">
        <v>187</v>
      </c>
      <c r="AA165" s="127" t="s">
        <v>563</v>
      </c>
      <c r="AB165" s="127">
        <v>15</v>
      </c>
      <c r="AC165" s="210">
        <f>PBL_OT_2025!$F$12/POWER(1.02,7)</f>
        <v>1.678021968721171E-2</v>
      </c>
      <c r="AD165" s="210">
        <f t="shared" si="24"/>
        <v>2.9999999999999997E-4</v>
      </c>
      <c r="AE165" s="210" t="str">
        <f t="shared" si="26"/>
        <v/>
      </c>
      <c r="AF165" s="210" t="s">
        <v>556</v>
      </c>
      <c r="AG165" s="232">
        <v>17</v>
      </c>
      <c r="AH165" s="127"/>
    </row>
    <row r="166" spans="1:34" ht="15" x14ac:dyDescent="0.25">
      <c r="A166" s="127"/>
      <c r="B166" s="211"/>
      <c r="C166" s="203"/>
      <c r="D166" s="210"/>
      <c r="E166" s="203"/>
      <c r="F166" s="203"/>
      <c r="G166" s="238"/>
      <c r="H166" s="210"/>
      <c r="I166" s="210"/>
      <c r="J166" s="210"/>
      <c r="K166" s="210"/>
      <c r="L166" s="127"/>
      <c r="M166" s="127"/>
      <c r="N166" s="201"/>
      <c r="O166" s="201"/>
      <c r="P166" s="201"/>
      <c r="Q166" s="201"/>
      <c r="R166" s="127"/>
      <c r="S166" s="127"/>
      <c r="T166" s="127"/>
      <c r="U166" s="127"/>
      <c r="V166" s="127"/>
      <c r="W166" s="127"/>
      <c r="X166" s="127"/>
      <c r="Y166" s="127"/>
      <c r="Z166" s="127"/>
      <c r="AA166" s="127"/>
      <c r="AB166" s="127"/>
      <c r="AC166" s="237"/>
      <c r="AD166" s="210"/>
      <c r="AE166" s="210"/>
      <c r="AF166" s="210"/>
      <c r="AG166" s="233"/>
      <c r="AH166" s="127"/>
    </row>
    <row r="167" spans="1:34" ht="15" x14ac:dyDescent="0.25">
      <c r="A167" s="204" t="s">
        <v>146</v>
      </c>
      <c r="B167" s="213"/>
      <c r="C167" s="203"/>
      <c r="D167" s="210"/>
      <c r="E167" s="203"/>
      <c r="F167" s="203"/>
      <c r="G167" s="238"/>
      <c r="H167" s="210"/>
      <c r="I167" s="210"/>
      <c r="J167" s="210"/>
      <c r="K167" s="210"/>
      <c r="L167" s="127"/>
      <c r="M167" s="127"/>
      <c r="N167" s="201"/>
      <c r="O167" s="201"/>
      <c r="P167" s="201"/>
      <c r="Q167" s="201"/>
      <c r="R167" s="127"/>
      <c r="S167" s="127" t="s">
        <v>226</v>
      </c>
      <c r="T167" s="127"/>
      <c r="U167" s="127"/>
      <c r="V167" s="127"/>
      <c r="W167" s="127"/>
      <c r="X167" s="127"/>
      <c r="Y167" s="127"/>
      <c r="Z167" s="127"/>
      <c r="AA167" s="127"/>
      <c r="AB167" s="127"/>
      <c r="AC167" s="237"/>
      <c r="AD167" s="210"/>
      <c r="AE167" s="210"/>
      <c r="AF167" s="210"/>
      <c r="AG167" s="233"/>
      <c r="AH167" s="127"/>
    </row>
    <row r="168" spans="1:34" ht="14.25" x14ac:dyDescent="0.2">
      <c r="A168" s="127" t="s">
        <v>744</v>
      </c>
      <c r="B168" s="211">
        <v>5.9900000000000002E-2</v>
      </c>
      <c r="C168" s="202">
        <v>3.4299999999999997E-2</v>
      </c>
      <c r="D168" s="210"/>
      <c r="E168" s="202">
        <v>5.5500000000000001E-2</v>
      </c>
      <c r="F168" s="202">
        <v>0.10929999999999999</v>
      </c>
      <c r="G168" s="238">
        <f t="shared" si="25"/>
        <v>40.256175663312</v>
      </c>
      <c r="H168" s="210">
        <f>0.0694+J168</f>
        <v>7.3400000000000007E-2</v>
      </c>
      <c r="I168" s="210" t="str">
        <f>""</f>
        <v/>
      </c>
      <c r="J168" s="210">
        <v>4.0000000000000001E-3</v>
      </c>
      <c r="K168" s="211"/>
      <c r="L168" s="270">
        <v>8766</v>
      </c>
      <c r="M168" s="127">
        <v>15</v>
      </c>
      <c r="N168" s="201">
        <f t="shared" ref="N168:N182" si="32">MIN($B168,(75*$F168/1000)+$E168)</f>
        <v>5.9900000000000002E-2</v>
      </c>
      <c r="O168" s="201">
        <f t="shared" ref="O168:O182" si="33">MIN($B168,(150*$F168/1000)+$E168)</f>
        <v>5.9900000000000002E-2</v>
      </c>
      <c r="P168" s="201">
        <f t="shared" ref="P168:P182" si="34">MIN($B168,(225*$F168/1000)+$E168)</f>
        <v>5.9900000000000002E-2</v>
      </c>
      <c r="Q168" s="201">
        <f t="shared" si="30"/>
        <v>5.9900000000000002E-2</v>
      </c>
      <c r="R168" s="127" t="s">
        <v>179</v>
      </c>
      <c r="S168" s="127" t="str">
        <f>""</f>
        <v/>
      </c>
      <c r="T168" s="127" t="s">
        <v>181</v>
      </c>
      <c r="U168" s="127" t="s">
        <v>182</v>
      </c>
      <c r="V168" s="127" t="s">
        <v>183</v>
      </c>
      <c r="W168" s="127" t="s">
        <v>235</v>
      </c>
      <c r="X168" s="127" t="s">
        <v>230</v>
      </c>
      <c r="Y168" s="127" t="s">
        <v>236</v>
      </c>
      <c r="Z168" s="127" t="s">
        <v>187</v>
      </c>
      <c r="AA168" s="127" t="str">
        <f>""</f>
        <v/>
      </c>
      <c r="AB168" s="127">
        <v>20</v>
      </c>
      <c r="AC168" s="210">
        <f>0.0555/POWER(1.02,7)+PBL_OT_2025!$D$39</f>
        <v>5.2316089913072225E-2</v>
      </c>
      <c r="AD168" s="210">
        <f t="shared" si="24"/>
        <v>0</v>
      </c>
      <c r="AE168" s="210" t="str">
        <f t="shared" si="26"/>
        <v/>
      </c>
      <c r="AF168" s="210" t="s">
        <v>980</v>
      </c>
      <c r="AG168" s="232" t="s">
        <v>876</v>
      </c>
      <c r="AH168" s="127" t="b">
        <f t="shared" ref="AH168:AH199" si="35">IF(AC168*POWER(1.02,14)&lt;=B168+0.018,FALSE,TRUE)</f>
        <v>0</v>
      </c>
    </row>
    <row r="169" spans="1:34" ht="14.25" x14ac:dyDescent="0.2">
      <c r="A169" s="127" t="s">
        <v>237</v>
      </c>
      <c r="B169" s="211">
        <v>6.5000000000000002E-2</v>
      </c>
      <c r="C169" s="202">
        <v>3.4299999999999997E-2</v>
      </c>
      <c r="D169" s="210"/>
      <c r="E169" s="202">
        <v>5.5500000000000001E-2</v>
      </c>
      <c r="F169" s="202">
        <v>0.10929999999999999</v>
      </c>
      <c r="G169" s="238">
        <f t="shared" si="25"/>
        <v>86.916742909423633</v>
      </c>
      <c r="H169" s="210">
        <f t="shared" ref="H169:H182" si="36">0.0694+J169</f>
        <v>7.3400000000000007E-2</v>
      </c>
      <c r="I169" s="210" t="str">
        <f>""</f>
        <v/>
      </c>
      <c r="J169" s="210">
        <v>4.0000000000000001E-3</v>
      </c>
      <c r="K169" s="211"/>
      <c r="L169" s="270">
        <v>8766</v>
      </c>
      <c r="M169" s="127">
        <v>15</v>
      </c>
      <c r="N169" s="201">
        <f t="shared" si="32"/>
        <v>6.3697500000000004E-2</v>
      </c>
      <c r="O169" s="201">
        <f t="shared" si="33"/>
        <v>6.5000000000000002E-2</v>
      </c>
      <c r="P169" s="201">
        <f t="shared" si="34"/>
        <v>6.5000000000000002E-2</v>
      </c>
      <c r="Q169" s="201">
        <f t="shared" si="30"/>
        <v>6.5000000000000002E-2</v>
      </c>
      <c r="R169" s="127" t="s">
        <v>179</v>
      </c>
      <c r="S169" s="127" t="str">
        <f>""</f>
        <v/>
      </c>
      <c r="T169" s="127" t="s">
        <v>181</v>
      </c>
      <c r="U169" s="127" t="s">
        <v>182</v>
      </c>
      <c r="V169" s="127" t="s">
        <v>183</v>
      </c>
      <c r="W169" s="127" t="s">
        <v>235</v>
      </c>
      <c r="X169" s="127" t="s">
        <v>230</v>
      </c>
      <c r="Y169" s="127" t="s">
        <v>236</v>
      </c>
      <c r="Z169" s="127" t="s">
        <v>187</v>
      </c>
      <c r="AA169" s="127" t="str">
        <f>""</f>
        <v/>
      </c>
      <c r="AB169" s="127">
        <v>20</v>
      </c>
      <c r="AC169" s="210">
        <f>0.0555/POWER(1.02,7)+PBL_OT_2025!$D$39</f>
        <v>5.2316089913072225E-2</v>
      </c>
      <c r="AD169" s="210">
        <f t="shared" si="24"/>
        <v>0</v>
      </c>
      <c r="AE169" s="210" t="str">
        <f t="shared" si="26"/>
        <v/>
      </c>
      <c r="AF169" s="210" t="s">
        <v>980</v>
      </c>
      <c r="AG169" s="232" t="s">
        <v>876</v>
      </c>
      <c r="AH169" s="127" t="b">
        <f t="shared" si="35"/>
        <v>0</v>
      </c>
    </row>
    <row r="170" spans="1:34" ht="14.25" x14ac:dyDescent="0.2">
      <c r="A170" s="127" t="s">
        <v>238</v>
      </c>
      <c r="B170" s="211">
        <v>7.0400000000000004E-2</v>
      </c>
      <c r="C170" s="202">
        <v>3.4299999999999997E-2</v>
      </c>
      <c r="D170" s="210"/>
      <c r="E170" s="202">
        <v>5.5500000000000001E-2</v>
      </c>
      <c r="F170" s="202">
        <v>0.10929999999999999</v>
      </c>
      <c r="G170" s="238">
        <f t="shared" si="25"/>
        <v>136.32204940530653</v>
      </c>
      <c r="H170" s="210">
        <f t="shared" si="36"/>
        <v>7.3400000000000007E-2</v>
      </c>
      <c r="I170" s="210" t="str">
        <f>""</f>
        <v/>
      </c>
      <c r="J170" s="210">
        <v>4.0000000000000001E-3</v>
      </c>
      <c r="K170" s="211"/>
      <c r="L170" s="270">
        <v>8766</v>
      </c>
      <c r="M170" s="127">
        <v>15</v>
      </c>
      <c r="N170" s="201">
        <f t="shared" si="32"/>
        <v>6.3697500000000004E-2</v>
      </c>
      <c r="O170" s="201">
        <f t="shared" si="33"/>
        <v>7.0400000000000004E-2</v>
      </c>
      <c r="P170" s="201">
        <f t="shared" si="34"/>
        <v>7.0400000000000004E-2</v>
      </c>
      <c r="Q170" s="201">
        <f t="shared" si="30"/>
        <v>7.0400000000000004E-2</v>
      </c>
      <c r="R170" s="127" t="s">
        <v>179</v>
      </c>
      <c r="S170" s="127" t="str">
        <f>""</f>
        <v/>
      </c>
      <c r="T170" s="127" t="s">
        <v>181</v>
      </c>
      <c r="U170" s="127" t="s">
        <v>182</v>
      </c>
      <c r="V170" s="127" t="s">
        <v>183</v>
      </c>
      <c r="W170" s="127" t="s">
        <v>235</v>
      </c>
      <c r="X170" s="127" t="s">
        <v>230</v>
      </c>
      <c r="Y170" s="127" t="s">
        <v>236</v>
      </c>
      <c r="Z170" s="127" t="s">
        <v>187</v>
      </c>
      <c r="AA170" s="127" t="str">
        <f>""</f>
        <v/>
      </c>
      <c r="AB170" s="127">
        <v>20</v>
      </c>
      <c r="AC170" s="210">
        <f>0.0555/POWER(1.02,7)+PBL_OT_2025!$D$39</f>
        <v>5.2316089913072225E-2</v>
      </c>
      <c r="AD170" s="210">
        <f t="shared" si="24"/>
        <v>0</v>
      </c>
      <c r="AE170" s="210" t="str">
        <f t="shared" si="26"/>
        <v/>
      </c>
      <c r="AF170" s="210" t="s">
        <v>980</v>
      </c>
      <c r="AG170" s="232" t="s">
        <v>876</v>
      </c>
      <c r="AH170" s="127" t="b">
        <f t="shared" si="35"/>
        <v>0</v>
      </c>
    </row>
    <row r="171" spans="1:34" ht="14.25" x14ac:dyDescent="0.2">
      <c r="A171" s="127" t="s">
        <v>239</v>
      </c>
      <c r="B171" s="211">
        <v>7.4399999999999994E-2</v>
      </c>
      <c r="C171" s="202">
        <v>3.4299999999999997E-2</v>
      </c>
      <c r="D171" s="210"/>
      <c r="E171" s="202">
        <v>5.5500000000000001E-2</v>
      </c>
      <c r="F171" s="202">
        <v>0.10929999999999999</v>
      </c>
      <c r="G171" s="238">
        <f t="shared" si="25"/>
        <v>172.91857273559006</v>
      </c>
      <c r="H171" s="210">
        <f t="shared" si="36"/>
        <v>7.3400000000000007E-2</v>
      </c>
      <c r="I171" s="210" t="str">
        <f>""</f>
        <v/>
      </c>
      <c r="J171" s="210">
        <v>4.0000000000000001E-3</v>
      </c>
      <c r="K171" s="211"/>
      <c r="L171" s="270">
        <v>8766</v>
      </c>
      <c r="M171" s="127">
        <v>15</v>
      </c>
      <c r="N171" s="201">
        <f t="shared" si="32"/>
        <v>6.3697500000000004E-2</v>
      </c>
      <c r="O171" s="201">
        <f t="shared" si="33"/>
        <v>7.1895000000000001E-2</v>
      </c>
      <c r="P171" s="201">
        <f t="shared" si="34"/>
        <v>7.4399999999999994E-2</v>
      </c>
      <c r="Q171" s="201">
        <f t="shared" si="30"/>
        <v>7.4399999999999994E-2</v>
      </c>
      <c r="R171" s="127" t="s">
        <v>179</v>
      </c>
      <c r="S171" s="127" t="str">
        <f>""</f>
        <v/>
      </c>
      <c r="T171" s="127" t="s">
        <v>181</v>
      </c>
      <c r="U171" s="127" t="s">
        <v>182</v>
      </c>
      <c r="V171" s="127" t="s">
        <v>183</v>
      </c>
      <c r="W171" s="127" t="s">
        <v>235</v>
      </c>
      <c r="X171" s="127" t="s">
        <v>230</v>
      </c>
      <c r="Y171" s="127" t="s">
        <v>236</v>
      </c>
      <c r="Z171" s="127" t="s">
        <v>187</v>
      </c>
      <c r="AA171" s="127" t="str">
        <f>""</f>
        <v/>
      </c>
      <c r="AB171" s="127">
        <v>20</v>
      </c>
      <c r="AC171" s="210">
        <f>0.0555/POWER(1.02,7)+PBL_OT_2025!$D$39</f>
        <v>5.2316089913072225E-2</v>
      </c>
      <c r="AD171" s="210">
        <f t="shared" si="24"/>
        <v>0</v>
      </c>
      <c r="AE171" s="210" t="str">
        <f t="shared" si="26"/>
        <v/>
      </c>
      <c r="AF171" s="210" t="s">
        <v>980</v>
      </c>
      <c r="AG171" s="232" t="s">
        <v>876</v>
      </c>
      <c r="AH171" s="127" t="b">
        <f t="shared" si="35"/>
        <v>0</v>
      </c>
    </row>
    <row r="172" spans="1:34" ht="14.25" x14ac:dyDescent="0.2">
      <c r="A172" s="127" t="s">
        <v>240</v>
      </c>
      <c r="B172" s="211">
        <v>7.9100000000000004E-2</v>
      </c>
      <c r="C172" s="202">
        <v>3.4299999999999997E-2</v>
      </c>
      <c r="D172" s="210"/>
      <c r="E172" s="202">
        <v>5.5500000000000001E-2</v>
      </c>
      <c r="F172" s="202">
        <v>0.10929999999999999</v>
      </c>
      <c r="G172" s="238">
        <f t="shared" si="25"/>
        <v>215.9194876486734</v>
      </c>
      <c r="H172" s="210">
        <f t="shared" si="36"/>
        <v>7.3400000000000007E-2</v>
      </c>
      <c r="I172" s="210" t="str">
        <f>""</f>
        <v/>
      </c>
      <c r="J172" s="210">
        <v>4.0000000000000001E-3</v>
      </c>
      <c r="K172" s="211"/>
      <c r="L172" s="270">
        <v>8766</v>
      </c>
      <c r="M172" s="127">
        <v>15</v>
      </c>
      <c r="N172" s="201">
        <f t="shared" si="32"/>
        <v>6.3697500000000004E-2</v>
      </c>
      <c r="O172" s="201">
        <f t="shared" si="33"/>
        <v>7.1895000000000001E-2</v>
      </c>
      <c r="P172" s="201">
        <f t="shared" si="34"/>
        <v>7.9100000000000004E-2</v>
      </c>
      <c r="Q172" s="201">
        <f t="shared" si="30"/>
        <v>7.9100000000000004E-2</v>
      </c>
      <c r="R172" s="127" t="s">
        <v>179</v>
      </c>
      <c r="S172" s="127" t="str">
        <f>""</f>
        <v/>
      </c>
      <c r="T172" s="127" t="s">
        <v>181</v>
      </c>
      <c r="U172" s="127" t="s">
        <v>182</v>
      </c>
      <c r="V172" s="127" t="s">
        <v>183</v>
      </c>
      <c r="W172" s="127" t="s">
        <v>235</v>
      </c>
      <c r="X172" s="127" t="s">
        <v>230</v>
      </c>
      <c r="Y172" s="127" t="s">
        <v>236</v>
      </c>
      <c r="Z172" s="127" t="s">
        <v>187</v>
      </c>
      <c r="AA172" s="127" t="str">
        <f>""</f>
        <v/>
      </c>
      <c r="AB172" s="127">
        <v>20</v>
      </c>
      <c r="AC172" s="210">
        <f>0.0555/POWER(1.02,7)+PBL_OT_2025!$D$39</f>
        <v>5.2316089913072225E-2</v>
      </c>
      <c r="AD172" s="210">
        <f t="shared" si="24"/>
        <v>0</v>
      </c>
      <c r="AE172" s="210" t="str">
        <f t="shared" si="26"/>
        <v/>
      </c>
      <c r="AF172" s="210" t="s">
        <v>980</v>
      </c>
      <c r="AG172" s="232" t="s">
        <v>876</v>
      </c>
      <c r="AH172" s="127" t="b">
        <f t="shared" si="35"/>
        <v>0</v>
      </c>
    </row>
    <row r="173" spans="1:34" ht="14.25" x14ac:dyDescent="0.2">
      <c r="A173" s="127" t="s">
        <v>745</v>
      </c>
      <c r="B173" s="211">
        <v>6.8699999999999997E-2</v>
      </c>
      <c r="C173" s="202">
        <v>3.4299999999999997E-2</v>
      </c>
      <c r="D173" s="210"/>
      <c r="E173" s="202">
        <v>5.5500000000000001E-2</v>
      </c>
      <c r="F173" s="202">
        <v>0.10929999999999999</v>
      </c>
      <c r="G173" s="238">
        <f t="shared" si="25"/>
        <v>120.76852698993592</v>
      </c>
      <c r="H173" s="210">
        <f t="shared" si="36"/>
        <v>7.3400000000000007E-2</v>
      </c>
      <c r="I173" s="210" t="str">
        <f>""</f>
        <v/>
      </c>
      <c r="J173" s="210">
        <v>4.0000000000000001E-3</v>
      </c>
      <c r="K173" s="211"/>
      <c r="L173" s="270">
        <v>8766</v>
      </c>
      <c r="M173" s="127">
        <v>15</v>
      </c>
      <c r="N173" s="201">
        <f t="shared" si="32"/>
        <v>6.3697500000000004E-2</v>
      </c>
      <c r="O173" s="201">
        <f t="shared" si="33"/>
        <v>6.8699999999999997E-2</v>
      </c>
      <c r="P173" s="201">
        <f t="shared" si="34"/>
        <v>6.8699999999999997E-2</v>
      </c>
      <c r="Q173" s="201">
        <f t="shared" si="30"/>
        <v>6.8699999999999997E-2</v>
      </c>
      <c r="R173" s="127" t="s">
        <v>179</v>
      </c>
      <c r="S173" s="127" t="str">
        <f>""</f>
        <v/>
      </c>
      <c r="T173" s="127" t="s">
        <v>181</v>
      </c>
      <c r="U173" s="127" t="s">
        <v>182</v>
      </c>
      <c r="V173" s="127" t="s">
        <v>183</v>
      </c>
      <c r="W173" s="127" t="s">
        <v>241</v>
      </c>
      <c r="X173" s="127" t="s">
        <v>230</v>
      </c>
      <c r="Y173" s="127" t="s">
        <v>242</v>
      </c>
      <c r="Z173" s="127" t="s">
        <v>187</v>
      </c>
      <c r="AA173" s="127" t="str">
        <f>""</f>
        <v/>
      </c>
      <c r="AB173" s="127">
        <v>20</v>
      </c>
      <c r="AC173" s="210">
        <f>0.0555/POWER(1.02,7)+PBL_OT_2025!$D$39</f>
        <v>5.2316089913072225E-2</v>
      </c>
      <c r="AD173" s="210">
        <f t="shared" si="24"/>
        <v>0</v>
      </c>
      <c r="AE173" s="210" t="str">
        <f t="shared" si="26"/>
        <v/>
      </c>
      <c r="AF173" s="210" t="s">
        <v>980</v>
      </c>
      <c r="AG173" s="232" t="s">
        <v>876</v>
      </c>
      <c r="AH173" s="127" t="b">
        <f t="shared" si="35"/>
        <v>0</v>
      </c>
    </row>
    <row r="174" spans="1:34" ht="14.25" x14ac:dyDescent="0.2">
      <c r="A174" s="127" t="s">
        <v>243</v>
      </c>
      <c r="B174" s="211">
        <v>7.5700000000000003E-2</v>
      </c>
      <c r="C174" s="202">
        <v>3.4299999999999997E-2</v>
      </c>
      <c r="D174" s="210"/>
      <c r="E174" s="202">
        <v>5.5500000000000001E-2</v>
      </c>
      <c r="F174" s="202">
        <v>0.10929999999999999</v>
      </c>
      <c r="G174" s="238">
        <f t="shared" si="25"/>
        <v>184.81244281793232</v>
      </c>
      <c r="H174" s="210">
        <f t="shared" si="36"/>
        <v>7.3400000000000007E-2</v>
      </c>
      <c r="I174" s="210" t="str">
        <f>""</f>
        <v/>
      </c>
      <c r="J174" s="210">
        <v>4.0000000000000001E-3</v>
      </c>
      <c r="K174" s="211"/>
      <c r="L174" s="270">
        <v>8766</v>
      </c>
      <c r="M174" s="127">
        <v>15</v>
      </c>
      <c r="N174" s="201">
        <f t="shared" si="32"/>
        <v>6.3697500000000004E-2</v>
      </c>
      <c r="O174" s="201">
        <f t="shared" si="33"/>
        <v>7.1895000000000001E-2</v>
      </c>
      <c r="P174" s="201">
        <f t="shared" si="34"/>
        <v>7.5700000000000003E-2</v>
      </c>
      <c r="Q174" s="201">
        <f t="shared" si="30"/>
        <v>7.5700000000000003E-2</v>
      </c>
      <c r="R174" s="127" t="s">
        <v>179</v>
      </c>
      <c r="S174" s="127" t="str">
        <f>""</f>
        <v/>
      </c>
      <c r="T174" s="127" t="s">
        <v>181</v>
      </c>
      <c r="U174" s="127" t="s">
        <v>182</v>
      </c>
      <c r="V174" s="127" t="s">
        <v>183</v>
      </c>
      <c r="W174" s="127" t="s">
        <v>241</v>
      </c>
      <c r="X174" s="127" t="s">
        <v>230</v>
      </c>
      <c r="Y174" s="127" t="s">
        <v>242</v>
      </c>
      <c r="Z174" s="127" t="s">
        <v>187</v>
      </c>
      <c r="AA174" s="127" t="str">
        <f>""</f>
        <v/>
      </c>
      <c r="AB174" s="127">
        <v>20</v>
      </c>
      <c r="AC174" s="210">
        <f>0.0555/POWER(1.02,7)+PBL_OT_2025!$D$39</f>
        <v>5.2316089913072225E-2</v>
      </c>
      <c r="AD174" s="210">
        <f t="shared" si="24"/>
        <v>0</v>
      </c>
      <c r="AE174" s="210" t="str">
        <f t="shared" si="26"/>
        <v/>
      </c>
      <c r="AF174" s="210" t="s">
        <v>980</v>
      </c>
      <c r="AG174" s="232" t="s">
        <v>876</v>
      </c>
      <c r="AH174" s="127" t="b">
        <f t="shared" si="35"/>
        <v>0</v>
      </c>
    </row>
    <row r="175" spans="1:34" ht="14.25" x14ac:dyDescent="0.2">
      <c r="A175" s="127" t="s">
        <v>244</v>
      </c>
      <c r="B175" s="211">
        <v>8.3299999999999999E-2</v>
      </c>
      <c r="C175" s="202">
        <v>3.4299999999999997E-2</v>
      </c>
      <c r="D175" s="210"/>
      <c r="E175" s="202">
        <v>5.5500000000000001E-2</v>
      </c>
      <c r="F175" s="202">
        <v>0.10929999999999999</v>
      </c>
      <c r="G175" s="238">
        <f t="shared" si="25"/>
        <v>254.34583714547117</v>
      </c>
      <c r="H175" s="210">
        <f t="shared" si="36"/>
        <v>7.3400000000000007E-2</v>
      </c>
      <c r="I175" s="210" t="str">
        <f>""</f>
        <v/>
      </c>
      <c r="J175" s="210">
        <v>4.0000000000000001E-3</v>
      </c>
      <c r="K175" s="211"/>
      <c r="L175" s="270">
        <v>8766</v>
      </c>
      <c r="M175" s="127">
        <v>15</v>
      </c>
      <c r="N175" s="201">
        <f t="shared" si="32"/>
        <v>6.3697500000000004E-2</v>
      </c>
      <c r="O175" s="201">
        <f t="shared" si="33"/>
        <v>7.1895000000000001E-2</v>
      </c>
      <c r="P175" s="201">
        <f t="shared" si="34"/>
        <v>8.0092499999999997E-2</v>
      </c>
      <c r="Q175" s="201">
        <f t="shared" si="30"/>
        <v>8.3299999999999999E-2</v>
      </c>
      <c r="R175" s="127" t="s">
        <v>179</v>
      </c>
      <c r="S175" s="127" t="str">
        <f>""</f>
        <v/>
      </c>
      <c r="T175" s="127" t="s">
        <v>181</v>
      </c>
      <c r="U175" s="127" t="s">
        <v>182</v>
      </c>
      <c r="V175" s="127" t="s">
        <v>183</v>
      </c>
      <c r="W175" s="127" t="s">
        <v>241</v>
      </c>
      <c r="X175" s="127" t="s">
        <v>230</v>
      </c>
      <c r="Y175" s="127" t="s">
        <v>242</v>
      </c>
      <c r="Z175" s="127" t="s">
        <v>187</v>
      </c>
      <c r="AA175" s="127" t="str">
        <f>""</f>
        <v/>
      </c>
      <c r="AB175" s="127">
        <v>20</v>
      </c>
      <c r="AC175" s="210">
        <f>0.0555/POWER(1.02,7)+PBL_OT_2025!$D$39</f>
        <v>5.2316089913072225E-2</v>
      </c>
      <c r="AD175" s="210">
        <f t="shared" si="24"/>
        <v>0</v>
      </c>
      <c r="AE175" s="210" t="str">
        <f t="shared" si="26"/>
        <v/>
      </c>
      <c r="AF175" s="210" t="s">
        <v>980</v>
      </c>
      <c r="AG175" s="232" t="s">
        <v>876</v>
      </c>
      <c r="AH175" s="127" t="b">
        <f t="shared" si="35"/>
        <v>0</v>
      </c>
    </row>
    <row r="176" spans="1:34" ht="14.25" x14ac:dyDescent="0.2">
      <c r="A176" s="127" t="s">
        <v>245</v>
      </c>
      <c r="B176" s="211">
        <v>8.8290000000000007E-2</v>
      </c>
      <c r="C176" s="202">
        <v>3.4299999999999997E-2</v>
      </c>
      <c r="D176" s="210"/>
      <c r="E176" s="202">
        <v>5.5500000000000001E-2</v>
      </c>
      <c r="F176" s="202">
        <v>0.10929999999999999</v>
      </c>
      <c r="G176" s="238">
        <f t="shared" si="25"/>
        <v>300.00000000000006</v>
      </c>
      <c r="H176" s="210">
        <f t="shared" si="36"/>
        <v>7.3400000000000007E-2</v>
      </c>
      <c r="I176" s="210" t="str">
        <f>""</f>
        <v/>
      </c>
      <c r="J176" s="210">
        <v>4.0000000000000001E-3</v>
      </c>
      <c r="K176" s="211"/>
      <c r="L176" s="270">
        <v>8766</v>
      </c>
      <c r="M176" s="127">
        <v>15</v>
      </c>
      <c r="N176" s="201">
        <f t="shared" si="32"/>
        <v>6.3697500000000004E-2</v>
      </c>
      <c r="O176" s="201">
        <f t="shared" si="33"/>
        <v>7.1895000000000001E-2</v>
      </c>
      <c r="P176" s="201">
        <f t="shared" si="34"/>
        <v>8.0092499999999997E-2</v>
      </c>
      <c r="Q176" s="201">
        <f t="shared" si="30"/>
        <v>8.8290000000000007E-2</v>
      </c>
      <c r="R176" s="127" t="s">
        <v>179</v>
      </c>
      <c r="S176" s="127" t="str">
        <f>""</f>
        <v/>
      </c>
      <c r="T176" s="127" t="s">
        <v>181</v>
      </c>
      <c r="U176" s="127" t="s">
        <v>182</v>
      </c>
      <c r="V176" s="127" t="s">
        <v>183</v>
      </c>
      <c r="W176" s="127" t="s">
        <v>241</v>
      </c>
      <c r="X176" s="127" t="s">
        <v>230</v>
      </c>
      <c r="Y176" s="127" t="s">
        <v>242</v>
      </c>
      <c r="Z176" s="127" t="s">
        <v>187</v>
      </c>
      <c r="AA176" s="127" t="str">
        <f>""</f>
        <v/>
      </c>
      <c r="AB176" s="127">
        <v>20</v>
      </c>
      <c r="AC176" s="210">
        <f>0.0555/POWER(1.02,7)+PBL_OT_2025!$D$39</f>
        <v>5.2316089913072225E-2</v>
      </c>
      <c r="AD176" s="210">
        <f t="shared" si="24"/>
        <v>0</v>
      </c>
      <c r="AE176" s="210" t="str">
        <f t="shared" si="26"/>
        <v/>
      </c>
      <c r="AF176" s="210" t="s">
        <v>980</v>
      </c>
      <c r="AG176" s="232" t="s">
        <v>876</v>
      </c>
      <c r="AH176" s="127" t="b">
        <f t="shared" si="35"/>
        <v>0</v>
      </c>
    </row>
    <row r="177" spans="1:35" ht="14.25" x14ac:dyDescent="0.2">
      <c r="A177" s="127" t="s">
        <v>246</v>
      </c>
      <c r="B177" s="211">
        <v>8.8290000000000007E-2</v>
      </c>
      <c r="C177" s="202">
        <v>3.4299999999999997E-2</v>
      </c>
      <c r="D177" s="210"/>
      <c r="E177" s="202">
        <v>5.5500000000000001E-2</v>
      </c>
      <c r="F177" s="202">
        <v>0.10929999999999999</v>
      </c>
      <c r="G177" s="238">
        <f t="shared" si="25"/>
        <v>300.00000000000006</v>
      </c>
      <c r="H177" s="210">
        <f t="shared" si="36"/>
        <v>7.3400000000000007E-2</v>
      </c>
      <c r="I177" s="210" t="str">
        <f>""</f>
        <v/>
      </c>
      <c r="J177" s="210">
        <v>4.0000000000000001E-3</v>
      </c>
      <c r="K177" s="211"/>
      <c r="L177" s="270">
        <v>8766</v>
      </c>
      <c r="M177" s="127">
        <v>15</v>
      </c>
      <c r="N177" s="201">
        <f t="shared" si="32"/>
        <v>6.3697500000000004E-2</v>
      </c>
      <c r="O177" s="201">
        <f t="shared" si="33"/>
        <v>7.1895000000000001E-2</v>
      </c>
      <c r="P177" s="201">
        <f t="shared" si="34"/>
        <v>8.0092499999999997E-2</v>
      </c>
      <c r="Q177" s="201">
        <f t="shared" si="30"/>
        <v>8.8290000000000007E-2</v>
      </c>
      <c r="R177" s="127" t="s">
        <v>179</v>
      </c>
      <c r="S177" s="127" t="str">
        <f>""</f>
        <v/>
      </c>
      <c r="T177" s="127" t="s">
        <v>181</v>
      </c>
      <c r="U177" s="127" t="s">
        <v>182</v>
      </c>
      <c r="V177" s="127" t="s">
        <v>183</v>
      </c>
      <c r="W177" s="127" t="s">
        <v>241</v>
      </c>
      <c r="X177" s="127" t="s">
        <v>230</v>
      </c>
      <c r="Y177" s="127" t="s">
        <v>242</v>
      </c>
      <c r="Z177" s="127" t="s">
        <v>187</v>
      </c>
      <c r="AA177" s="127" t="str">
        <f>""</f>
        <v/>
      </c>
      <c r="AB177" s="127">
        <v>20</v>
      </c>
      <c r="AC177" s="210">
        <f>0.0555/POWER(1.02,7)+PBL_OT_2025!$D$39</f>
        <v>5.2316089913072225E-2</v>
      </c>
      <c r="AD177" s="210">
        <f t="shared" si="24"/>
        <v>0</v>
      </c>
      <c r="AE177" s="210" t="str">
        <f t="shared" si="26"/>
        <v/>
      </c>
      <c r="AF177" s="210" t="s">
        <v>980</v>
      </c>
      <c r="AG177" s="232" t="s">
        <v>876</v>
      </c>
      <c r="AH177" s="127" t="b">
        <f t="shared" si="35"/>
        <v>0</v>
      </c>
    </row>
    <row r="178" spans="1:35" ht="14.25" x14ac:dyDescent="0.2">
      <c r="A178" s="127" t="s">
        <v>746</v>
      </c>
      <c r="B178" s="211">
        <v>6.5799999999999997E-2</v>
      </c>
      <c r="C178" s="202">
        <v>3.4299999999999997E-2</v>
      </c>
      <c r="D178" s="210"/>
      <c r="E178" s="202">
        <v>5.5500000000000001E-2</v>
      </c>
      <c r="F178" s="202">
        <v>0.10929999999999999</v>
      </c>
      <c r="G178" s="238">
        <f t="shared" si="25"/>
        <v>94.236047575480313</v>
      </c>
      <c r="H178" s="210">
        <f t="shared" si="36"/>
        <v>7.3400000000000007E-2</v>
      </c>
      <c r="I178" s="210" t="str">
        <f>""</f>
        <v/>
      </c>
      <c r="J178" s="210">
        <v>4.0000000000000001E-3</v>
      </c>
      <c r="K178" s="211"/>
      <c r="L178" s="270">
        <v>8766</v>
      </c>
      <c r="M178" s="127">
        <v>15</v>
      </c>
      <c r="N178" s="201">
        <f t="shared" si="32"/>
        <v>6.3697500000000004E-2</v>
      </c>
      <c r="O178" s="201">
        <f t="shared" si="33"/>
        <v>6.5799999999999997E-2</v>
      </c>
      <c r="P178" s="201">
        <f t="shared" si="34"/>
        <v>6.5799999999999997E-2</v>
      </c>
      <c r="Q178" s="201">
        <f t="shared" si="30"/>
        <v>6.5799999999999997E-2</v>
      </c>
      <c r="R178" s="127" t="s">
        <v>179</v>
      </c>
      <c r="S178" s="127" t="str">
        <f>""</f>
        <v/>
      </c>
      <c r="T178" s="127" t="s">
        <v>181</v>
      </c>
      <c r="U178" s="127" t="s">
        <v>182</v>
      </c>
      <c r="V178" s="127" t="s">
        <v>183</v>
      </c>
      <c r="W178" s="127" t="s">
        <v>235</v>
      </c>
      <c r="X178" s="127" t="s">
        <v>230</v>
      </c>
      <c r="Y178" s="127" t="s">
        <v>236</v>
      </c>
      <c r="Z178" s="127" t="s">
        <v>187</v>
      </c>
      <c r="AA178" s="127" t="str">
        <f>""</f>
        <v/>
      </c>
      <c r="AB178" s="127">
        <v>20</v>
      </c>
      <c r="AC178" s="210">
        <f>0.0555/POWER(1.02,7)+PBL_OT_2025!$D$39</f>
        <v>5.2316089913072225E-2</v>
      </c>
      <c r="AD178" s="210">
        <f t="shared" si="24"/>
        <v>0</v>
      </c>
      <c r="AE178" s="210" t="str">
        <f t="shared" si="26"/>
        <v/>
      </c>
      <c r="AF178" s="210" t="s">
        <v>980</v>
      </c>
      <c r="AG178" s="232" t="s">
        <v>876</v>
      </c>
      <c r="AH178" s="127" t="b">
        <f t="shared" si="35"/>
        <v>0</v>
      </c>
    </row>
    <row r="179" spans="1:35" ht="14.25" x14ac:dyDescent="0.2">
      <c r="A179" s="127" t="s">
        <v>247</v>
      </c>
      <c r="B179" s="211">
        <v>7.1800000000000003E-2</v>
      </c>
      <c r="C179" s="202">
        <v>3.4299999999999997E-2</v>
      </c>
      <c r="D179" s="210"/>
      <c r="E179" s="202">
        <v>5.5500000000000001E-2</v>
      </c>
      <c r="F179" s="202">
        <v>0.10929999999999999</v>
      </c>
      <c r="G179" s="238">
        <f t="shared" si="25"/>
        <v>149.13083257090577</v>
      </c>
      <c r="H179" s="210">
        <f t="shared" si="36"/>
        <v>7.3400000000000007E-2</v>
      </c>
      <c r="I179" s="210" t="str">
        <f>""</f>
        <v/>
      </c>
      <c r="J179" s="210">
        <v>4.0000000000000001E-3</v>
      </c>
      <c r="K179" s="211"/>
      <c r="L179" s="270">
        <v>8766</v>
      </c>
      <c r="M179" s="127">
        <v>15</v>
      </c>
      <c r="N179" s="201">
        <f t="shared" si="32"/>
        <v>6.3697500000000004E-2</v>
      </c>
      <c r="O179" s="201">
        <f t="shared" si="33"/>
        <v>7.1800000000000003E-2</v>
      </c>
      <c r="P179" s="201">
        <f t="shared" si="34"/>
        <v>7.1800000000000003E-2</v>
      </c>
      <c r="Q179" s="201">
        <f t="shared" si="30"/>
        <v>7.1800000000000003E-2</v>
      </c>
      <c r="R179" s="127" t="s">
        <v>179</v>
      </c>
      <c r="S179" s="127" t="str">
        <f>""</f>
        <v/>
      </c>
      <c r="T179" s="127" t="s">
        <v>181</v>
      </c>
      <c r="U179" s="127" t="s">
        <v>182</v>
      </c>
      <c r="V179" s="127" t="s">
        <v>183</v>
      </c>
      <c r="W179" s="127" t="s">
        <v>235</v>
      </c>
      <c r="X179" s="127" t="s">
        <v>230</v>
      </c>
      <c r="Y179" s="127" t="s">
        <v>236</v>
      </c>
      <c r="Z179" s="127" t="s">
        <v>187</v>
      </c>
      <c r="AA179" s="127" t="str">
        <f>""</f>
        <v/>
      </c>
      <c r="AB179" s="127">
        <v>20</v>
      </c>
      <c r="AC179" s="210">
        <f>0.0555/POWER(1.02,7)+PBL_OT_2025!$D$39</f>
        <v>5.2316089913072225E-2</v>
      </c>
      <c r="AD179" s="210">
        <f t="shared" si="24"/>
        <v>0</v>
      </c>
      <c r="AE179" s="210" t="str">
        <f t="shared" si="26"/>
        <v/>
      </c>
      <c r="AF179" s="210" t="s">
        <v>980</v>
      </c>
      <c r="AG179" s="232" t="s">
        <v>876</v>
      </c>
      <c r="AH179" s="127" t="b">
        <f t="shared" si="35"/>
        <v>0</v>
      </c>
    </row>
    <row r="180" spans="1:35" ht="14.25" x14ac:dyDescent="0.2">
      <c r="A180" s="127" t="s">
        <v>248</v>
      </c>
      <c r="B180" s="211">
        <v>7.7600000000000002E-2</v>
      </c>
      <c r="C180" s="202">
        <v>3.4299999999999997E-2</v>
      </c>
      <c r="D180" s="210"/>
      <c r="E180" s="202">
        <v>5.5500000000000001E-2</v>
      </c>
      <c r="F180" s="202">
        <v>0.10929999999999999</v>
      </c>
      <c r="G180" s="238">
        <f t="shared" si="25"/>
        <v>202.19579139981704</v>
      </c>
      <c r="H180" s="210">
        <f t="shared" si="36"/>
        <v>7.3400000000000007E-2</v>
      </c>
      <c r="I180" s="210" t="str">
        <f>""</f>
        <v/>
      </c>
      <c r="J180" s="210">
        <v>4.0000000000000001E-3</v>
      </c>
      <c r="K180" s="211"/>
      <c r="L180" s="270">
        <v>8766</v>
      </c>
      <c r="M180" s="127">
        <v>15</v>
      </c>
      <c r="N180" s="201">
        <f t="shared" si="32"/>
        <v>6.3697500000000004E-2</v>
      </c>
      <c r="O180" s="201">
        <f t="shared" si="33"/>
        <v>7.1895000000000001E-2</v>
      </c>
      <c r="P180" s="201">
        <f t="shared" si="34"/>
        <v>7.7600000000000002E-2</v>
      </c>
      <c r="Q180" s="201">
        <f t="shared" si="30"/>
        <v>7.7600000000000002E-2</v>
      </c>
      <c r="R180" s="127" t="s">
        <v>179</v>
      </c>
      <c r="S180" s="127" t="str">
        <f>""</f>
        <v/>
      </c>
      <c r="T180" s="127" t="s">
        <v>181</v>
      </c>
      <c r="U180" s="127" t="s">
        <v>182</v>
      </c>
      <c r="V180" s="127" t="s">
        <v>183</v>
      </c>
      <c r="W180" s="127" t="s">
        <v>235</v>
      </c>
      <c r="X180" s="127" t="s">
        <v>230</v>
      </c>
      <c r="Y180" s="127" t="s">
        <v>236</v>
      </c>
      <c r="Z180" s="127" t="s">
        <v>187</v>
      </c>
      <c r="AA180" s="127" t="str">
        <f>""</f>
        <v/>
      </c>
      <c r="AB180" s="127">
        <v>20</v>
      </c>
      <c r="AC180" s="210">
        <f>0.0555/POWER(1.02,7)+PBL_OT_2025!$D$39</f>
        <v>5.2316089913072225E-2</v>
      </c>
      <c r="AD180" s="210">
        <f t="shared" si="24"/>
        <v>0</v>
      </c>
      <c r="AE180" s="210" t="str">
        <f t="shared" si="26"/>
        <v/>
      </c>
      <c r="AF180" s="210" t="s">
        <v>980</v>
      </c>
      <c r="AG180" s="232" t="s">
        <v>876</v>
      </c>
      <c r="AH180" s="127" t="b">
        <f t="shared" si="35"/>
        <v>0</v>
      </c>
    </row>
    <row r="181" spans="1:35" ht="14.25" x14ac:dyDescent="0.2">
      <c r="A181" s="127" t="s">
        <v>249</v>
      </c>
      <c r="B181" s="211">
        <v>8.2100000000000006E-2</v>
      </c>
      <c r="C181" s="202">
        <v>3.4299999999999997E-2</v>
      </c>
      <c r="D181" s="210"/>
      <c r="E181" s="202">
        <v>5.5500000000000001E-2</v>
      </c>
      <c r="F181" s="202">
        <v>0.10929999999999999</v>
      </c>
      <c r="G181" s="238">
        <f t="shared" si="25"/>
        <v>243.36688014638617</v>
      </c>
      <c r="H181" s="210">
        <f t="shared" si="36"/>
        <v>7.3400000000000007E-2</v>
      </c>
      <c r="I181" s="210" t="str">
        <f>""</f>
        <v/>
      </c>
      <c r="J181" s="210">
        <v>4.0000000000000001E-3</v>
      </c>
      <c r="K181" s="211"/>
      <c r="L181" s="270">
        <v>8766</v>
      </c>
      <c r="M181" s="127">
        <v>15</v>
      </c>
      <c r="N181" s="201">
        <f t="shared" si="32"/>
        <v>6.3697500000000004E-2</v>
      </c>
      <c r="O181" s="201">
        <f t="shared" si="33"/>
        <v>7.1895000000000001E-2</v>
      </c>
      <c r="P181" s="201">
        <f t="shared" si="34"/>
        <v>8.0092499999999997E-2</v>
      </c>
      <c r="Q181" s="201">
        <f t="shared" si="30"/>
        <v>8.2100000000000006E-2</v>
      </c>
      <c r="R181" s="127" t="s">
        <v>179</v>
      </c>
      <c r="S181" s="127" t="str">
        <f>""</f>
        <v/>
      </c>
      <c r="T181" s="127" t="s">
        <v>181</v>
      </c>
      <c r="U181" s="127" t="s">
        <v>182</v>
      </c>
      <c r="V181" s="127" t="s">
        <v>183</v>
      </c>
      <c r="W181" s="127" t="s">
        <v>235</v>
      </c>
      <c r="X181" s="127" t="s">
        <v>230</v>
      </c>
      <c r="Y181" s="127" t="s">
        <v>236</v>
      </c>
      <c r="Z181" s="127" t="s">
        <v>187</v>
      </c>
      <c r="AA181" s="127" t="str">
        <f>""</f>
        <v/>
      </c>
      <c r="AB181" s="127">
        <v>20</v>
      </c>
      <c r="AC181" s="210">
        <f>0.0555/POWER(1.02,7)+PBL_OT_2025!$D$39</f>
        <v>5.2316089913072225E-2</v>
      </c>
      <c r="AD181" s="210">
        <f t="shared" si="24"/>
        <v>0</v>
      </c>
      <c r="AE181" s="210" t="str">
        <f t="shared" si="26"/>
        <v/>
      </c>
      <c r="AF181" s="210" t="s">
        <v>980</v>
      </c>
      <c r="AG181" s="232" t="s">
        <v>876</v>
      </c>
      <c r="AH181" s="127" t="b">
        <f t="shared" si="35"/>
        <v>0</v>
      </c>
    </row>
    <row r="182" spans="1:35" ht="14.25" x14ac:dyDescent="0.2">
      <c r="A182" s="127" t="s">
        <v>250</v>
      </c>
      <c r="B182" s="211">
        <v>8.7599999999999997E-2</v>
      </c>
      <c r="C182" s="202">
        <v>3.4299999999999997E-2</v>
      </c>
      <c r="D182" s="210"/>
      <c r="E182" s="202">
        <v>5.5500000000000001E-2</v>
      </c>
      <c r="F182" s="202">
        <v>0.10929999999999999</v>
      </c>
      <c r="G182" s="238">
        <f t="shared" si="25"/>
        <v>293.68709972552602</v>
      </c>
      <c r="H182" s="210">
        <f t="shared" si="36"/>
        <v>7.3400000000000007E-2</v>
      </c>
      <c r="I182" s="210" t="str">
        <f>""</f>
        <v/>
      </c>
      <c r="J182" s="210">
        <v>4.0000000000000001E-3</v>
      </c>
      <c r="K182" s="211"/>
      <c r="L182" s="270">
        <v>8766</v>
      </c>
      <c r="M182" s="127">
        <v>15</v>
      </c>
      <c r="N182" s="201">
        <f t="shared" si="32"/>
        <v>6.3697500000000004E-2</v>
      </c>
      <c r="O182" s="201">
        <f t="shared" si="33"/>
        <v>7.1895000000000001E-2</v>
      </c>
      <c r="P182" s="201">
        <f t="shared" si="34"/>
        <v>8.0092499999999997E-2</v>
      </c>
      <c r="Q182" s="201">
        <f t="shared" si="30"/>
        <v>8.7599999999999997E-2</v>
      </c>
      <c r="R182" s="127" t="s">
        <v>179</v>
      </c>
      <c r="S182" s="127" t="str">
        <f>""</f>
        <v/>
      </c>
      <c r="T182" s="127" t="s">
        <v>181</v>
      </c>
      <c r="U182" s="127" t="s">
        <v>182</v>
      </c>
      <c r="V182" s="127" t="s">
        <v>183</v>
      </c>
      <c r="W182" s="127" t="s">
        <v>235</v>
      </c>
      <c r="X182" s="127" t="s">
        <v>230</v>
      </c>
      <c r="Y182" s="127" t="s">
        <v>236</v>
      </c>
      <c r="Z182" s="127" t="s">
        <v>187</v>
      </c>
      <c r="AA182" s="127" t="str">
        <f>""</f>
        <v/>
      </c>
      <c r="AB182" s="127">
        <v>20</v>
      </c>
      <c r="AC182" s="210">
        <f>0.0555/POWER(1.02,7)+PBL_OT_2025!$D$39</f>
        <v>5.2316089913072225E-2</v>
      </c>
      <c r="AD182" s="210">
        <f t="shared" si="24"/>
        <v>0</v>
      </c>
      <c r="AE182" s="210" t="str">
        <f t="shared" si="26"/>
        <v/>
      </c>
      <c r="AF182" s="210" t="s">
        <v>980</v>
      </c>
      <c r="AG182" s="232" t="s">
        <v>876</v>
      </c>
      <c r="AH182" s="127" t="b">
        <f t="shared" si="35"/>
        <v>0</v>
      </c>
    </row>
    <row r="183" spans="1:35" ht="15" x14ac:dyDescent="0.25">
      <c r="A183" s="127"/>
      <c r="B183" s="211"/>
      <c r="C183" s="203"/>
      <c r="D183" s="210"/>
      <c r="E183" s="203"/>
      <c r="F183" s="203"/>
      <c r="G183" s="238"/>
      <c r="H183" s="210"/>
      <c r="I183" s="210"/>
      <c r="J183" s="210"/>
      <c r="K183" s="211"/>
      <c r="L183" s="127"/>
      <c r="M183" s="127"/>
      <c r="N183" s="201"/>
      <c r="O183" s="201"/>
      <c r="P183" s="201"/>
      <c r="Q183" s="201"/>
      <c r="R183" s="127"/>
      <c r="S183" s="127" t="s">
        <v>226</v>
      </c>
      <c r="T183" s="127"/>
      <c r="U183" s="127"/>
      <c r="V183" s="127"/>
      <c r="W183" s="127"/>
      <c r="X183" s="127"/>
      <c r="Y183" s="127"/>
      <c r="Z183" s="127"/>
      <c r="AA183" s="127"/>
      <c r="AB183" s="127"/>
      <c r="AC183" s="237"/>
      <c r="AD183" s="210"/>
      <c r="AE183" s="210"/>
      <c r="AF183" s="210"/>
      <c r="AG183" s="234"/>
      <c r="AH183" s="127"/>
    </row>
    <row r="184" spans="1:35" ht="15" customHeight="1" x14ac:dyDescent="0.25">
      <c r="A184" s="204" t="s">
        <v>251</v>
      </c>
      <c r="B184" s="211"/>
      <c r="C184" s="203"/>
      <c r="D184" s="210"/>
      <c r="E184" s="203"/>
      <c r="F184" s="203"/>
      <c r="G184" s="238"/>
      <c r="H184" s="210"/>
      <c r="I184" s="210"/>
      <c r="J184" s="210"/>
      <c r="K184" s="211"/>
      <c r="L184" s="127"/>
      <c r="M184" s="127"/>
      <c r="N184" s="201"/>
      <c r="O184" s="201"/>
      <c r="P184" s="201"/>
      <c r="Q184" s="201"/>
      <c r="R184" s="127"/>
      <c r="S184" s="127" t="s">
        <v>226</v>
      </c>
      <c r="T184" s="127"/>
      <c r="U184" s="127"/>
      <c r="V184" s="127"/>
      <c r="W184" s="127"/>
      <c r="X184" s="127"/>
      <c r="Y184" s="127"/>
      <c r="Z184" s="127"/>
      <c r="AA184" s="127"/>
      <c r="AB184" s="127"/>
      <c r="AC184" s="237"/>
      <c r="AD184" s="210"/>
      <c r="AE184" s="210"/>
      <c r="AF184" s="210"/>
      <c r="AG184" s="234"/>
      <c r="AH184" s="127"/>
    </row>
    <row r="185" spans="1:35" ht="15" customHeight="1" x14ac:dyDescent="0.2">
      <c r="A185" s="127" t="s">
        <v>418</v>
      </c>
      <c r="B185" s="271">
        <v>8.43E-2</v>
      </c>
      <c r="C185" s="202">
        <v>3.9300000000000002E-2</v>
      </c>
      <c r="D185" s="210"/>
      <c r="E185" s="202">
        <v>6.2899999999999998E-2</v>
      </c>
      <c r="F185" s="202">
        <v>0.1799</v>
      </c>
      <c r="G185" s="238">
        <f t="shared" si="25"/>
        <v>118.95497498610339</v>
      </c>
      <c r="H185" s="210">
        <f>0.0714+J185</f>
        <v>7.5400000000000009E-2</v>
      </c>
      <c r="I185" s="210"/>
      <c r="J185" s="210">
        <v>4.0000000000000001E-3</v>
      </c>
      <c r="K185" s="211"/>
      <c r="L185" s="127">
        <v>840</v>
      </c>
      <c r="M185" s="127">
        <v>15</v>
      </c>
      <c r="N185" s="201">
        <f>MIN($B185,(75*$F185/1000)+$E185)</f>
        <v>7.6392500000000002E-2</v>
      </c>
      <c r="O185" s="201">
        <f>MIN($B185,(150*$F185/1000)+$E185)</f>
        <v>8.43E-2</v>
      </c>
      <c r="P185" s="201">
        <f>MIN($B185,(225*$F185/1000)+$E185)</f>
        <v>8.43E-2</v>
      </c>
      <c r="Q185" s="201">
        <f t="shared" si="30"/>
        <v>8.43E-2</v>
      </c>
      <c r="R185" s="127" t="s">
        <v>179</v>
      </c>
      <c r="S185" s="127" t="str">
        <f>""</f>
        <v/>
      </c>
      <c r="T185" s="127" t="s">
        <v>181</v>
      </c>
      <c r="U185" s="127" t="s">
        <v>182</v>
      </c>
      <c r="V185" s="127" t="s">
        <v>183</v>
      </c>
      <c r="W185" s="127" t="s">
        <v>252</v>
      </c>
      <c r="X185" s="127" t="s">
        <v>230</v>
      </c>
      <c r="Y185" s="127" t="s">
        <v>1038</v>
      </c>
      <c r="Z185" s="127" t="s">
        <v>187</v>
      </c>
      <c r="AA185" s="127" t="s">
        <v>254</v>
      </c>
      <c r="AB185" s="127">
        <v>20</v>
      </c>
      <c r="AC185" s="210">
        <f>0.0629/POWER(1.02,7)+PBL_OT_2025!$D$40</f>
        <v>5.8758235234815187E-2</v>
      </c>
      <c r="AD185" s="210">
        <f t="shared" si="24"/>
        <v>0</v>
      </c>
      <c r="AE185" s="210" t="str">
        <f t="shared" si="26"/>
        <v/>
      </c>
      <c r="AF185" s="127" t="s">
        <v>981</v>
      </c>
      <c r="AG185" s="232" t="s">
        <v>878</v>
      </c>
      <c r="AH185" s="127" t="b">
        <f t="shared" si="35"/>
        <v>0</v>
      </c>
      <c r="AI185" s="258"/>
    </row>
    <row r="186" spans="1:35" ht="14.25" x14ac:dyDescent="0.2">
      <c r="A186" s="127" t="s">
        <v>419</v>
      </c>
      <c r="B186" s="271">
        <v>7.6899999999999996E-2</v>
      </c>
      <c r="C186" s="202">
        <v>3.9300000000000002E-2</v>
      </c>
      <c r="D186" s="210"/>
      <c r="E186" s="202">
        <v>6.2899999999999998E-2</v>
      </c>
      <c r="F186" s="202">
        <v>0.15740000000000001</v>
      </c>
      <c r="G186" s="238">
        <f t="shared" si="25"/>
        <v>88.945362134688679</v>
      </c>
      <c r="H186" s="210">
        <f t="shared" ref="H186:H199" si="37">0.0714+J186</f>
        <v>7.5400000000000009E-2</v>
      </c>
      <c r="I186" s="210"/>
      <c r="J186" s="210">
        <v>4.0000000000000001E-3</v>
      </c>
      <c r="K186" s="211"/>
      <c r="L186" s="127">
        <v>840</v>
      </c>
      <c r="M186" s="127">
        <v>15</v>
      </c>
      <c r="N186" s="201">
        <f t="shared" ref="N186:N199" si="38">MIN($B186,(75*$F186/1000)+$E186)</f>
        <v>7.4704999999999994E-2</v>
      </c>
      <c r="O186" s="201">
        <f t="shared" ref="O186:O199" si="39">MIN($B186,(150*$F186/1000)+$E186)</f>
        <v>7.6899999999999996E-2</v>
      </c>
      <c r="P186" s="201">
        <f t="shared" ref="P186:P199" si="40">MIN($B186,(225*$F186/1000)+$E186)</f>
        <v>7.6899999999999996E-2</v>
      </c>
      <c r="Q186" s="201">
        <f t="shared" si="30"/>
        <v>7.6899999999999996E-2</v>
      </c>
      <c r="R186" s="127" t="s">
        <v>179</v>
      </c>
      <c r="S186" s="127" t="str">
        <f>""</f>
        <v/>
      </c>
      <c r="T186" s="127" t="s">
        <v>181</v>
      </c>
      <c r="U186" s="127" t="s">
        <v>182</v>
      </c>
      <c r="V186" s="127" t="s">
        <v>183</v>
      </c>
      <c r="W186" s="127" t="s">
        <v>252</v>
      </c>
      <c r="X186" s="127" t="s">
        <v>230</v>
      </c>
      <c r="Y186" s="127" t="s">
        <v>1038</v>
      </c>
      <c r="Z186" s="127" t="s">
        <v>187</v>
      </c>
      <c r="AA186" s="127" t="s">
        <v>254</v>
      </c>
      <c r="AB186" s="127">
        <v>20</v>
      </c>
      <c r="AC186" s="210">
        <f>0.0629/POWER(1.02,7)+PBL_OT_2025!$D$40</f>
        <v>5.8758235234815187E-2</v>
      </c>
      <c r="AD186" s="210">
        <f t="shared" si="24"/>
        <v>0</v>
      </c>
      <c r="AE186" s="210" t="str">
        <f t="shared" si="26"/>
        <v/>
      </c>
      <c r="AF186" s="127" t="s">
        <v>981</v>
      </c>
      <c r="AG186" s="232" t="s">
        <v>878</v>
      </c>
      <c r="AH186" s="127" t="b">
        <f t="shared" si="35"/>
        <v>0</v>
      </c>
    </row>
    <row r="187" spans="1:35" ht="14.25" x14ac:dyDescent="0.2">
      <c r="A187" s="127" t="s">
        <v>763</v>
      </c>
      <c r="B187" s="271">
        <v>8.7999999999999995E-2</v>
      </c>
      <c r="C187" s="202">
        <v>3.9300000000000002E-2</v>
      </c>
      <c r="D187" s="210"/>
      <c r="E187" s="202">
        <v>6.2899999999999998E-2</v>
      </c>
      <c r="F187" s="202">
        <v>0.1799</v>
      </c>
      <c r="G187" s="238">
        <f t="shared" si="25"/>
        <v>139.5219566425792</v>
      </c>
      <c r="H187" s="210">
        <f t="shared" si="37"/>
        <v>7.5400000000000009E-2</v>
      </c>
      <c r="I187" s="210"/>
      <c r="J187" s="210">
        <v>4.0000000000000001E-3</v>
      </c>
      <c r="K187" s="211"/>
      <c r="L187" s="127">
        <v>840</v>
      </c>
      <c r="M187" s="127">
        <v>15</v>
      </c>
      <c r="N187" s="201">
        <f t="shared" si="38"/>
        <v>7.6392500000000002E-2</v>
      </c>
      <c r="O187" s="201">
        <f t="shared" si="39"/>
        <v>8.7999999999999995E-2</v>
      </c>
      <c r="P187" s="201">
        <f t="shared" si="40"/>
        <v>8.7999999999999995E-2</v>
      </c>
      <c r="Q187" s="201">
        <f t="shared" si="30"/>
        <v>8.7999999999999995E-2</v>
      </c>
      <c r="R187" s="127" t="s">
        <v>179</v>
      </c>
      <c r="S187" s="127" t="str">
        <f>""</f>
        <v/>
      </c>
      <c r="T187" s="127" t="s">
        <v>181</v>
      </c>
      <c r="U187" s="127" t="s">
        <v>182</v>
      </c>
      <c r="V187" s="127" t="s">
        <v>183</v>
      </c>
      <c r="W187" s="127" t="s">
        <v>695</v>
      </c>
      <c r="X187" s="127" t="s">
        <v>230</v>
      </c>
      <c r="Y187" s="127" t="s">
        <v>1038</v>
      </c>
      <c r="Z187" s="127" t="s">
        <v>187</v>
      </c>
      <c r="AA187" s="127" t="s">
        <v>254</v>
      </c>
      <c r="AB187" s="127">
        <v>20</v>
      </c>
      <c r="AC187" s="210">
        <f>0.0629/POWER(1.02,7)+PBL_OT_2025!$D$40</f>
        <v>5.8758235234815187E-2</v>
      </c>
      <c r="AD187" s="210">
        <f t="shared" si="24"/>
        <v>0</v>
      </c>
      <c r="AE187" s="210" t="str">
        <f t="shared" si="26"/>
        <v/>
      </c>
      <c r="AF187" s="127" t="s">
        <v>981</v>
      </c>
      <c r="AG187" s="232" t="s">
        <v>878</v>
      </c>
      <c r="AH187" s="127" t="b">
        <f t="shared" si="35"/>
        <v>0</v>
      </c>
    </row>
    <row r="188" spans="1:35" ht="14.25" x14ac:dyDescent="0.2">
      <c r="A188" s="127" t="s">
        <v>583</v>
      </c>
      <c r="B188" s="271">
        <v>8.0600000000000005E-2</v>
      </c>
      <c r="C188" s="202">
        <v>3.9300000000000002E-2</v>
      </c>
      <c r="D188" s="210"/>
      <c r="E188" s="202">
        <v>6.2899999999999998E-2</v>
      </c>
      <c r="F188" s="202">
        <v>0.15740000000000001</v>
      </c>
      <c r="G188" s="238">
        <f t="shared" si="25"/>
        <v>112.45235069885645</v>
      </c>
      <c r="H188" s="210">
        <f t="shared" si="37"/>
        <v>7.5400000000000009E-2</v>
      </c>
      <c r="I188" s="210"/>
      <c r="J188" s="210">
        <v>4.0000000000000001E-3</v>
      </c>
      <c r="K188" s="211"/>
      <c r="L188" s="127">
        <v>840</v>
      </c>
      <c r="M188" s="127">
        <v>15</v>
      </c>
      <c r="N188" s="201">
        <f t="shared" si="38"/>
        <v>7.4704999999999994E-2</v>
      </c>
      <c r="O188" s="201">
        <f t="shared" si="39"/>
        <v>8.0600000000000005E-2</v>
      </c>
      <c r="P188" s="201">
        <f t="shared" si="40"/>
        <v>8.0600000000000005E-2</v>
      </c>
      <c r="Q188" s="201">
        <f t="shared" si="30"/>
        <v>8.0600000000000005E-2</v>
      </c>
      <c r="R188" s="127" t="s">
        <v>179</v>
      </c>
      <c r="S188" s="127" t="str">
        <f>""</f>
        <v/>
      </c>
      <c r="T188" s="127" t="s">
        <v>181</v>
      </c>
      <c r="U188" s="127" t="s">
        <v>182</v>
      </c>
      <c r="V188" s="127" t="s">
        <v>183</v>
      </c>
      <c r="W188" s="127" t="s">
        <v>695</v>
      </c>
      <c r="X188" s="127" t="s">
        <v>230</v>
      </c>
      <c r="Y188" s="127" t="s">
        <v>1038</v>
      </c>
      <c r="Z188" s="127" t="s">
        <v>187</v>
      </c>
      <c r="AA188" s="127" t="s">
        <v>254</v>
      </c>
      <c r="AB188" s="127">
        <v>20</v>
      </c>
      <c r="AC188" s="210">
        <f>0.0629/POWER(1.02,7)+PBL_OT_2025!$D$40</f>
        <v>5.8758235234815187E-2</v>
      </c>
      <c r="AD188" s="210">
        <f t="shared" si="24"/>
        <v>0</v>
      </c>
      <c r="AE188" s="210" t="str">
        <f t="shared" si="26"/>
        <v/>
      </c>
      <c r="AF188" s="127" t="s">
        <v>981</v>
      </c>
      <c r="AG188" s="232" t="s">
        <v>878</v>
      </c>
      <c r="AH188" s="127" t="b">
        <f t="shared" si="35"/>
        <v>0</v>
      </c>
    </row>
    <row r="189" spans="1:35" ht="14.25" x14ac:dyDescent="0.2">
      <c r="A189" s="127" t="s">
        <v>748</v>
      </c>
      <c r="B189" s="271">
        <v>0.11615</v>
      </c>
      <c r="C189" s="202">
        <v>3.9300000000000002E-2</v>
      </c>
      <c r="D189" s="210"/>
      <c r="E189" s="202">
        <v>6.2899999999999998E-2</v>
      </c>
      <c r="F189" s="202">
        <v>0.17749999999999999</v>
      </c>
      <c r="G189" s="238">
        <f t="shared" si="25"/>
        <v>300.00000000000006</v>
      </c>
      <c r="H189" s="210">
        <f t="shared" si="37"/>
        <v>7.5400000000000009E-2</v>
      </c>
      <c r="I189" s="210"/>
      <c r="J189" s="210">
        <v>4.0000000000000001E-3</v>
      </c>
      <c r="K189" s="211"/>
      <c r="L189" s="127">
        <v>600</v>
      </c>
      <c r="M189" s="127">
        <v>15</v>
      </c>
      <c r="N189" s="201">
        <f t="shared" si="38"/>
        <v>7.6212500000000002E-2</v>
      </c>
      <c r="O189" s="201">
        <f t="shared" si="39"/>
        <v>8.9524999999999993E-2</v>
      </c>
      <c r="P189" s="201">
        <f t="shared" si="40"/>
        <v>0.1028375</v>
      </c>
      <c r="Q189" s="201">
        <f t="shared" si="30"/>
        <v>0.11615</v>
      </c>
      <c r="R189" s="127" t="s">
        <v>179</v>
      </c>
      <c r="S189" s="127"/>
      <c r="T189" s="127" t="s">
        <v>181</v>
      </c>
      <c r="U189" s="127" t="s">
        <v>182</v>
      </c>
      <c r="V189" s="127" t="s">
        <v>183</v>
      </c>
      <c r="W189" s="127" t="s">
        <v>988</v>
      </c>
      <c r="X189" s="127" t="s">
        <v>230</v>
      </c>
      <c r="Y189" s="127" t="s">
        <v>1038</v>
      </c>
      <c r="Z189" s="127" t="s">
        <v>187</v>
      </c>
      <c r="AA189" s="127" t="s">
        <v>254</v>
      </c>
      <c r="AB189" s="127">
        <v>20</v>
      </c>
      <c r="AC189" s="210">
        <f>0.0629/POWER(1.02,7)+PBL_OT_2025!$D$40</f>
        <v>5.8758235234815187E-2</v>
      </c>
      <c r="AD189" s="210">
        <f t="shared" si="24"/>
        <v>0</v>
      </c>
      <c r="AE189" s="210" t="str">
        <f t="shared" si="26"/>
        <v/>
      </c>
      <c r="AF189" s="127" t="s">
        <v>981</v>
      </c>
      <c r="AG189" s="232" t="s">
        <v>878</v>
      </c>
      <c r="AH189" s="127" t="b">
        <f t="shared" si="35"/>
        <v>0</v>
      </c>
    </row>
    <row r="190" spans="1:35" ht="14.25" x14ac:dyDescent="0.2">
      <c r="A190" s="127" t="s">
        <v>420</v>
      </c>
      <c r="B190" s="271">
        <v>9.3600000000000003E-2</v>
      </c>
      <c r="C190" s="202">
        <v>3.9300000000000002E-2</v>
      </c>
      <c r="D190" s="210"/>
      <c r="E190" s="202">
        <v>6.2899999999999998E-2</v>
      </c>
      <c r="F190" s="202">
        <v>0.12590000000000001</v>
      </c>
      <c r="G190" s="238">
        <f t="shared" si="25"/>
        <v>243.84432088959494</v>
      </c>
      <c r="H190" s="210">
        <f t="shared" si="37"/>
        <v>7.5400000000000009E-2</v>
      </c>
      <c r="I190" s="210"/>
      <c r="J190" s="210">
        <v>4.0000000000000001E-3</v>
      </c>
      <c r="K190" s="211"/>
      <c r="L190" s="127">
        <v>855</v>
      </c>
      <c r="M190" s="127">
        <v>15</v>
      </c>
      <c r="N190" s="201">
        <f t="shared" si="38"/>
        <v>7.2342500000000004E-2</v>
      </c>
      <c r="O190" s="201">
        <f t="shared" si="39"/>
        <v>8.1784999999999997E-2</v>
      </c>
      <c r="P190" s="201">
        <f t="shared" si="40"/>
        <v>9.1227500000000003E-2</v>
      </c>
      <c r="Q190" s="201">
        <f t="shared" si="30"/>
        <v>9.3600000000000003E-2</v>
      </c>
      <c r="R190" s="127" t="s">
        <v>179</v>
      </c>
      <c r="S190" s="127" t="str">
        <f>""</f>
        <v/>
      </c>
      <c r="T190" s="127" t="s">
        <v>181</v>
      </c>
      <c r="U190" s="127" t="s">
        <v>182</v>
      </c>
      <c r="V190" s="127" t="s">
        <v>183</v>
      </c>
      <c r="W190" s="127" t="s">
        <v>992</v>
      </c>
      <c r="X190" s="127" t="s">
        <v>230</v>
      </c>
      <c r="Y190" s="127" t="s">
        <v>253</v>
      </c>
      <c r="Z190" s="127" t="s">
        <v>187</v>
      </c>
      <c r="AA190" s="127" t="s">
        <v>254</v>
      </c>
      <c r="AB190" s="127">
        <v>20</v>
      </c>
      <c r="AC190" s="210">
        <f>0.0629/POWER(1.02,7)+PBL_OT_2025!$D$40</f>
        <v>5.8758235234815187E-2</v>
      </c>
      <c r="AD190" s="210">
        <f t="shared" si="24"/>
        <v>0</v>
      </c>
      <c r="AE190" s="210" t="str">
        <f t="shared" si="26"/>
        <v/>
      </c>
      <c r="AF190" s="127" t="s">
        <v>981</v>
      </c>
      <c r="AG190" s="232" t="s">
        <v>878</v>
      </c>
      <c r="AH190" s="127" t="b">
        <f t="shared" si="35"/>
        <v>0</v>
      </c>
      <c r="AI190" s="258"/>
    </row>
    <row r="191" spans="1:35" ht="14.25" x14ac:dyDescent="0.2">
      <c r="A191" s="127" t="s">
        <v>421</v>
      </c>
      <c r="B191" s="271">
        <v>7.9399999999999998E-2</v>
      </c>
      <c r="C191" s="202">
        <v>3.9300000000000002E-2</v>
      </c>
      <c r="D191" s="210"/>
      <c r="E191" s="202">
        <v>6.2899999999999998E-2</v>
      </c>
      <c r="F191" s="202">
        <v>7.0000000000000007E-2</v>
      </c>
      <c r="G191" s="238">
        <f t="shared" si="25"/>
        <v>235.71428571428569</v>
      </c>
      <c r="H191" s="210">
        <f t="shared" si="37"/>
        <v>7.5400000000000009E-2</v>
      </c>
      <c r="I191" s="210"/>
      <c r="J191" s="210">
        <v>4.0000000000000001E-3</v>
      </c>
      <c r="K191" s="211"/>
      <c r="L191" s="127">
        <v>855</v>
      </c>
      <c r="M191" s="127">
        <v>15</v>
      </c>
      <c r="N191" s="201">
        <f t="shared" si="38"/>
        <v>6.8150000000000002E-2</v>
      </c>
      <c r="O191" s="201">
        <f t="shared" si="39"/>
        <v>7.3399999999999993E-2</v>
      </c>
      <c r="P191" s="201">
        <f t="shared" si="40"/>
        <v>7.8649999999999998E-2</v>
      </c>
      <c r="Q191" s="201">
        <f t="shared" si="30"/>
        <v>7.9399999999999998E-2</v>
      </c>
      <c r="R191" s="127" t="s">
        <v>179</v>
      </c>
      <c r="S191" s="127" t="str">
        <f>""</f>
        <v/>
      </c>
      <c r="T191" s="127" t="s">
        <v>181</v>
      </c>
      <c r="U191" s="127" t="s">
        <v>182</v>
      </c>
      <c r="V191" s="127" t="s">
        <v>183</v>
      </c>
      <c r="W191" s="127" t="s">
        <v>992</v>
      </c>
      <c r="X191" s="127" t="s">
        <v>230</v>
      </c>
      <c r="Y191" s="127" t="s">
        <v>253</v>
      </c>
      <c r="Z191" s="127" t="s">
        <v>187</v>
      </c>
      <c r="AA191" s="127" t="s">
        <v>254</v>
      </c>
      <c r="AB191" s="127">
        <v>20</v>
      </c>
      <c r="AC191" s="210">
        <f>0.0629/POWER(1.02,7)+PBL_OT_2025!$D$40</f>
        <v>5.8758235234815187E-2</v>
      </c>
      <c r="AD191" s="210">
        <f t="shared" si="24"/>
        <v>0</v>
      </c>
      <c r="AE191" s="210" t="str">
        <f t="shared" si="26"/>
        <v/>
      </c>
      <c r="AF191" s="127" t="s">
        <v>981</v>
      </c>
      <c r="AG191" s="232" t="s">
        <v>878</v>
      </c>
      <c r="AH191" s="127" t="b">
        <f t="shared" si="35"/>
        <v>0</v>
      </c>
    </row>
    <row r="192" spans="1:35" ht="14.25" x14ac:dyDescent="0.2">
      <c r="A192" s="127" t="s">
        <v>764</v>
      </c>
      <c r="B192" s="271">
        <v>9.2999999999999999E-2</v>
      </c>
      <c r="C192" s="202">
        <v>3.9300000000000002E-2</v>
      </c>
      <c r="D192" s="210"/>
      <c r="E192" s="202">
        <v>6.2899999999999998E-2</v>
      </c>
      <c r="F192" s="202">
        <v>0.12590000000000001</v>
      </c>
      <c r="G192" s="238">
        <f t="shared" si="25"/>
        <v>239.07863383637806</v>
      </c>
      <c r="H192" s="210">
        <f t="shared" si="37"/>
        <v>7.5400000000000009E-2</v>
      </c>
      <c r="I192" s="210"/>
      <c r="J192" s="210">
        <v>4.0000000000000001E-3</v>
      </c>
      <c r="K192" s="211"/>
      <c r="L192" s="127">
        <v>855</v>
      </c>
      <c r="M192" s="127">
        <v>15</v>
      </c>
      <c r="N192" s="201">
        <f t="shared" si="38"/>
        <v>7.2342500000000004E-2</v>
      </c>
      <c r="O192" s="201">
        <f t="shared" si="39"/>
        <v>8.1784999999999997E-2</v>
      </c>
      <c r="P192" s="201">
        <f t="shared" si="40"/>
        <v>9.1227500000000003E-2</v>
      </c>
      <c r="Q192" s="201">
        <f t="shared" si="30"/>
        <v>9.2999999999999999E-2</v>
      </c>
      <c r="R192" s="127" t="s">
        <v>179</v>
      </c>
      <c r="S192" s="127" t="str">
        <f>""</f>
        <v/>
      </c>
      <c r="T192" s="127" t="s">
        <v>181</v>
      </c>
      <c r="U192" s="127" t="s">
        <v>182</v>
      </c>
      <c r="V192" s="127" t="s">
        <v>183</v>
      </c>
      <c r="W192" s="127" t="s">
        <v>990</v>
      </c>
      <c r="X192" s="127" t="s">
        <v>230</v>
      </c>
      <c r="Y192" s="127" t="s">
        <v>253</v>
      </c>
      <c r="Z192" s="127" t="s">
        <v>187</v>
      </c>
      <c r="AA192" s="127" t="s">
        <v>254</v>
      </c>
      <c r="AB192" s="127">
        <v>20</v>
      </c>
      <c r="AC192" s="210">
        <f>0.0629/POWER(1.02,7)+PBL_OT_2025!$D$40</f>
        <v>5.8758235234815187E-2</v>
      </c>
      <c r="AD192" s="210">
        <f t="shared" si="24"/>
        <v>0</v>
      </c>
      <c r="AE192" s="210" t="str">
        <f t="shared" si="26"/>
        <v/>
      </c>
      <c r="AF192" s="127" t="s">
        <v>981</v>
      </c>
      <c r="AG192" s="232" t="s">
        <v>878</v>
      </c>
      <c r="AH192" s="127" t="b">
        <f t="shared" si="35"/>
        <v>0</v>
      </c>
    </row>
    <row r="193" spans="1:34" ht="14.25" x14ac:dyDescent="0.2">
      <c r="A193" s="127" t="s">
        <v>765</v>
      </c>
      <c r="B193" s="271">
        <v>7.7100000000000002E-2</v>
      </c>
      <c r="C193" s="202">
        <v>3.9300000000000002E-2</v>
      </c>
      <c r="D193" s="210"/>
      <c r="E193" s="202">
        <v>6.2899999999999998E-2</v>
      </c>
      <c r="F193" s="202">
        <v>7.0000000000000007E-2</v>
      </c>
      <c r="G193" s="238">
        <f t="shared" si="25"/>
        <v>202.85714285714289</v>
      </c>
      <c r="H193" s="210">
        <f t="shared" si="37"/>
        <v>7.5400000000000009E-2</v>
      </c>
      <c r="I193" s="210"/>
      <c r="J193" s="210">
        <v>4.0000000000000001E-3</v>
      </c>
      <c r="K193" s="211"/>
      <c r="L193" s="127">
        <v>855</v>
      </c>
      <c r="M193" s="127">
        <v>15</v>
      </c>
      <c r="N193" s="201">
        <f t="shared" si="38"/>
        <v>6.8150000000000002E-2</v>
      </c>
      <c r="O193" s="201">
        <f t="shared" si="39"/>
        <v>7.3399999999999993E-2</v>
      </c>
      <c r="P193" s="201">
        <f t="shared" si="40"/>
        <v>7.7100000000000002E-2</v>
      </c>
      <c r="Q193" s="201">
        <f t="shared" si="30"/>
        <v>7.7100000000000002E-2</v>
      </c>
      <c r="R193" s="127" t="s">
        <v>179</v>
      </c>
      <c r="S193" s="127" t="str">
        <f>""</f>
        <v/>
      </c>
      <c r="T193" s="127" t="s">
        <v>181</v>
      </c>
      <c r="U193" s="127" t="s">
        <v>182</v>
      </c>
      <c r="V193" s="127" t="s">
        <v>183</v>
      </c>
      <c r="W193" s="127" t="s">
        <v>990</v>
      </c>
      <c r="X193" s="127" t="s">
        <v>230</v>
      </c>
      <c r="Y193" s="127" t="s">
        <v>253</v>
      </c>
      <c r="Z193" s="127" t="s">
        <v>187</v>
      </c>
      <c r="AA193" s="127" t="s">
        <v>254</v>
      </c>
      <c r="AB193" s="127">
        <v>20</v>
      </c>
      <c r="AC193" s="210">
        <f>0.0629/POWER(1.02,7)+PBL_OT_2025!$D$40</f>
        <v>5.8758235234815187E-2</v>
      </c>
      <c r="AD193" s="210">
        <f t="shared" si="24"/>
        <v>0</v>
      </c>
      <c r="AE193" s="210" t="str">
        <f t="shared" si="26"/>
        <v/>
      </c>
      <c r="AF193" s="127" t="s">
        <v>981</v>
      </c>
      <c r="AG193" s="232" t="s">
        <v>878</v>
      </c>
      <c r="AH193" s="127" t="b">
        <f t="shared" si="35"/>
        <v>0</v>
      </c>
    </row>
    <row r="194" spans="1:34" ht="14.25" x14ac:dyDescent="0.2">
      <c r="A194" s="127" t="s">
        <v>567</v>
      </c>
      <c r="B194" s="271">
        <v>7.2800000000000004E-2</v>
      </c>
      <c r="C194" s="202">
        <v>3.9300000000000002E-2</v>
      </c>
      <c r="D194" s="210"/>
      <c r="E194" s="202">
        <v>6.2899999999999998E-2</v>
      </c>
      <c r="F194" s="202">
        <v>6.3E-2</v>
      </c>
      <c r="G194" s="238">
        <f t="shared" si="25"/>
        <v>157.14285714285722</v>
      </c>
      <c r="H194" s="210">
        <f t="shared" si="37"/>
        <v>7.5400000000000009E-2</v>
      </c>
      <c r="I194" s="210"/>
      <c r="J194" s="210">
        <v>4.0000000000000001E-3</v>
      </c>
      <c r="K194" s="211"/>
      <c r="L194" s="127">
        <v>855</v>
      </c>
      <c r="M194" s="127">
        <v>15</v>
      </c>
      <c r="N194" s="201">
        <f t="shared" si="38"/>
        <v>6.7624999999999991E-2</v>
      </c>
      <c r="O194" s="201">
        <f t="shared" si="39"/>
        <v>7.2349999999999998E-2</v>
      </c>
      <c r="P194" s="201">
        <f t="shared" si="40"/>
        <v>7.2800000000000004E-2</v>
      </c>
      <c r="Q194" s="201">
        <f t="shared" si="30"/>
        <v>7.2800000000000004E-2</v>
      </c>
      <c r="R194" s="127" t="s">
        <v>179</v>
      </c>
      <c r="S194" s="127" t="str">
        <f>""</f>
        <v/>
      </c>
      <c r="T194" s="127" t="s">
        <v>181</v>
      </c>
      <c r="U194" s="127" t="s">
        <v>182</v>
      </c>
      <c r="V194" s="127" t="s">
        <v>183</v>
      </c>
      <c r="W194" s="127" t="s">
        <v>990</v>
      </c>
      <c r="X194" s="127" t="s">
        <v>230</v>
      </c>
      <c r="Y194" s="127" t="s">
        <v>253</v>
      </c>
      <c r="Z194" s="127" t="s">
        <v>187</v>
      </c>
      <c r="AA194" s="127" t="s">
        <v>254</v>
      </c>
      <c r="AB194" s="127">
        <v>20</v>
      </c>
      <c r="AC194" s="210">
        <f>0.0629/POWER(1.02,7)+PBL_OT_2025!$D$40</f>
        <v>5.8758235234815187E-2</v>
      </c>
      <c r="AD194" s="210">
        <f t="shared" si="24"/>
        <v>0</v>
      </c>
      <c r="AE194" s="210" t="str">
        <f t="shared" si="26"/>
        <v/>
      </c>
      <c r="AF194" s="127" t="s">
        <v>981</v>
      </c>
      <c r="AG194" s="232" t="s">
        <v>878</v>
      </c>
      <c r="AH194" s="127" t="b">
        <f t="shared" si="35"/>
        <v>0</v>
      </c>
    </row>
    <row r="195" spans="1:34" ht="14.25" x14ac:dyDescent="0.2">
      <c r="A195" s="127" t="s">
        <v>747</v>
      </c>
      <c r="B195" s="271">
        <v>9.0300000000000005E-2</v>
      </c>
      <c r="C195" s="202">
        <v>3.9300000000000002E-2</v>
      </c>
      <c r="D195" s="210"/>
      <c r="E195" s="202">
        <v>6.2899999999999998E-2</v>
      </c>
      <c r="F195" s="202">
        <v>0.12590000000000001</v>
      </c>
      <c r="G195" s="238">
        <f t="shared" si="25"/>
        <v>217.63304209690236</v>
      </c>
      <c r="H195" s="210">
        <f t="shared" si="37"/>
        <v>7.5400000000000009E-2</v>
      </c>
      <c r="I195" s="210"/>
      <c r="J195" s="210">
        <v>4.0000000000000001E-3</v>
      </c>
      <c r="K195" s="211"/>
      <c r="L195" s="127">
        <v>825</v>
      </c>
      <c r="M195" s="127">
        <v>15</v>
      </c>
      <c r="N195" s="201">
        <f t="shared" si="38"/>
        <v>7.2342500000000004E-2</v>
      </c>
      <c r="O195" s="201">
        <f t="shared" si="39"/>
        <v>8.1784999999999997E-2</v>
      </c>
      <c r="P195" s="201">
        <f t="shared" si="40"/>
        <v>9.0300000000000005E-2</v>
      </c>
      <c r="Q195" s="201">
        <f t="shared" si="30"/>
        <v>9.0300000000000005E-2</v>
      </c>
      <c r="R195" s="127" t="s">
        <v>179</v>
      </c>
      <c r="S195" s="127"/>
      <c r="T195" s="127" t="s">
        <v>181</v>
      </c>
      <c r="U195" s="127" t="s">
        <v>182</v>
      </c>
      <c r="V195" s="127" t="s">
        <v>183</v>
      </c>
      <c r="W195" s="127" t="s">
        <v>991</v>
      </c>
      <c r="X195" s="127" t="s">
        <v>230</v>
      </c>
      <c r="Y195" s="127" t="s">
        <v>253</v>
      </c>
      <c r="Z195" s="127" t="s">
        <v>187</v>
      </c>
      <c r="AA195" s="127"/>
      <c r="AB195" s="127">
        <v>20</v>
      </c>
      <c r="AC195" s="210">
        <f>0.0629/POWER(1.02,7)+PBL_OT_2025!$D$40</f>
        <v>5.8758235234815187E-2</v>
      </c>
      <c r="AD195" s="210">
        <f t="shared" si="24"/>
        <v>0</v>
      </c>
      <c r="AE195" s="210" t="str">
        <f t="shared" si="26"/>
        <v/>
      </c>
      <c r="AF195" s="127" t="s">
        <v>981</v>
      </c>
      <c r="AG195" s="232" t="s">
        <v>878</v>
      </c>
      <c r="AH195" s="127" t="b">
        <f t="shared" si="35"/>
        <v>0</v>
      </c>
    </row>
    <row r="196" spans="1:34" ht="14.25" x14ac:dyDescent="0.2">
      <c r="A196" s="127" t="s">
        <v>766</v>
      </c>
      <c r="B196" s="271">
        <v>7.6899999999999996E-2</v>
      </c>
      <c r="C196" s="202">
        <v>3.9300000000000002E-2</v>
      </c>
      <c r="D196" s="210"/>
      <c r="E196" s="202">
        <v>6.2899999999999998E-2</v>
      </c>
      <c r="F196" s="202">
        <v>6.9900000000000004E-2</v>
      </c>
      <c r="G196" s="238">
        <f t="shared" si="25"/>
        <v>200.2861230329041</v>
      </c>
      <c r="H196" s="210">
        <f t="shared" si="37"/>
        <v>7.5400000000000009E-2</v>
      </c>
      <c r="I196" s="210"/>
      <c r="J196" s="210">
        <v>4.0000000000000001E-3</v>
      </c>
      <c r="K196" s="211"/>
      <c r="L196" s="127">
        <v>825</v>
      </c>
      <c r="M196" s="127">
        <v>15</v>
      </c>
      <c r="N196" s="201">
        <f t="shared" si="38"/>
        <v>6.8142499999999995E-2</v>
      </c>
      <c r="O196" s="201">
        <f t="shared" si="39"/>
        <v>7.3385000000000006E-2</v>
      </c>
      <c r="P196" s="201">
        <f t="shared" si="40"/>
        <v>7.6899999999999996E-2</v>
      </c>
      <c r="Q196" s="201">
        <f t="shared" si="30"/>
        <v>7.6899999999999996E-2</v>
      </c>
      <c r="R196" s="127" t="s">
        <v>179</v>
      </c>
      <c r="S196" s="127"/>
      <c r="T196" s="127" t="s">
        <v>181</v>
      </c>
      <c r="U196" s="127" t="s">
        <v>182</v>
      </c>
      <c r="V196" s="127" t="s">
        <v>183</v>
      </c>
      <c r="W196" s="127" t="s">
        <v>991</v>
      </c>
      <c r="X196" s="127" t="s">
        <v>230</v>
      </c>
      <c r="Y196" s="127" t="s">
        <v>253</v>
      </c>
      <c r="Z196" s="127" t="s">
        <v>187</v>
      </c>
      <c r="AA196" s="127"/>
      <c r="AB196" s="127">
        <v>20</v>
      </c>
      <c r="AC196" s="210">
        <f>0.0629/POWER(1.02,7)+PBL_OT_2025!$D$40</f>
        <v>5.8758235234815187E-2</v>
      </c>
      <c r="AD196" s="210">
        <f t="shared" si="24"/>
        <v>0</v>
      </c>
      <c r="AE196" s="210" t="str">
        <f t="shared" si="26"/>
        <v/>
      </c>
      <c r="AF196" s="127" t="s">
        <v>981</v>
      </c>
      <c r="AG196" s="232" t="s">
        <v>878</v>
      </c>
      <c r="AH196" s="127" t="b">
        <f t="shared" si="35"/>
        <v>0</v>
      </c>
    </row>
    <row r="197" spans="1:34" ht="14.25" x14ac:dyDescent="0.2">
      <c r="A197" s="127" t="s">
        <v>568</v>
      </c>
      <c r="B197" s="201">
        <v>7.7200000000000005E-2</v>
      </c>
      <c r="C197" s="202">
        <v>3.9300000000000002E-2</v>
      </c>
      <c r="D197" s="127"/>
      <c r="E197" s="202">
        <v>6.2899999999999998E-2</v>
      </c>
      <c r="F197" s="202">
        <v>6.9900000000000004E-2</v>
      </c>
      <c r="G197" s="238">
        <f t="shared" si="25"/>
        <v>204.57796852646649</v>
      </c>
      <c r="H197" s="210">
        <f t="shared" si="37"/>
        <v>7.5400000000000009E-2</v>
      </c>
      <c r="I197" s="127"/>
      <c r="J197" s="210">
        <v>4.0000000000000001E-3</v>
      </c>
      <c r="K197" s="127"/>
      <c r="L197" s="127">
        <v>1045</v>
      </c>
      <c r="M197" s="127">
        <v>15</v>
      </c>
      <c r="N197" s="201">
        <f t="shared" si="38"/>
        <v>6.8142499999999995E-2</v>
      </c>
      <c r="O197" s="201">
        <f t="shared" si="39"/>
        <v>7.3385000000000006E-2</v>
      </c>
      <c r="P197" s="201">
        <f t="shared" si="40"/>
        <v>7.7200000000000005E-2</v>
      </c>
      <c r="Q197" s="201">
        <f t="shared" si="30"/>
        <v>7.7200000000000005E-2</v>
      </c>
      <c r="R197" s="127" t="s">
        <v>179</v>
      </c>
      <c r="S197" s="127" t="str">
        <f>""</f>
        <v/>
      </c>
      <c r="T197" s="127" t="s">
        <v>181</v>
      </c>
      <c r="U197" s="127" t="s">
        <v>182</v>
      </c>
      <c r="V197" s="127" t="s">
        <v>183</v>
      </c>
      <c r="W197" s="127" t="s">
        <v>696</v>
      </c>
      <c r="X197" s="127" t="s">
        <v>230</v>
      </c>
      <c r="Y197" s="127" t="s">
        <v>255</v>
      </c>
      <c r="Z197" s="127" t="s">
        <v>187</v>
      </c>
      <c r="AA197" s="127"/>
      <c r="AB197" s="127">
        <v>20</v>
      </c>
      <c r="AC197" s="210">
        <f>0.0629/POWER(1.02,7)+PBL_OT_2025!$D$40</f>
        <v>5.8758235234815187E-2</v>
      </c>
      <c r="AD197" s="210">
        <f t="shared" si="24"/>
        <v>0</v>
      </c>
      <c r="AE197" s="210" t="str">
        <f t="shared" si="26"/>
        <v/>
      </c>
      <c r="AF197" s="127" t="s">
        <v>981</v>
      </c>
      <c r="AG197" s="232" t="s">
        <v>878</v>
      </c>
      <c r="AH197" s="127" t="b">
        <f t="shared" si="35"/>
        <v>0</v>
      </c>
    </row>
    <row r="198" spans="1:34" ht="14.25" x14ac:dyDescent="0.2">
      <c r="A198" s="127" t="s">
        <v>569</v>
      </c>
      <c r="B198" s="201">
        <v>7.2800000000000004E-2</v>
      </c>
      <c r="C198" s="202">
        <v>3.9300000000000002E-2</v>
      </c>
      <c r="D198" s="127"/>
      <c r="E198" s="202">
        <v>6.2899999999999998E-2</v>
      </c>
      <c r="F198" s="202">
        <v>6.2899999999999998E-2</v>
      </c>
      <c r="G198" s="238">
        <f t="shared" si="25"/>
        <v>157.39268680445161</v>
      </c>
      <c r="H198" s="210">
        <f t="shared" si="37"/>
        <v>7.5400000000000009E-2</v>
      </c>
      <c r="I198" s="127"/>
      <c r="J198" s="210">
        <v>4.0000000000000001E-3</v>
      </c>
      <c r="K198" s="127"/>
      <c r="L198" s="127">
        <v>1045</v>
      </c>
      <c r="M198" s="127">
        <v>15</v>
      </c>
      <c r="N198" s="201">
        <f t="shared" si="38"/>
        <v>6.7617499999999997E-2</v>
      </c>
      <c r="O198" s="201">
        <f t="shared" si="39"/>
        <v>7.2334999999999997E-2</v>
      </c>
      <c r="P198" s="201">
        <f t="shared" si="40"/>
        <v>7.2800000000000004E-2</v>
      </c>
      <c r="Q198" s="201">
        <f t="shared" si="30"/>
        <v>7.2800000000000004E-2</v>
      </c>
      <c r="R198" s="127" t="s">
        <v>179</v>
      </c>
      <c r="S198" s="127" t="str">
        <f>""</f>
        <v/>
      </c>
      <c r="T198" s="127" t="s">
        <v>181</v>
      </c>
      <c r="U198" s="127" t="s">
        <v>182</v>
      </c>
      <c r="V198" s="127" t="s">
        <v>183</v>
      </c>
      <c r="W198" s="127" t="s">
        <v>696</v>
      </c>
      <c r="X198" s="127" t="s">
        <v>230</v>
      </c>
      <c r="Y198" s="127" t="s">
        <v>255</v>
      </c>
      <c r="Z198" s="127" t="s">
        <v>187</v>
      </c>
      <c r="AA198" s="127"/>
      <c r="AB198" s="127">
        <v>20</v>
      </c>
      <c r="AC198" s="210">
        <f>0.0629/POWER(1.02,7)+PBL_OT_2025!$D$40</f>
        <v>5.8758235234815187E-2</v>
      </c>
      <c r="AD198" s="210">
        <f t="shared" si="24"/>
        <v>0</v>
      </c>
      <c r="AE198" s="210" t="str">
        <f t="shared" si="26"/>
        <v/>
      </c>
      <c r="AF198" s="127" t="s">
        <v>981</v>
      </c>
      <c r="AG198" s="232" t="s">
        <v>878</v>
      </c>
      <c r="AH198" s="127" t="b">
        <f t="shared" si="35"/>
        <v>0</v>
      </c>
    </row>
    <row r="199" spans="1:34" ht="14.25" x14ac:dyDescent="0.2">
      <c r="A199" s="127" t="s">
        <v>256</v>
      </c>
      <c r="B199" s="271">
        <v>7.9500000000000001E-2</v>
      </c>
      <c r="C199" s="202">
        <v>3.9300000000000002E-2</v>
      </c>
      <c r="D199" s="210"/>
      <c r="E199" s="202">
        <v>6.2899999999999998E-2</v>
      </c>
      <c r="F199" s="202">
        <v>6.9900000000000004E-2</v>
      </c>
      <c r="G199" s="238">
        <f t="shared" si="25"/>
        <v>237.48211731044356</v>
      </c>
      <c r="H199" s="210">
        <f t="shared" si="37"/>
        <v>7.5400000000000009E-2</v>
      </c>
      <c r="I199" s="210"/>
      <c r="J199" s="210">
        <v>4.0000000000000001E-3</v>
      </c>
      <c r="K199" s="211"/>
      <c r="L199" s="127">
        <v>1190</v>
      </c>
      <c r="M199" s="127">
        <v>15</v>
      </c>
      <c r="N199" s="201">
        <f t="shared" si="38"/>
        <v>6.8142499999999995E-2</v>
      </c>
      <c r="O199" s="201">
        <f t="shared" si="39"/>
        <v>7.3385000000000006E-2</v>
      </c>
      <c r="P199" s="201">
        <f t="shared" si="40"/>
        <v>7.8627500000000003E-2</v>
      </c>
      <c r="Q199" s="201">
        <f t="shared" si="30"/>
        <v>7.9500000000000001E-2</v>
      </c>
      <c r="R199" s="127" t="s">
        <v>179</v>
      </c>
      <c r="S199" s="127" t="str">
        <f>""</f>
        <v/>
      </c>
      <c r="T199" s="127" t="s">
        <v>181</v>
      </c>
      <c r="U199" s="127" t="s">
        <v>182</v>
      </c>
      <c r="V199" s="127" t="s">
        <v>183</v>
      </c>
      <c r="W199" s="127" t="s">
        <v>989</v>
      </c>
      <c r="X199" s="127" t="s">
        <v>230</v>
      </c>
      <c r="Y199" s="127" t="s">
        <v>255</v>
      </c>
      <c r="Z199" s="127" t="s">
        <v>187</v>
      </c>
      <c r="AA199" s="127"/>
      <c r="AB199" s="127">
        <v>20</v>
      </c>
      <c r="AC199" s="210">
        <f>0.0629/POWER(1.02,7)+PBL_OT_2025!$D$40</f>
        <v>5.8758235234815187E-2</v>
      </c>
      <c r="AD199" s="210">
        <f t="shared" si="24"/>
        <v>0</v>
      </c>
      <c r="AE199" s="210" t="str">
        <f t="shared" si="26"/>
        <v/>
      </c>
      <c r="AF199" s="127" t="s">
        <v>981</v>
      </c>
      <c r="AG199" s="232" t="s">
        <v>878</v>
      </c>
      <c r="AH199" s="127" t="b">
        <f t="shared" si="35"/>
        <v>0</v>
      </c>
    </row>
    <row r="200" spans="1:34" ht="15" x14ac:dyDescent="0.25">
      <c r="A200" s="127"/>
      <c r="B200" s="211"/>
      <c r="C200" s="202"/>
      <c r="D200" s="210"/>
      <c r="E200" s="203"/>
      <c r="F200" s="203"/>
      <c r="G200" s="238"/>
      <c r="H200" s="210"/>
      <c r="I200" s="210"/>
      <c r="J200" s="210"/>
      <c r="K200" s="210"/>
      <c r="L200" s="127"/>
      <c r="M200" s="127"/>
      <c r="N200" s="201"/>
      <c r="O200" s="201"/>
      <c r="P200" s="201"/>
      <c r="Q200" s="201"/>
      <c r="R200" s="127"/>
      <c r="S200" s="127" t="s">
        <v>226</v>
      </c>
      <c r="T200" s="127"/>
      <c r="U200" s="127"/>
      <c r="V200" s="127"/>
      <c r="W200" s="127"/>
      <c r="X200" s="127"/>
      <c r="Y200" s="127"/>
      <c r="Z200" s="127"/>
      <c r="AA200" s="127"/>
      <c r="AB200" s="127"/>
      <c r="AC200" s="237"/>
      <c r="AD200" s="210"/>
      <c r="AE200" s="210"/>
      <c r="AF200" s="210"/>
      <c r="AG200" s="233"/>
      <c r="AH200" s="127"/>
    </row>
    <row r="201" spans="1:34" ht="15" x14ac:dyDescent="0.25">
      <c r="A201" s="204" t="s">
        <v>257</v>
      </c>
      <c r="B201" s="211"/>
      <c r="C201" s="202"/>
      <c r="D201" s="210"/>
      <c r="E201" s="203"/>
      <c r="F201" s="203"/>
      <c r="G201" s="238"/>
      <c r="H201" s="210"/>
      <c r="I201" s="210"/>
      <c r="J201" s="210"/>
      <c r="K201" s="210"/>
      <c r="L201" s="127"/>
      <c r="M201" s="127"/>
      <c r="N201" s="201"/>
      <c r="O201" s="201"/>
      <c r="P201" s="201"/>
      <c r="Q201" s="201"/>
      <c r="R201" s="127"/>
      <c r="S201" s="127" t="s">
        <v>226</v>
      </c>
      <c r="T201" s="127"/>
      <c r="U201" s="127"/>
      <c r="V201" s="127"/>
      <c r="W201" s="127"/>
      <c r="X201" s="127"/>
      <c r="Y201" s="127"/>
      <c r="Z201" s="127"/>
      <c r="AA201" s="127"/>
      <c r="AB201" s="127"/>
      <c r="AC201" s="237"/>
      <c r="AD201" s="210"/>
      <c r="AE201" s="210"/>
      <c r="AF201" s="210"/>
      <c r="AG201" s="233"/>
      <c r="AH201" s="127"/>
    </row>
    <row r="202" spans="1:34" ht="15" x14ac:dyDescent="0.25">
      <c r="A202" s="127" t="s">
        <v>258</v>
      </c>
      <c r="B202" s="211">
        <v>0.1111</v>
      </c>
      <c r="C202" s="272">
        <v>4.87E-2</v>
      </c>
      <c r="D202" s="210"/>
      <c r="E202" s="203">
        <v>5.8900000000000001E-2</v>
      </c>
      <c r="F202" s="203">
        <v>0.22500000000000001</v>
      </c>
      <c r="G202" s="238">
        <f t="shared" si="25"/>
        <v>232</v>
      </c>
      <c r="H202" s="210">
        <v>7.4999999999999997E-2</v>
      </c>
      <c r="I202" s="210" t="str">
        <f>""</f>
        <v/>
      </c>
      <c r="J202" s="210"/>
      <c r="K202" s="210">
        <v>1.5E-3</v>
      </c>
      <c r="L202" s="127">
        <v>600</v>
      </c>
      <c r="M202" s="127">
        <v>15</v>
      </c>
      <c r="N202" s="201">
        <f>MIN($B202,(75*$F202/1000)+$E202)</f>
        <v>7.5775000000000009E-2</v>
      </c>
      <c r="O202" s="201">
        <f>MIN($B202,(150*$F202/1000)+$E202)</f>
        <v>9.265000000000001E-2</v>
      </c>
      <c r="P202" s="201">
        <f>MIN($B202,(225*$F202/1000)+$E202)</f>
        <v>0.10952500000000001</v>
      </c>
      <c r="Q202" s="201">
        <f t="shared" si="30"/>
        <v>0.1111</v>
      </c>
      <c r="R202" s="127" t="s">
        <v>180</v>
      </c>
      <c r="S202" s="127" t="str">
        <f>""</f>
        <v/>
      </c>
      <c r="T202" s="127" t="s">
        <v>181</v>
      </c>
      <c r="U202" s="127" t="s">
        <v>182</v>
      </c>
      <c r="V202" s="127" t="s">
        <v>183</v>
      </c>
      <c r="W202" s="127" t="s">
        <v>259</v>
      </c>
      <c r="X202" s="127" t="s">
        <v>191</v>
      </c>
      <c r="Y202" s="127" t="s">
        <v>1039</v>
      </c>
      <c r="Z202" s="127" t="s">
        <v>187</v>
      </c>
      <c r="AA202" s="127" t="str">
        <f>""</f>
        <v/>
      </c>
      <c r="AB202" s="127">
        <v>15</v>
      </c>
      <c r="AC202" s="210">
        <f>(PBL_OT_2025!$F$30/POWER(1.02,7)+PBL_OT_2025!$D$99)/90%</f>
        <v>5.4917101888224372E-2</v>
      </c>
      <c r="AD202" s="210">
        <f t="shared" si="24"/>
        <v>1.5E-3</v>
      </c>
      <c r="AE202" s="210" t="str">
        <f t="shared" si="26"/>
        <v/>
      </c>
      <c r="AF202" s="210" t="s">
        <v>557</v>
      </c>
      <c r="AG202" s="232">
        <v>15</v>
      </c>
      <c r="AH202" s="127"/>
    </row>
    <row r="203" spans="1:34" ht="15" x14ac:dyDescent="0.25">
      <c r="A203" s="127" t="s">
        <v>260</v>
      </c>
      <c r="B203" s="211">
        <v>9.3899999999999997E-2</v>
      </c>
      <c r="C203" s="272">
        <v>1.29E-2</v>
      </c>
      <c r="D203" s="210"/>
      <c r="E203" s="203">
        <v>1.9300000000000001E-2</v>
      </c>
      <c r="F203" s="203">
        <v>0.22500000000000001</v>
      </c>
      <c r="G203" s="238">
        <f t="shared" si="25"/>
        <v>331.55555555555554</v>
      </c>
      <c r="H203" s="210">
        <v>2.9399999999999999E-2</v>
      </c>
      <c r="I203" s="210" t="str">
        <f>""</f>
        <v/>
      </c>
      <c r="J203" s="210"/>
      <c r="K203" s="210">
        <v>1.5E-3</v>
      </c>
      <c r="L203" s="127">
        <v>600</v>
      </c>
      <c r="M203" s="127">
        <v>15</v>
      </c>
      <c r="N203" s="201">
        <f t="shared" ref="N203:N266" si="41">MIN($B203,(75*$F203/1000)+$E203)</f>
        <v>3.6174999999999999E-2</v>
      </c>
      <c r="O203" s="201">
        <f t="shared" ref="O203:O266" si="42">MIN($B203,(150*$F203/1000)+$E203)</f>
        <v>5.305E-2</v>
      </c>
      <c r="P203" s="201">
        <f t="shared" ref="P203:P266" si="43">MIN($B203,(225*$F203/1000)+$E203)</f>
        <v>6.9925000000000001E-2</v>
      </c>
      <c r="Q203" s="201">
        <f t="shared" si="30"/>
        <v>8.6800000000000002E-2</v>
      </c>
      <c r="R203" s="127" t="s">
        <v>180</v>
      </c>
      <c r="S203" s="127" t="str">
        <f>""</f>
        <v/>
      </c>
      <c r="T203" s="127" t="s">
        <v>181</v>
      </c>
      <c r="U203" s="127" t="s">
        <v>182</v>
      </c>
      <c r="V203" s="127" t="s">
        <v>183</v>
      </c>
      <c r="W203" s="127" t="s">
        <v>259</v>
      </c>
      <c r="X203" s="127" t="s">
        <v>191</v>
      </c>
      <c r="Y203" s="127" t="s">
        <v>1039</v>
      </c>
      <c r="Z203" s="127" t="s">
        <v>187</v>
      </c>
      <c r="AA203" s="127" t="str">
        <f>""</f>
        <v/>
      </c>
      <c r="AB203" s="127">
        <v>15</v>
      </c>
      <c r="AC203" s="210">
        <f>PBL_OT_2025!$F$12/POWER(1.02,7)</f>
        <v>1.678021968721171E-2</v>
      </c>
      <c r="AD203" s="210">
        <f t="shared" si="24"/>
        <v>1.5E-3</v>
      </c>
      <c r="AE203" s="210" t="str">
        <f t="shared" si="26"/>
        <v/>
      </c>
      <c r="AF203" s="210" t="s">
        <v>556</v>
      </c>
      <c r="AG203" s="232">
        <v>17</v>
      </c>
      <c r="AH203" s="127"/>
    </row>
    <row r="204" spans="1:34" ht="15" customHeight="1" x14ac:dyDescent="0.25">
      <c r="A204" s="127" t="s">
        <v>780</v>
      </c>
      <c r="B204" s="211">
        <v>5.9900000000000002E-2</v>
      </c>
      <c r="C204" s="272">
        <v>4.87E-2</v>
      </c>
      <c r="D204" s="210"/>
      <c r="E204" s="203">
        <v>5.8900000000000001E-2</v>
      </c>
      <c r="F204" s="203">
        <v>0.20419999999999999</v>
      </c>
      <c r="G204" s="238">
        <f t="shared" si="25"/>
        <v>4.8971596474045098</v>
      </c>
      <c r="H204" s="210">
        <v>7.4999999999999997E-2</v>
      </c>
      <c r="I204" s="210" t="str">
        <f>""</f>
        <v/>
      </c>
      <c r="J204" s="210"/>
      <c r="K204" s="210">
        <v>1.24E-2</v>
      </c>
      <c r="L204" s="127">
        <v>3500</v>
      </c>
      <c r="M204" s="127">
        <v>15</v>
      </c>
      <c r="N204" s="201">
        <f t="shared" si="41"/>
        <v>5.9900000000000002E-2</v>
      </c>
      <c r="O204" s="201">
        <f t="shared" si="42"/>
        <v>5.9900000000000002E-2</v>
      </c>
      <c r="P204" s="201">
        <f t="shared" si="43"/>
        <v>5.9900000000000002E-2</v>
      </c>
      <c r="Q204" s="201">
        <f t="shared" si="30"/>
        <v>5.9900000000000002E-2</v>
      </c>
      <c r="R204" s="127" t="s">
        <v>180</v>
      </c>
      <c r="S204" s="127" t="str">
        <f>""</f>
        <v/>
      </c>
      <c r="T204" s="127" t="s">
        <v>181</v>
      </c>
      <c r="U204" s="127" t="s">
        <v>182</v>
      </c>
      <c r="V204" s="127" t="s">
        <v>183</v>
      </c>
      <c r="W204" s="127" t="s">
        <v>154</v>
      </c>
      <c r="X204" s="127" t="s">
        <v>191</v>
      </c>
      <c r="Y204" s="128" t="s">
        <v>1040</v>
      </c>
      <c r="Z204" s="127" t="s">
        <v>187</v>
      </c>
      <c r="AA204" s="127" t="str">
        <f>""</f>
        <v/>
      </c>
      <c r="AB204" s="127">
        <v>15</v>
      </c>
      <c r="AC204" s="210">
        <f>(PBL_OT_2025!$F$30/POWER(1.02,7)+PBL_OT_2025!$D$99)/90%</f>
        <v>5.4917101888224372E-2</v>
      </c>
      <c r="AD204" s="210">
        <f t="shared" si="24"/>
        <v>1.24E-2</v>
      </c>
      <c r="AE204" s="210" t="str">
        <f t="shared" si="26"/>
        <v/>
      </c>
      <c r="AF204" s="210" t="s">
        <v>557</v>
      </c>
      <c r="AG204" s="232">
        <v>15</v>
      </c>
      <c r="AH204" s="127"/>
    </row>
    <row r="205" spans="1:34" ht="15" customHeight="1" x14ac:dyDescent="0.25">
      <c r="A205" s="127" t="s">
        <v>781</v>
      </c>
      <c r="B205" s="211">
        <v>8.9899999999999994E-2</v>
      </c>
      <c r="C205" s="272">
        <v>1.29E-2</v>
      </c>
      <c r="D205" s="210"/>
      <c r="E205" s="203">
        <v>1.9300000000000001E-2</v>
      </c>
      <c r="F205" s="203">
        <v>0.21199999999999999</v>
      </c>
      <c r="G205" s="238">
        <f t="shared" si="25"/>
        <v>333.01886792452831</v>
      </c>
      <c r="H205" s="210">
        <v>2.9399999999999999E-2</v>
      </c>
      <c r="I205" s="210"/>
      <c r="J205" s="210"/>
      <c r="K205" s="210">
        <v>2.9999999999999997E-4</v>
      </c>
      <c r="L205" s="127">
        <v>4600</v>
      </c>
      <c r="M205" s="127">
        <v>15</v>
      </c>
      <c r="N205" s="201">
        <f t="shared" si="41"/>
        <v>3.5200000000000002E-2</v>
      </c>
      <c r="O205" s="201">
        <f t="shared" si="42"/>
        <v>5.1100000000000007E-2</v>
      </c>
      <c r="P205" s="201">
        <f t="shared" si="43"/>
        <v>6.699999999999999E-2</v>
      </c>
      <c r="Q205" s="201">
        <f t="shared" si="30"/>
        <v>8.2900000000000001E-2</v>
      </c>
      <c r="R205" s="127" t="s">
        <v>180</v>
      </c>
      <c r="S205" s="127"/>
      <c r="T205" s="127" t="s">
        <v>181</v>
      </c>
      <c r="U205" s="127" t="s">
        <v>182</v>
      </c>
      <c r="V205" s="127" t="s">
        <v>183</v>
      </c>
      <c r="W205" s="127" t="s">
        <v>1014</v>
      </c>
      <c r="X205" s="127" t="s">
        <v>191</v>
      </c>
      <c r="Y205" s="128" t="s">
        <v>1040</v>
      </c>
      <c r="Z205" s="127" t="s">
        <v>187</v>
      </c>
      <c r="AA205" s="127"/>
      <c r="AB205" s="127">
        <v>15</v>
      </c>
      <c r="AC205" s="210">
        <f>PBL_OT_2025!$F$12/POWER(1.02,7)</f>
        <v>1.678021968721171E-2</v>
      </c>
      <c r="AD205" s="210">
        <f t="shared" si="24"/>
        <v>2.9999999999999997E-4</v>
      </c>
      <c r="AE205" s="210" t="str">
        <f t="shared" si="26"/>
        <v/>
      </c>
      <c r="AF205" s="210" t="s">
        <v>556</v>
      </c>
      <c r="AG205" s="232">
        <v>17</v>
      </c>
      <c r="AH205" s="127"/>
    </row>
    <row r="206" spans="1:34" ht="15" x14ac:dyDescent="0.25">
      <c r="A206" s="127"/>
      <c r="B206" s="211"/>
      <c r="C206" s="202"/>
      <c r="D206" s="210"/>
      <c r="E206" s="203"/>
      <c r="F206" s="203"/>
      <c r="G206" s="238"/>
      <c r="H206" s="210"/>
      <c r="I206" s="210"/>
      <c r="J206" s="210"/>
      <c r="K206" s="210"/>
      <c r="L206" s="127"/>
      <c r="M206" s="127"/>
      <c r="N206" s="201"/>
      <c r="O206" s="201"/>
      <c r="P206" s="201"/>
      <c r="Q206" s="201"/>
      <c r="R206" s="127"/>
      <c r="S206" s="127"/>
      <c r="T206" s="127"/>
      <c r="U206" s="127"/>
      <c r="V206" s="127"/>
      <c r="W206" s="127"/>
      <c r="X206" s="127"/>
      <c r="Y206" s="127"/>
      <c r="Z206" s="127"/>
      <c r="AA206" s="127"/>
      <c r="AB206" s="127"/>
      <c r="AC206" s="210"/>
      <c r="AD206" s="210"/>
      <c r="AE206" s="210"/>
      <c r="AF206" s="210"/>
      <c r="AG206" s="232"/>
      <c r="AH206" s="127"/>
    </row>
    <row r="207" spans="1:34" ht="15" x14ac:dyDescent="0.25">
      <c r="A207" s="263" t="s">
        <v>784</v>
      </c>
      <c r="B207" s="211"/>
      <c r="C207" s="202"/>
      <c r="D207" s="210"/>
      <c r="E207" s="203"/>
      <c r="F207" s="203"/>
      <c r="G207" s="238"/>
      <c r="H207" s="210"/>
      <c r="I207" s="210"/>
      <c r="J207" s="210"/>
      <c r="K207" s="210"/>
      <c r="L207" s="127"/>
      <c r="M207" s="127"/>
      <c r="N207" s="201"/>
      <c r="O207" s="201"/>
      <c r="P207" s="201"/>
      <c r="Q207" s="201"/>
      <c r="R207" s="127"/>
      <c r="S207" s="127"/>
      <c r="T207" s="127"/>
      <c r="U207" s="127"/>
      <c r="V207" s="127"/>
      <c r="W207" s="127"/>
      <c r="X207" s="127"/>
      <c r="Y207" s="127"/>
      <c r="Z207" s="127"/>
      <c r="AA207" s="127"/>
      <c r="AB207" s="127"/>
      <c r="AC207" s="210"/>
      <c r="AD207" s="210"/>
      <c r="AE207" s="210"/>
      <c r="AF207" s="210"/>
      <c r="AG207" s="232"/>
      <c r="AH207" s="127"/>
    </row>
    <row r="208" spans="1:34" ht="15.75" x14ac:dyDescent="0.3">
      <c r="A208" s="127" t="s">
        <v>795</v>
      </c>
      <c r="B208" s="211">
        <v>223.785</v>
      </c>
      <c r="C208" s="202">
        <v>0</v>
      </c>
      <c r="D208" s="210"/>
      <c r="E208" s="203">
        <v>0</v>
      </c>
      <c r="F208" s="203">
        <v>745.95</v>
      </c>
      <c r="G208" s="238">
        <f t="shared" si="25"/>
        <v>300</v>
      </c>
      <c r="H208" s="210">
        <v>0</v>
      </c>
      <c r="I208" s="210"/>
      <c r="J208" s="210"/>
      <c r="K208" s="210">
        <v>0</v>
      </c>
      <c r="L208" s="127">
        <v>4000</v>
      </c>
      <c r="M208" s="127">
        <v>15</v>
      </c>
      <c r="N208" s="201">
        <f t="shared" si="41"/>
        <v>55.946249999999999</v>
      </c>
      <c r="O208" s="201">
        <f t="shared" si="42"/>
        <v>111.8925</v>
      </c>
      <c r="P208" s="201">
        <f t="shared" si="43"/>
        <v>167.83875</v>
      </c>
      <c r="Q208" s="201">
        <f t="shared" si="30"/>
        <v>223.785</v>
      </c>
      <c r="R208" s="127" t="s">
        <v>261</v>
      </c>
      <c r="S208" s="127" t="str">
        <f>""</f>
        <v/>
      </c>
      <c r="T208" s="127" t="s">
        <v>262</v>
      </c>
      <c r="U208" s="127" t="s">
        <v>263</v>
      </c>
      <c r="V208" s="127" t="s">
        <v>264</v>
      </c>
      <c r="W208" s="127" t="s">
        <v>265</v>
      </c>
      <c r="X208" s="127" t="s">
        <v>266</v>
      </c>
      <c r="Y208" s="127" t="s">
        <v>562</v>
      </c>
      <c r="Z208" s="127" t="s">
        <v>267</v>
      </c>
      <c r="AA208" s="127" t="str">
        <f>""</f>
        <v/>
      </c>
      <c r="AB208" s="127">
        <v>15</v>
      </c>
      <c r="AC208" s="210">
        <v>0</v>
      </c>
      <c r="AD208" s="210">
        <v>0</v>
      </c>
      <c r="AE208" s="210" t="str">
        <f t="shared" ref="AE208" si="44">IF(AC208&lt;B208,"",FALSE)</f>
        <v/>
      </c>
      <c r="AF208" s="210" t="s">
        <v>501</v>
      </c>
      <c r="AG208" s="232">
        <v>43</v>
      </c>
      <c r="AH208" s="127"/>
    </row>
    <row r="209" spans="1:34" ht="15.75" x14ac:dyDescent="0.3">
      <c r="A209" s="127" t="s">
        <v>796</v>
      </c>
      <c r="B209" s="211">
        <v>222.34200000000001</v>
      </c>
      <c r="C209" s="202">
        <v>0</v>
      </c>
      <c r="D209" s="210"/>
      <c r="E209" s="203">
        <v>0</v>
      </c>
      <c r="F209" s="203">
        <v>741.14</v>
      </c>
      <c r="G209" s="238">
        <f t="shared" si="25"/>
        <v>300</v>
      </c>
      <c r="H209" s="210">
        <v>0</v>
      </c>
      <c r="I209" s="210"/>
      <c r="J209" s="210"/>
      <c r="K209" s="210">
        <v>0</v>
      </c>
      <c r="L209" s="127">
        <v>4000</v>
      </c>
      <c r="M209" s="127">
        <v>15</v>
      </c>
      <c r="N209" s="201">
        <f t="shared" si="41"/>
        <v>55.585500000000003</v>
      </c>
      <c r="O209" s="201">
        <f t="shared" si="42"/>
        <v>111.17100000000001</v>
      </c>
      <c r="P209" s="201">
        <f t="shared" si="43"/>
        <v>166.75649999999999</v>
      </c>
      <c r="Q209" s="201">
        <f t="shared" si="30"/>
        <v>222.34200000000001</v>
      </c>
      <c r="R209" s="127" t="s">
        <v>261</v>
      </c>
      <c r="S209" s="127" t="str">
        <f>""</f>
        <v/>
      </c>
      <c r="T209" s="127" t="s">
        <v>262</v>
      </c>
      <c r="U209" s="127" t="s">
        <v>263</v>
      </c>
      <c r="V209" s="127" t="s">
        <v>264</v>
      </c>
      <c r="W209" s="127" t="s">
        <v>265</v>
      </c>
      <c r="X209" s="127" t="s">
        <v>266</v>
      </c>
      <c r="Y209" s="127" t="s">
        <v>562</v>
      </c>
      <c r="Z209" s="127" t="s">
        <v>267</v>
      </c>
      <c r="AA209" s="127" t="str">
        <f>""</f>
        <v/>
      </c>
      <c r="AB209" s="127">
        <v>15</v>
      </c>
      <c r="AC209" s="210">
        <v>0</v>
      </c>
      <c r="AD209" s="210">
        <v>0</v>
      </c>
      <c r="AE209" s="210" t="str">
        <f t="shared" ref="AE209:AE230" si="45">IF(AC209&lt;B209,"",FALSE)</f>
        <v/>
      </c>
      <c r="AF209" s="210" t="s">
        <v>501</v>
      </c>
      <c r="AG209" s="232">
        <v>43</v>
      </c>
      <c r="AH209" s="127"/>
    </row>
    <row r="210" spans="1:34" ht="15.75" x14ac:dyDescent="0.3">
      <c r="A210" s="127" t="s">
        <v>797</v>
      </c>
      <c r="B210" s="211">
        <v>222.34200000000001</v>
      </c>
      <c r="C210" s="202">
        <v>0</v>
      </c>
      <c r="D210" s="210"/>
      <c r="E210" s="203">
        <v>0</v>
      </c>
      <c r="F210" s="203">
        <v>741.14</v>
      </c>
      <c r="G210" s="238">
        <f t="shared" si="25"/>
        <v>300</v>
      </c>
      <c r="H210" s="210">
        <v>0</v>
      </c>
      <c r="I210" s="210"/>
      <c r="J210" s="210"/>
      <c r="K210" s="210">
        <v>0</v>
      </c>
      <c r="L210" s="127">
        <v>4000</v>
      </c>
      <c r="M210" s="127">
        <v>15</v>
      </c>
      <c r="N210" s="201">
        <f t="shared" si="41"/>
        <v>55.585500000000003</v>
      </c>
      <c r="O210" s="201">
        <f t="shared" si="42"/>
        <v>111.17100000000001</v>
      </c>
      <c r="P210" s="201">
        <f t="shared" si="43"/>
        <v>166.75649999999999</v>
      </c>
      <c r="Q210" s="201">
        <f t="shared" si="30"/>
        <v>222.34200000000001</v>
      </c>
      <c r="R210" s="127" t="s">
        <v>261</v>
      </c>
      <c r="S210" s="127" t="str">
        <f>""</f>
        <v/>
      </c>
      <c r="T210" s="127" t="s">
        <v>262</v>
      </c>
      <c r="U210" s="127" t="s">
        <v>263</v>
      </c>
      <c r="V210" s="127" t="s">
        <v>264</v>
      </c>
      <c r="W210" s="127" t="s">
        <v>265</v>
      </c>
      <c r="X210" s="127" t="s">
        <v>266</v>
      </c>
      <c r="Y210" s="127" t="s">
        <v>562</v>
      </c>
      <c r="Z210" s="127" t="s">
        <v>267</v>
      </c>
      <c r="AA210" s="127" t="str">
        <f>""</f>
        <v/>
      </c>
      <c r="AB210" s="127">
        <v>15</v>
      </c>
      <c r="AC210" s="210">
        <v>0</v>
      </c>
      <c r="AD210" s="210">
        <v>0</v>
      </c>
      <c r="AE210" s="210" t="str">
        <f t="shared" si="45"/>
        <v/>
      </c>
      <c r="AF210" s="210" t="s">
        <v>501</v>
      </c>
      <c r="AG210" s="232">
        <v>43</v>
      </c>
      <c r="AH210" s="127"/>
    </row>
    <row r="211" spans="1:34" ht="15.75" x14ac:dyDescent="0.3">
      <c r="A211" s="127" t="s">
        <v>798</v>
      </c>
      <c r="B211" s="211">
        <v>223.785</v>
      </c>
      <c r="C211" s="202">
        <v>0</v>
      </c>
      <c r="D211" s="210"/>
      <c r="E211" s="203">
        <v>0</v>
      </c>
      <c r="F211" s="203">
        <v>745.95</v>
      </c>
      <c r="G211" s="238">
        <f t="shared" si="25"/>
        <v>300</v>
      </c>
      <c r="H211" s="210">
        <v>0</v>
      </c>
      <c r="I211" s="210"/>
      <c r="J211" s="210"/>
      <c r="K211" s="210">
        <v>0</v>
      </c>
      <c r="L211" s="127">
        <v>4000</v>
      </c>
      <c r="M211" s="127">
        <v>15</v>
      </c>
      <c r="N211" s="201">
        <f t="shared" si="41"/>
        <v>55.946249999999999</v>
      </c>
      <c r="O211" s="201">
        <f t="shared" si="42"/>
        <v>111.8925</v>
      </c>
      <c r="P211" s="201">
        <f t="shared" si="43"/>
        <v>167.83875</v>
      </c>
      <c r="Q211" s="201">
        <f t="shared" si="30"/>
        <v>223.785</v>
      </c>
      <c r="R211" s="127" t="s">
        <v>261</v>
      </c>
      <c r="S211" s="127" t="str">
        <f>""</f>
        <v/>
      </c>
      <c r="T211" s="127" t="s">
        <v>262</v>
      </c>
      <c r="U211" s="127" t="s">
        <v>263</v>
      </c>
      <c r="V211" s="127" t="s">
        <v>264</v>
      </c>
      <c r="W211" s="127" t="s">
        <v>265</v>
      </c>
      <c r="X211" s="127" t="s">
        <v>266</v>
      </c>
      <c r="Y211" s="127" t="s">
        <v>562</v>
      </c>
      <c r="Z211" s="127" t="s">
        <v>267</v>
      </c>
      <c r="AA211" s="127" t="str">
        <f>""</f>
        <v/>
      </c>
      <c r="AB211" s="127">
        <v>15</v>
      </c>
      <c r="AC211" s="210">
        <v>0</v>
      </c>
      <c r="AD211" s="210">
        <v>0</v>
      </c>
      <c r="AE211" s="210" t="str">
        <f t="shared" si="45"/>
        <v/>
      </c>
      <c r="AF211" s="210" t="s">
        <v>501</v>
      </c>
      <c r="AG211" s="232">
        <v>43</v>
      </c>
      <c r="AH211" s="127"/>
    </row>
    <row r="212" spans="1:34" ht="15.75" x14ac:dyDescent="0.3">
      <c r="A212" s="127" t="s">
        <v>799</v>
      </c>
      <c r="B212" s="211">
        <v>222.34200000000001</v>
      </c>
      <c r="C212" s="202">
        <v>0</v>
      </c>
      <c r="D212" s="210"/>
      <c r="E212" s="203">
        <v>0</v>
      </c>
      <c r="F212" s="203">
        <v>741.14</v>
      </c>
      <c r="G212" s="238">
        <f t="shared" si="25"/>
        <v>300</v>
      </c>
      <c r="H212" s="210">
        <v>0</v>
      </c>
      <c r="I212" s="210"/>
      <c r="J212" s="210"/>
      <c r="K212" s="210">
        <v>0</v>
      </c>
      <c r="L212" s="127">
        <v>4000</v>
      </c>
      <c r="M212" s="127">
        <v>15</v>
      </c>
      <c r="N212" s="201">
        <f t="shared" si="41"/>
        <v>55.585500000000003</v>
      </c>
      <c r="O212" s="201">
        <f t="shared" si="42"/>
        <v>111.17100000000001</v>
      </c>
      <c r="P212" s="201">
        <f t="shared" si="43"/>
        <v>166.75649999999999</v>
      </c>
      <c r="Q212" s="201">
        <f t="shared" si="30"/>
        <v>222.34200000000001</v>
      </c>
      <c r="R212" s="127" t="s">
        <v>261</v>
      </c>
      <c r="S212" s="127" t="str">
        <f>""</f>
        <v/>
      </c>
      <c r="T212" s="127" t="s">
        <v>262</v>
      </c>
      <c r="U212" s="127" t="s">
        <v>263</v>
      </c>
      <c r="V212" s="127" t="s">
        <v>264</v>
      </c>
      <c r="W212" s="127" t="s">
        <v>265</v>
      </c>
      <c r="X212" s="127" t="s">
        <v>266</v>
      </c>
      <c r="Y212" s="127" t="s">
        <v>562</v>
      </c>
      <c r="Z212" s="127" t="s">
        <v>267</v>
      </c>
      <c r="AA212" s="127" t="str">
        <f>""</f>
        <v/>
      </c>
      <c r="AB212" s="127">
        <v>15</v>
      </c>
      <c r="AC212" s="210">
        <v>0</v>
      </c>
      <c r="AD212" s="210">
        <v>0</v>
      </c>
      <c r="AE212" s="210" t="str">
        <f t="shared" si="45"/>
        <v/>
      </c>
      <c r="AF212" s="210" t="s">
        <v>501</v>
      </c>
      <c r="AG212" s="232">
        <v>43</v>
      </c>
      <c r="AH212" s="127"/>
    </row>
    <row r="213" spans="1:34" ht="15.75" x14ac:dyDescent="0.3">
      <c r="A213" s="127" t="s">
        <v>800</v>
      </c>
      <c r="B213" s="211">
        <v>222.34200000000001</v>
      </c>
      <c r="C213" s="202">
        <v>0</v>
      </c>
      <c r="D213" s="210"/>
      <c r="E213" s="203">
        <v>0</v>
      </c>
      <c r="F213" s="203">
        <v>741.14</v>
      </c>
      <c r="G213" s="238">
        <f t="shared" si="25"/>
        <v>300</v>
      </c>
      <c r="H213" s="210">
        <v>0</v>
      </c>
      <c r="I213" s="210"/>
      <c r="J213" s="210"/>
      <c r="K213" s="210">
        <v>0</v>
      </c>
      <c r="L213" s="127">
        <v>4000</v>
      </c>
      <c r="M213" s="127">
        <v>15</v>
      </c>
      <c r="N213" s="201">
        <f t="shared" si="41"/>
        <v>55.585500000000003</v>
      </c>
      <c r="O213" s="201">
        <f t="shared" si="42"/>
        <v>111.17100000000001</v>
      </c>
      <c r="P213" s="201">
        <f t="shared" si="43"/>
        <v>166.75649999999999</v>
      </c>
      <c r="Q213" s="201">
        <f t="shared" si="30"/>
        <v>222.34200000000001</v>
      </c>
      <c r="R213" s="127" t="s">
        <v>261</v>
      </c>
      <c r="S213" s="127" t="str">
        <f>""</f>
        <v/>
      </c>
      <c r="T213" s="127" t="s">
        <v>262</v>
      </c>
      <c r="U213" s="127" t="s">
        <v>263</v>
      </c>
      <c r="V213" s="127" t="s">
        <v>264</v>
      </c>
      <c r="W213" s="127" t="s">
        <v>265</v>
      </c>
      <c r="X213" s="127" t="s">
        <v>266</v>
      </c>
      <c r="Y213" s="127" t="s">
        <v>562</v>
      </c>
      <c r="Z213" s="127" t="s">
        <v>267</v>
      </c>
      <c r="AA213" s="127" t="str">
        <f>""</f>
        <v/>
      </c>
      <c r="AB213" s="127">
        <v>15</v>
      </c>
      <c r="AC213" s="210">
        <v>0</v>
      </c>
      <c r="AD213" s="210">
        <v>0</v>
      </c>
      <c r="AE213" s="210" t="str">
        <f t="shared" si="45"/>
        <v/>
      </c>
      <c r="AF213" s="210" t="s">
        <v>501</v>
      </c>
      <c r="AG213" s="232">
        <v>43</v>
      </c>
      <c r="AH213" s="127"/>
    </row>
    <row r="214" spans="1:34" ht="15" x14ac:dyDescent="0.25">
      <c r="A214" s="127"/>
      <c r="B214" s="211"/>
      <c r="C214" s="202"/>
      <c r="D214" s="210"/>
      <c r="E214" s="203"/>
      <c r="F214" s="203"/>
      <c r="G214" s="238"/>
      <c r="H214" s="210"/>
      <c r="I214" s="210"/>
      <c r="J214" s="210"/>
      <c r="K214" s="210"/>
      <c r="L214" s="127"/>
      <c r="M214" s="127"/>
      <c r="N214" s="201"/>
      <c r="O214" s="201"/>
      <c r="P214" s="201"/>
      <c r="Q214" s="201"/>
      <c r="R214" s="127"/>
      <c r="S214" s="127"/>
      <c r="T214" s="127"/>
      <c r="U214" s="127"/>
      <c r="V214" s="127"/>
      <c r="W214" s="127"/>
      <c r="X214" s="127"/>
      <c r="Y214" s="127"/>
      <c r="Z214" s="127"/>
      <c r="AA214" s="127"/>
      <c r="AB214" s="127"/>
      <c r="AC214" s="210"/>
      <c r="AD214" s="210"/>
      <c r="AE214" s="210"/>
      <c r="AF214" s="210"/>
      <c r="AG214" s="232"/>
      <c r="AH214" s="127"/>
    </row>
    <row r="215" spans="1:34" ht="15" x14ac:dyDescent="0.25">
      <c r="A215" s="263" t="s">
        <v>785</v>
      </c>
      <c r="B215" s="211"/>
      <c r="C215" s="202"/>
      <c r="D215" s="210"/>
      <c r="E215" s="203"/>
      <c r="F215" s="203"/>
      <c r="G215" s="238"/>
      <c r="H215" s="210"/>
      <c r="I215" s="210"/>
      <c r="J215" s="210"/>
      <c r="K215" s="210"/>
      <c r="L215" s="127"/>
      <c r="M215" s="127"/>
      <c r="N215" s="201"/>
      <c r="O215" s="201"/>
      <c r="P215" s="201"/>
      <c r="Q215" s="201"/>
      <c r="R215" s="127"/>
      <c r="S215" s="127"/>
      <c r="T215" s="127"/>
      <c r="U215" s="127"/>
      <c r="V215" s="127"/>
      <c r="W215" s="127"/>
      <c r="X215" s="127"/>
      <c r="Y215" s="127"/>
      <c r="Z215" s="127"/>
      <c r="AA215" s="127"/>
      <c r="AB215" s="127"/>
      <c r="AC215" s="210"/>
      <c r="AD215" s="210"/>
      <c r="AE215" s="210"/>
      <c r="AF215" s="210"/>
      <c r="AG215" s="232"/>
      <c r="AH215" s="127"/>
    </row>
    <row r="216" spans="1:34" ht="15.75" x14ac:dyDescent="0.3">
      <c r="A216" s="127" t="s">
        <v>1042</v>
      </c>
      <c r="B216" s="211">
        <v>223.65610000000001</v>
      </c>
      <c r="C216" s="202">
        <v>0</v>
      </c>
      <c r="D216" s="210"/>
      <c r="E216" s="203">
        <v>0</v>
      </c>
      <c r="F216" s="203">
        <v>745.95</v>
      </c>
      <c r="G216" s="238">
        <f t="shared" si="25"/>
        <v>299.8272002144916</v>
      </c>
      <c r="H216" s="210">
        <v>0</v>
      </c>
      <c r="I216" s="210"/>
      <c r="J216" s="210"/>
      <c r="K216" s="210">
        <v>0</v>
      </c>
      <c r="L216" s="127">
        <v>8000</v>
      </c>
      <c r="M216" s="127">
        <v>15</v>
      </c>
      <c r="N216" s="201">
        <f t="shared" si="41"/>
        <v>55.946249999999999</v>
      </c>
      <c r="O216" s="201">
        <f t="shared" si="42"/>
        <v>111.8925</v>
      </c>
      <c r="P216" s="201">
        <f t="shared" si="43"/>
        <v>167.83875</v>
      </c>
      <c r="Q216" s="201">
        <f t="shared" si="30"/>
        <v>223.65610000000001</v>
      </c>
      <c r="R216" s="127" t="s">
        <v>261</v>
      </c>
      <c r="S216" s="127" t="str">
        <f>""</f>
        <v/>
      </c>
      <c r="T216" s="127" t="s">
        <v>262</v>
      </c>
      <c r="U216" s="127" t="s">
        <v>263</v>
      </c>
      <c r="V216" s="127" t="s">
        <v>264</v>
      </c>
      <c r="W216" s="127" t="s">
        <v>265</v>
      </c>
      <c r="X216" s="127" t="s">
        <v>266</v>
      </c>
      <c r="Y216" s="127" t="s">
        <v>562</v>
      </c>
      <c r="Z216" s="127" t="s">
        <v>267</v>
      </c>
      <c r="AA216" s="127" t="str">
        <f>""</f>
        <v/>
      </c>
      <c r="AB216" s="127">
        <v>15</v>
      </c>
      <c r="AC216" s="210">
        <v>0</v>
      </c>
      <c r="AD216" s="210">
        <v>0</v>
      </c>
      <c r="AE216" s="210" t="str">
        <f t="shared" si="45"/>
        <v/>
      </c>
      <c r="AF216" s="210" t="s">
        <v>501</v>
      </c>
      <c r="AG216" s="232">
        <v>43</v>
      </c>
      <c r="AH216" s="127"/>
    </row>
    <row r="217" spans="1:34" ht="15.75" x14ac:dyDescent="0.3">
      <c r="A217" s="127" t="s">
        <v>1043</v>
      </c>
      <c r="B217" s="211">
        <v>222.34200000000001</v>
      </c>
      <c r="C217" s="202">
        <v>0</v>
      </c>
      <c r="D217" s="210"/>
      <c r="E217" s="203">
        <v>0</v>
      </c>
      <c r="F217" s="203">
        <v>741.14</v>
      </c>
      <c r="G217" s="238">
        <f t="shared" si="25"/>
        <v>300</v>
      </c>
      <c r="H217" s="210">
        <v>0</v>
      </c>
      <c r="I217" s="210"/>
      <c r="J217" s="210"/>
      <c r="K217" s="210">
        <v>0</v>
      </c>
      <c r="L217" s="127">
        <v>8000</v>
      </c>
      <c r="M217" s="127">
        <v>15</v>
      </c>
      <c r="N217" s="201">
        <f t="shared" si="41"/>
        <v>55.585500000000003</v>
      </c>
      <c r="O217" s="201">
        <f t="shared" si="42"/>
        <v>111.17100000000001</v>
      </c>
      <c r="P217" s="201">
        <f t="shared" si="43"/>
        <v>166.75649999999999</v>
      </c>
      <c r="Q217" s="201">
        <f t="shared" si="30"/>
        <v>222.34200000000001</v>
      </c>
      <c r="R217" s="127" t="s">
        <v>261</v>
      </c>
      <c r="S217" s="127" t="str">
        <f>""</f>
        <v/>
      </c>
      <c r="T217" s="127" t="s">
        <v>262</v>
      </c>
      <c r="U217" s="127" t="s">
        <v>263</v>
      </c>
      <c r="V217" s="127" t="s">
        <v>264</v>
      </c>
      <c r="W217" s="127" t="s">
        <v>265</v>
      </c>
      <c r="X217" s="127" t="s">
        <v>266</v>
      </c>
      <c r="Y217" s="127" t="s">
        <v>562</v>
      </c>
      <c r="Z217" s="127" t="s">
        <v>267</v>
      </c>
      <c r="AA217" s="127" t="str">
        <f>""</f>
        <v/>
      </c>
      <c r="AB217" s="127">
        <v>15</v>
      </c>
      <c r="AC217" s="210">
        <v>0</v>
      </c>
      <c r="AD217" s="210">
        <v>0</v>
      </c>
      <c r="AE217" s="210" t="str">
        <f t="shared" si="45"/>
        <v/>
      </c>
      <c r="AF217" s="210" t="s">
        <v>501</v>
      </c>
      <c r="AG217" s="232">
        <v>43</v>
      </c>
      <c r="AH217" s="127"/>
    </row>
    <row r="218" spans="1:34" ht="15.75" x14ac:dyDescent="0.3">
      <c r="A218" s="127" t="s">
        <v>801</v>
      </c>
      <c r="B218" s="211">
        <v>166.2166</v>
      </c>
      <c r="C218" s="202">
        <v>0</v>
      </c>
      <c r="D218" s="210"/>
      <c r="E218" s="203">
        <v>0</v>
      </c>
      <c r="F218" s="203">
        <v>906.82500000000005</v>
      </c>
      <c r="G218" s="238">
        <f t="shared" si="25"/>
        <v>183.29512309431257</v>
      </c>
      <c r="H218" s="210">
        <v>0</v>
      </c>
      <c r="I218" s="210"/>
      <c r="J218" s="210"/>
      <c r="K218" s="210">
        <v>0</v>
      </c>
      <c r="L218" s="127">
        <v>8000</v>
      </c>
      <c r="M218" s="127">
        <v>15</v>
      </c>
      <c r="N218" s="201">
        <f t="shared" si="41"/>
        <v>68.011875000000003</v>
      </c>
      <c r="O218" s="201">
        <f t="shared" si="42"/>
        <v>136.02375000000001</v>
      </c>
      <c r="P218" s="201">
        <f t="shared" si="43"/>
        <v>166.2166</v>
      </c>
      <c r="Q218" s="201">
        <f t="shared" si="30"/>
        <v>166.2166</v>
      </c>
      <c r="R218" s="127" t="s">
        <v>261</v>
      </c>
      <c r="S218" s="127" t="str">
        <f>""</f>
        <v/>
      </c>
      <c r="T218" s="127" t="s">
        <v>262</v>
      </c>
      <c r="U218" s="127" t="s">
        <v>263</v>
      </c>
      <c r="V218" s="127" t="s">
        <v>264</v>
      </c>
      <c r="W218" s="127" t="s">
        <v>265</v>
      </c>
      <c r="X218" s="127" t="s">
        <v>266</v>
      </c>
      <c r="Y218" s="127" t="s">
        <v>562</v>
      </c>
      <c r="Z218" s="127" t="s">
        <v>267</v>
      </c>
      <c r="AA218" s="127" t="str">
        <f>""</f>
        <v/>
      </c>
      <c r="AB218" s="127">
        <v>15</v>
      </c>
      <c r="AC218" s="210">
        <v>0</v>
      </c>
      <c r="AD218" s="210">
        <v>0</v>
      </c>
      <c r="AE218" s="210" t="str">
        <f t="shared" si="45"/>
        <v/>
      </c>
      <c r="AF218" s="210" t="s">
        <v>501</v>
      </c>
      <c r="AG218" s="232">
        <v>43</v>
      </c>
      <c r="AH218" s="127"/>
    </row>
    <row r="219" spans="1:34" ht="15.75" x14ac:dyDescent="0.3">
      <c r="A219" s="127" t="s">
        <v>802</v>
      </c>
      <c r="B219" s="211">
        <v>212.0737</v>
      </c>
      <c r="C219" s="202">
        <v>0</v>
      </c>
      <c r="D219" s="210"/>
      <c r="E219" s="203">
        <v>0</v>
      </c>
      <c r="F219" s="203">
        <v>902.01499999999999</v>
      </c>
      <c r="G219" s="238">
        <f t="shared" si="25"/>
        <v>235.11105691147046</v>
      </c>
      <c r="H219" s="210">
        <v>0</v>
      </c>
      <c r="I219" s="210"/>
      <c r="J219" s="210"/>
      <c r="K219" s="210">
        <v>0</v>
      </c>
      <c r="L219" s="127">
        <v>8000</v>
      </c>
      <c r="M219" s="127">
        <v>15</v>
      </c>
      <c r="N219" s="201">
        <f t="shared" si="41"/>
        <v>67.651124999999993</v>
      </c>
      <c r="O219" s="201">
        <f t="shared" si="42"/>
        <v>135.30224999999999</v>
      </c>
      <c r="P219" s="201">
        <f t="shared" si="43"/>
        <v>202.95337499999999</v>
      </c>
      <c r="Q219" s="201">
        <f t="shared" si="30"/>
        <v>212.0737</v>
      </c>
      <c r="R219" s="127" t="s">
        <v>261</v>
      </c>
      <c r="S219" s="127" t="str">
        <f>""</f>
        <v/>
      </c>
      <c r="T219" s="127" t="s">
        <v>262</v>
      </c>
      <c r="U219" s="127" t="s">
        <v>263</v>
      </c>
      <c r="V219" s="127" t="s">
        <v>264</v>
      </c>
      <c r="W219" s="127" t="s">
        <v>265</v>
      </c>
      <c r="X219" s="127" t="s">
        <v>266</v>
      </c>
      <c r="Y219" s="127" t="s">
        <v>562</v>
      </c>
      <c r="Z219" s="127" t="s">
        <v>267</v>
      </c>
      <c r="AA219" s="127" t="str">
        <f>""</f>
        <v/>
      </c>
      <c r="AB219" s="127">
        <v>15</v>
      </c>
      <c r="AC219" s="210">
        <v>0</v>
      </c>
      <c r="AD219" s="210">
        <v>0</v>
      </c>
      <c r="AE219" s="210" t="str">
        <f t="shared" si="45"/>
        <v/>
      </c>
      <c r="AF219" s="210" t="s">
        <v>501</v>
      </c>
      <c r="AG219" s="232">
        <v>43</v>
      </c>
      <c r="AH219" s="127"/>
    </row>
    <row r="220" spans="1:34" ht="15.75" x14ac:dyDescent="0.3">
      <c r="A220" s="127" t="s">
        <v>803</v>
      </c>
      <c r="B220" s="211">
        <v>139.708</v>
      </c>
      <c r="C220" s="202">
        <v>0</v>
      </c>
      <c r="D220" s="210"/>
      <c r="E220" s="203">
        <v>0</v>
      </c>
      <c r="F220" s="203">
        <v>912.9</v>
      </c>
      <c r="G220" s="238">
        <f t="shared" si="25"/>
        <v>153.03757257092781</v>
      </c>
      <c r="H220" s="210">
        <v>0</v>
      </c>
      <c r="I220" s="210"/>
      <c r="J220" s="210"/>
      <c r="K220" s="210">
        <v>0</v>
      </c>
      <c r="L220" s="127">
        <v>8000</v>
      </c>
      <c r="M220" s="127">
        <v>15</v>
      </c>
      <c r="N220" s="201">
        <f t="shared" si="41"/>
        <v>68.467500000000001</v>
      </c>
      <c r="O220" s="201">
        <f t="shared" si="42"/>
        <v>136.935</v>
      </c>
      <c r="P220" s="201">
        <f t="shared" si="43"/>
        <v>139.708</v>
      </c>
      <c r="Q220" s="201">
        <f t="shared" si="30"/>
        <v>139.708</v>
      </c>
      <c r="R220" s="127" t="s">
        <v>261</v>
      </c>
      <c r="S220" s="127" t="str">
        <f>""</f>
        <v/>
      </c>
      <c r="T220" s="127" t="s">
        <v>262</v>
      </c>
      <c r="U220" s="127" t="s">
        <v>263</v>
      </c>
      <c r="V220" s="127" t="s">
        <v>264</v>
      </c>
      <c r="W220" s="127" t="s">
        <v>265</v>
      </c>
      <c r="X220" s="127" t="s">
        <v>266</v>
      </c>
      <c r="Y220" s="127" t="s">
        <v>562</v>
      </c>
      <c r="Z220" s="127" t="s">
        <v>267</v>
      </c>
      <c r="AA220" s="127" t="str">
        <f>""</f>
        <v/>
      </c>
      <c r="AB220" s="127">
        <v>15</v>
      </c>
      <c r="AC220" s="210">
        <v>0</v>
      </c>
      <c r="AD220" s="210">
        <v>0</v>
      </c>
      <c r="AE220" s="210" t="str">
        <f t="shared" si="45"/>
        <v/>
      </c>
      <c r="AF220" s="210" t="s">
        <v>501</v>
      </c>
      <c r="AG220" s="232">
        <v>43</v>
      </c>
      <c r="AH220" s="127"/>
    </row>
    <row r="221" spans="1:34" ht="15.75" x14ac:dyDescent="0.3">
      <c r="A221" s="127" t="s">
        <v>804</v>
      </c>
      <c r="B221" s="211">
        <v>190.70060000000001</v>
      </c>
      <c r="C221" s="202">
        <v>0</v>
      </c>
      <c r="D221" s="210"/>
      <c r="E221" s="203">
        <v>0</v>
      </c>
      <c r="F221" s="203">
        <v>908.09</v>
      </c>
      <c r="G221" s="238">
        <f t="shared" si="25"/>
        <v>210.00187206113932</v>
      </c>
      <c r="H221" s="210">
        <v>0</v>
      </c>
      <c r="I221" s="210"/>
      <c r="J221" s="210"/>
      <c r="K221" s="210">
        <v>0</v>
      </c>
      <c r="L221" s="127">
        <v>8000</v>
      </c>
      <c r="M221" s="127">
        <v>15</v>
      </c>
      <c r="N221" s="201">
        <f t="shared" si="41"/>
        <v>68.106750000000005</v>
      </c>
      <c r="O221" s="201">
        <f t="shared" si="42"/>
        <v>136.21350000000001</v>
      </c>
      <c r="P221" s="201">
        <f t="shared" si="43"/>
        <v>190.70060000000001</v>
      </c>
      <c r="Q221" s="201">
        <f t="shared" si="30"/>
        <v>190.70060000000001</v>
      </c>
      <c r="R221" s="127" t="s">
        <v>261</v>
      </c>
      <c r="S221" s="127" t="str">
        <f>""</f>
        <v/>
      </c>
      <c r="T221" s="127" t="s">
        <v>262</v>
      </c>
      <c r="U221" s="127" t="s">
        <v>263</v>
      </c>
      <c r="V221" s="127" t="s">
        <v>264</v>
      </c>
      <c r="W221" s="127" t="s">
        <v>265</v>
      </c>
      <c r="X221" s="127" t="s">
        <v>266</v>
      </c>
      <c r="Y221" s="127" t="s">
        <v>562</v>
      </c>
      <c r="Z221" s="127" t="s">
        <v>267</v>
      </c>
      <c r="AA221" s="127" t="str">
        <f>""</f>
        <v/>
      </c>
      <c r="AB221" s="127">
        <v>15</v>
      </c>
      <c r="AC221" s="210">
        <v>0</v>
      </c>
      <c r="AD221" s="210">
        <v>0</v>
      </c>
      <c r="AE221" s="210" t="str">
        <f t="shared" si="45"/>
        <v/>
      </c>
      <c r="AF221" s="210" t="s">
        <v>501</v>
      </c>
      <c r="AG221" s="232">
        <v>43</v>
      </c>
      <c r="AH221" s="127"/>
    </row>
    <row r="222" spans="1:34" ht="15" x14ac:dyDescent="0.25">
      <c r="A222" s="127"/>
      <c r="B222" s="211"/>
      <c r="C222" s="202"/>
      <c r="D222" s="210"/>
      <c r="E222" s="203"/>
      <c r="F222" s="203"/>
      <c r="G222" s="238"/>
      <c r="H222" s="210"/>
      <c r="I222" s="210"/>
      <c r="J222" s="210"/>
      <c r="K222" s="210"/>
      <c r="L222" s="127"/>
      <c r="M222" s="127"/>
      <c r="N222" s="201"/>
      <c r="O222" s="201"/>
      <c r="P222" s="201"/>
      <c r="Q222" s="201"/>
      <c r="R222" s="127"/>
      <c r="S222" s="127"/>
      <c r="T222" s="127"/>
      <c r="U222" s="127"/>
      <c r="V222" s="127"/>
      <c r="W222" s="127"/>
      <c r="X222" s="127"/>
      <c r="Y222" s="127"/>
      <c r="Z222" s="127"/>
      <c r="AA222" s="127"/>
      <c r="AB222" s="127"/>
      <c r="AC222" s="210"/>
      <c r="AD222" s="210"/>
      <c r="AE222" s="210"/>
      <c r="AF222" s="210"/>
      <c r="AG222" s="232"/>
      <c r="AH222" s="127"/>
    </row>
    <row r="223" spans="1:34" ht="15" x14ac:dyDescent="0.25">
      <c r="A223" s="263" t="s">
        <v>786</v>
      </c>
      <c r="B223" s="211"/>
      <c r="C223" s="202"/>
      <c r="D223" s="210"/>
      <c r="E223" s="203"/>
      <c r="F223" s="203"/>
      <c r="G223" s="238"/>
      <c r="H223" s="210"/>
      <c r="I223" s="210"/>
      <c r="J223" s="210"/>
      <c r="K223" s="210"/>
      <c r="L223" s="127"/>
      <c r="M223" s="127"/>
      <c r="N223" s="201"/>
      <c r="O223" s="201"/>
      <c r="P223" s="201"/>
      <c r="Q223" s="201"/>
      <c r="R223" s="127"/>
      <c r="S223" s="127"/>
      <c r="T223" s="127"/>
      <c r="U223" s="127"/>
      <c r="V223" s="127"/>
      <c r="W223" s="127"/>
      <c r="X223" s="127"/>
      <c r="Y223" s="127"/>
      <c r="Z223" s="127"/>
      <c r="AA223" s="127"/>
      <c r="AB223" s="127"/>
      <c r="AC223" s="210"/>
      <c r="AD223" s="210"/>
      <c r="AE223" s="210"/>
      <c r="AF223" s="210"/>
      <c r="AG223" s="232"/>
      <c r="AH223" s="127"/>
    </row>
    <row r="224" spans="1:34" ht="15.75" x14ac:dyDescent="0.3">
      <c r="A224" s="127" t="s">
        <v>805</v>
      </c>
      <c r="B224" s="211">
        <v>223.785</v>
      </c>
      <c r="C224" s="202">
        <v>0</v>
      </c>
      <c r="D224" s="210"/>
      <c r="E224" s="203">
        <v>0</v>
      </c>
      <c r="F224" s="203">
        <v>745.95</v>
      </c>
      <c r="G224" s="238">
        <f t="shared" si="25"/>
        <v>300</v>
      </c>
      <c r="H224" s="210">
        <v>0</v>
      </c>
      <c r="I224" s="210"/>
      <c r="J224" s="210"/>
      <c r="K224" s="210">
        <v>0</v>
      </c>
      <c r="L224" s="127">
        <v>4000</v>
      </c>
      <c r="M224" s="127">
        <v>15</v>
      </c>
      <c r="N224" s="201">
        <f t="shared" si="41"/>
        <v>55.946249999999999</v>
      </c>
      <c r="O224" s="201">
        <f t="shared" si="42"/>
        <v>111.8925</v>
      </c>
      <c r="P224" s="201">
        <f t="shared" si="43"/>
        <v>167.83875</v>
      </c>
      <c r="Q224" s="201">
        <f t="shared" si="30"/>
        <v>223.785</v>
      </c>
      <c r="R224" s="127" t="s">
        <v>261</v>
      </c>
      <c r="S224" s="127" t="str">
        <f>""</f>
        <v/>
      </c>
      <c r="T224" s="127" t="s">
        <v>262</v>
      </c>
      <c r="U224" s="127" t="s">
        <v>263</v>
      </c>
      <c r="V224" s="127" t="s">
        <v>264</v>
      </c>
      <c r="W224" s="127" t="s">
        <v>265</v>
      </c>
      <c r="X224" s="127" t="s">
        <v>266</v>
      </c>
      <c r="Y224" s="127" t="s">
        <v>562</v>
      </c>
      <c r="Z224" s="127" t="s">
        <v>267</v>
      </c>
      <c r="AA224" s="127" t="str">
        <f>""</f>
        <v/>
      </c>
      <c r="AB224" s="127">
        <v>15</v>
      </c>
      <c r="AC224" s="210">
        <v>0</v>
      </c>
      <c r="AD224" s="210">
        <f>PBL_OT_2025!$F$25/POWER(1.02,7)</f>
        <v>39.465231881460539</v>
      </c>
      <c r="AE224" s="210" t="str">
        <f>IF(AD224&lt;B224,"",FALSE)</f>
        <v/>
      </c>
      <c r="AF224" s="210" t="s">
        <v>605</v>
      </c>
      <c r="AG224" s="232">
        <v>32</v>
      </c>
      <c r="AH224" s="127"/>
    </row>
    <row r="225" spans="1:34" ht="15.75" x14ac:dyDescent="0.3">
      <c r="A225" s="127" t="s">
        <v>806</v>
      </c>
      <c r="B225" s="211">
        <v>222.34200000000001</v>
      </c>
      <c r="C225" s="202">
        <v>0</v>
      </c>
      <c r="D225" s="210"/>
      <c r="E225" s="203">
        <v>0</v>
      </c>
      <c r="F225" s="203">
        <v>741.14</v>
      </c>
      <c r="G225" s="238">
        <f t="shared" si="25"/>
        <v>300</v>
      </c>
      <c r="H225" s="210">
        <v>0</v>
      </c>
      <c r="I225" s="210"/>
      <c r="J225" s="210"/>
      <c r="K225" s="210">
        <v>0</v>
      </c>
      <c r="L225" s="127">
        <v>4000</v>
      </c>
      <c r="M225" s="127">
        <v>15</v>
      </c>
      <c r="N225" s="201">
        <f t="shared" si="41"/>
        <v>55.585500000000003</v>
      </c>
      <c r="O225" s="201">
        <f t="shared" si="42"/>
        <v>111.17100000000001</v>
      </c>
      <c r="P225" s="201">
        <f t="shared" si="43"/>
        <v>166.75649999999999</v>
      </c>
      <c r="Q225" s="201">
        <f t="shared" si="30"/>
        <v>222.34200000000001</v>
      </c>
      <c r="R225" s="127" t="s">
        <v>261</v>
      </c>
      <c r="S225" s="127" t="str">
        <f>""</f>
        <v/>
      </c>
      <c r="T225" s="127" t="s">
        <v>262</v>
      </c>
      <c r="U225" s="127" t="s">
        <v>263</v>
      </c>
      <c r="V225" s="127" t="s">
        <v>264</v>
      </c>
      <c r="W225" s="127" t="s">
        <v>265</v>
      </c>
      <c r="X225" s="127" t="s">
        <v>266</v>
      </c>
      <c r="Y225" s="127" t="s">
        <v>562</v>
      </c>
      <c r="Z225" s="127" t="s">
        <v>267</v>
      </c>
      <c r="AA225" s="127" t="str">
        <f>""</f>
        <v/>
      </c>
      <c r="AB225" s="127">
        <v>15</v>
      </c>
      <c r="AC225" s="210">
        <v>0</v>
      </c>
      <c r="AD225" s="210">
        <f>PBL_OT_2025!$F$25/POWER(1.02,7)</f>
        <v>39.465231881460539</v>
      </c>
      <c r="AE225" s="210" t="str">
        <f>IF(AD225&lt;B225,"",FALSE)</f>
        <v/>
      </c>
      <c r="AF225" s="210" t="s">
        <v>605</v>
      </c>
      <c r="AG225" s="232">
        <v>32</v>
      </c>
      <c r="AH225" s="127"/>
    </row>
    <row r="226" spans="1:34" ht="15.75" x14ac:dyDescent="0.3">
      <c r="A226" s="127" t="s">
        <v>807</v>
      </c>
      <c r="B226" s="211">
        <v>222.34200000000001</v>
      </c>
      <c r="C226" s="202">
        <v>0</v>
      </c>
      <c r="D226" s="210"/>
      <c r="E226" s="203">
        <v>0</v>
      </c>
      <c r="F226" s="203">
        <v>741.14</v>
      </c>
      <c r="G226" s="238">
        <f t="shared" si="25"/>
        <v>300</v>
      </c>
      <c r="H226" s="210">
        <v>0</v>
      </c>
      <c r="I226" s="210"/>
      <c r="J226" s="210"/>
      <c r="K226" s="210">
        <v>0</v>
      </c>
      <c r="L226" s="127">
        <v>4000</v>
      </c>
      <c r="M226" s="127">
        <v>15</v>
      </c>
      <c r="N226" s="201">
        <f t="shared" si="41"/>
        <v>55.585500000000003</v>
      </c>
      <c r="O226" s="201">
        <f t="shared" si="42"/>
        <v>111.17100000000001</v>
      </c>
      <c r="P226" s="201">
        <f t="shared" si="43"/>
        <v>166.75649999999999</v>
      </c>
      <c r="Q226" s="201">
        <f t="shared" si="30"/>
        <v>222.34200000000001</v>
      </c>
      <c r="R226" s="127" t="s">
        <v>261</v>
      </c>
      <c r="S226" s="127" t="str">
        <f>""</f>
        <v/>
      </c>
      <c r="T226" s="127" t="s">
        <v>262</v>
      </c>
      <c r="U226" s="127" t="s">
        <v>263</v>
      </c>
      <c r="V226" s="127" t="s">
        <v>264</v>
      </c>
      <c r="W226" s="127" t="s">
        <v>265</v>
      </c>
      <c r="X226" s="127" t="s">
        <v>266</v>
      </c>
      <c r="Y226" s="127" t="s">
        <v>562</v>
      </c>
      <c r="Z226" s="127" t="s">
        <v>267</v>
      </c>
      <c r="AA226" s="127" t="str">
        <f>""</f>
        <v/>
      </c>
      <c r="AB226" s="127">
        <v>15</v>
      </c>
      <c r="AC226" s="210">
        <v>0</v>
      </c>
      <c r="AD226" s="210">
        <f>PBL_OT_2025!$F$25/POWER(1.02,7)</f>
        <v>39.465231881460539</v>
      </c>
      <c r="AE226" s="210" t="str">
        <f>IF(AD226&lt;B226,"",FALSE)</f>
        <v/>
      </c>
      <c r="AF226" s="210" t="s">
        <v>605</v>
      </c>
      <c r="AG226" s="232">
        <v>32</v>
      </c>
      <c r="AH226" s="127"/>
    </row>
    <row r="227" spans="1:34" ht="15" x14ac:dyDescent="0.25">
      <c r="A227" s="127"/>
      <c r="B227" s="211"/>
      <c r="C227" s="202"/>
      <c r="D227" s="210"/>
      <c r="E227" s="203"/>
      <c r="F227" s="203"/>
      <c r="G227" s="238"/>
      <c r="H227" s="210"/>
      <c r="I227" s="210"/>
      <c r="J227" s="210"/>
      <c r="K227" s="210"/>
      <c r="L227" s="127"/>
      <c r="M227" s="127"/>
      <c r="N227" s="201"/>
      <c r="O227" s="201"/>
      <c r="P227" s="201"/>
      <c r="Q227" s="201"/>
      <c r="R227" s="127"/>
      <c r="S227" s="127"/>
      <c r="T227" s="127"/>
      <c r="U227" s="127"/>
      <c r="V227" s="127"/>
      <c r="W227" s="127"/>
      <c r="X227" s="127"/>
      <c r="Y227" s="127"/>
      <c r="Z227" s="127"/>
      <c r="AA227" s="127"/>
      <c r="AB227" s="127"/>
      <c r="AC227" s="210"/>
      <c r="AD227" s="210"/>
      <c r="AE227" s="210"/>
      <c r="AF227" s="210"/>
      <c r="AG227" s="232"/>
      <c r="AH227" s="127"/>
    </row>
    <row r="228" spans="1:34" ht="15" x14ac:dyDescent="0.25">
      <c r="A228" s="263" t="s">
        <v>998</v>
      </c>
      <c r="B228" s="211"/>
      <c r="C228" s="202"/>
      <c r="D228" s="210"/>
      <c r="E228" s="203"/>
      <c r="F228" s="203"/>
      <c r="G228" s="238"/>
      <c r="H228" s="210"/>
      <c r="I228" s="210"/>
      <c r="J228" s="210"/>
      <c r="K228" s="210"/>
      <c r="L228" s="127"/>
      <c r="M228" s="127"/>
      <c r="N228" s="201"/>
      <c r="O228" s="201"/>
      <c r="P228" s="201"/>
      <c r="Q228" s="201"/>
      <c r="R228" s="127"/>
      <c r="S228" s="127"/>
      <c r="T228" s="127"/>
      <c r="U228" s="127"/>
      <c r="V228" s="127"/>
      <c r="W228" s="127"/>
      <c r="X228" s="127"/>
      <c r="Y228" s="127"/>
      <c r="Z228" s="127"/>
      <c r="AA228" s="127"/>
      <c r="AB228" s="127"/>
      <c r="AC228" s="210"/>
      <c r="AD228" s="210"/>
      <c r="AE228" s="210"/>
      <c r="AF228" s="210"/>
      <c r="AG228" s="232"/>
      <c r="AH228" s="127"/>
    </row>
    <row r="229" spans="1:34" ht="15.75" x14ac:dyDescent="0.3">
      <c r="A229" s="127" t="s">
        <v>808</v>
      </c>
      <c r="B229" s="211">
        <v>223.65610000000001</v>
      </c>
      <c r="C229" s="202">
        <v>0</v>
      </c>
      <c r="D229" s="210"/>
      <c r="E229" s="203">
        <v>0</v>
      </c>
      <c r="F229" s="203">
        <v>745.95</v>
      </c>
      <c r="G229" s="238">
        <f t="shared" si="25"/>
        <v>299.8272002144916</v>
      </c>
      <c r="H229" s="210">
        <v>0</v>
      </c>
      <c r="I229" s="210"/>
      <c r="J229" s="210"/>
      <c r="K229" s="210">
        <v>0</v>
      </c>
      <c r="L229" s="127">
        <v>8000</v>
      </c>
      <c r="M229" s="127">
        <v>15</v>
      </c>
      <c r="N229" s="201">
        <f t="shared" si="41"/>
        <v>55.946249999999999</v>
      </c>
      <c r="O229" s="201">
        <f t="shared" si="42"/>
        <v>111.8925</v>
      </c>
      <c r="P229" s="201">
        <f t="shared" si="43"/>
        <v>167.83875</v>
      </c>
      <c r="Q229" s="201">
        <f t="shared" si="30"/>
        <v>223.65610000000001</v>
      </c>
      <c r="R229" s="127" t="s">
        <v>261</v>
      </c>
      <c r="S229" s="127" t="str">
        <f>""</f>
        <v/>
      </c>
      <c r="T229" s="127" t="s">
        <v>262</v>
      </c>
      <c r="U229" s="127" t="s">
        <v>263</v>
      </c>
      <c r="V229" s="127" t="s">
        <v>264</v>
      </c>
      <c r="W229" s="127" t="s">
        <v>265</v>
      </c>
      <c r="X229" s="127" t="s">
        <v>266</v>
      </c>
      <c r="Y229" s="127" t="s">
        <v>562</v>
      </c>
      <c r="Z229" s="127" t="s">
        <v>267</v>
      </c>
      <c r="AA229" s="127" t="str">
        <f>""</f>
        <v/>
      </c>
      <c r="AB229" s="127">
        <v>15</v>
      </c>
      <c r="AC229" s="210">
        <v>0</v>
      </c>
      <c r="AD229" s="210">
        <f>PBL_OT_2025!$F$25/POWER(1.02,7)</f>
        <v>39.465231881460539</v>
      </c>
      <c r="AE229" s="210" t="str">
        <f t="shared" si="45"/>
        <v/>
      </c>
      <c r="AF229" s="210" t="s">
        <v>605</v>
      </c>
      <c r="AG229" s="232">
        <v>32</v>
      </c>
      <c r="AH229" s="127"/>
    </row>
    <row r="230" spans="1:34" ht="15.75" x14ac:dyDescent="0.3">
      <c r="A230" s="127" t="s">
        <v>809</v>
      </c>
      <c r="B230" s="211">
        <v>222.34200000000001</v>
      </c>
      <c r="C230" s="202">
        <v>0</v>
      </c>
      <c r="D230" s="210"/>
      <c r="E230" s="203">
        <v>0</v>
      </c>
      <c r="F230" s="203">
        <v>741.14</v>
      </c>
      <c r="G230" s="238">
        <f t="shared" si="25"/>
        <v>300</v>
      </c>
      <c r="H230" s="210">
        <v>0</v>
      </c>
      <c r="I230" s="210"/>
      <c r="J230" s="210"/>
      <c r="K230" s="210">
        <v>0</v>
      </c>
      <c r="L230" s="127">
        <v>8000</v>
      </c>
      <c r="M230" s="127">
        <v>15</v>
      </c>
      <c r="N230" s="201">
        <f t="shared" si="41"/>
        <v>55.585500000000003</v>
      </c>
      <c r="O230" s="201">
        <f t="shared" si="42"/>
        <v>111.17100000000001</v>
      </c>
      <c r="P230" s="201">
        <f t="shared" si="43"/>
        <v>166.75649999999999</v>
      </c>
      <c r="Q230" s="201">
        <f t="shared" si="30"/>
        <v>222.34200000000001</v>
      </c>
      <c r="R230" s="127" t="s">
        <v>261</v>
      </c>
      <c r="S230" s="127" t="str">
        <f>""</f>
        <v/>
      </c>
      <c r="T230" s="127" t="s">
        <v>262</v>
      </c>
      <c r="U230" s="127" t="s">
        <v>263</v>
      </c>
      <c r="V230" s="127" t="s">
        <v>264</v>
      </c>
      <c r="W230" s="127" t="s">
        <v>265</v>
      </c>
      <c r="X230" s="127" t="s">
        <v>266</v>
      </c>
      <c r="Y230" s="127" t="s">
        <v>562</v>
      </c>
      <c r="Z230" s="127" t="s">
        <v>267</v>
      </c>
      <c r="AA230" s="127" t="str">
        <f>""</f>
        <v/>
      </c>
      <c r="AB230" s="127">
        <v>15</v>
      </c>
      <c r="AC230" s="210">
        <v>0</v>
      </c>
      <c r="AD230" s="210">
        <f>PBL_OT_2025!$F$25/POWER(1.02,7)</f>
        <v>39.465231881460539</v>
      </c>
      <c r="AE230" s="210" t="str">
        <f t="shared" si="45"/>
        <v/>
      </c>
      <c r="AF230" s="210" t="s">
        <v>605</v>
      </c>
      <c r="AG230" s="232">
        <v>32</v>
      </c>
      <c r="AH230" s="127"/>
    </row>
    <row r="231" spans="1:34" ht="15" x14ac:dyDescent="0.25">
      <c r="A231" s="127"/>
      <c r="B231" s="211"/>
      <c r="C231" s="202"/>
      <c r="D231" s="210"/>
      <c r="E231" s="203"/>
      <c r="F231" s="203"/>
      <c r="G231" s="238"/>
      <c r="H231" s="210"/>
      <c r="I231" s="210"/>
      <c r="J231" s="210"/>
      <c r="K231" s="210"/>
      <c r="L231" s="127"/>
      <c r="M231" s="127"/>
      <c r="N231" s="201"/>
      <c r="O231" s="201"/>
      <c r="P231" s="201"/>
      <c r="Q231" s="201"/>
      <c r="R231" s="127"/>
      <c r="S231" s="127"/>
      <c r="T231" s="127"/>
      <c r="U231" s="127"/>
      <c r="V231" s="127"/>
      <c r="W231" s="127"/>
      <c r="X231" s="127"/>
      <c r="Y231" s="127"/>
      <c r="Z231" s="127"/>
      <c r="AA231" s="127"/>
      <c r="AB231" s="127"/>
      <c r="AC231" s="210"/>
      <c r="AD231" s="210"/>
      <c r="AE231" s="210"/>
      <c r="AF231" s="210"/>
      <c r="AG231" s="232"/>
      <c r="AH231" s="127"/>
    </row>
    <row r="232" spans="1:34" ht="15" x14ac:dyDescent="0.25">
      <c r="A232" s="263" t="s">
        <v>787</v>
      </c>
      <c r="B232" s="211"/>
      <c r="C232" s="202"/>
      <c r="D232" s="210"/>
      <c r="E232" s="203"/>
      <c r="F232" s="203"/>
      <c r="G232" s="238"/>
      <c r="H232" s="210"/>
      <c r="I232" s="210"/>
      <c r="J232" s="210"/>
      <c r="K232" s="210"/>
      <c r="L232" s="127"/>
      <c r="M232" s="127"/>
      <c r="N232" s="201"/>
      <c r="O232" s="201"/>
      <c r="P232" s="201"/>
      <c r="Q232" s="201"/>
      <c r="R232" s="127"/>
      <c r="S232" s="127"/>
      <c r="T232" s="127"/>
      <c r="U232" s="127"/>
      <c r="V232" s="127"/>
      <c r="W232" s="127"/>
      <c r="X232" s="127"/>
      <c r="Y232" s="127"/>
      <c r="Z232" s="127"/>
      <c r="AA232" s="127"/>
      <c r="AB232" s="127"/>
      <c r="AC232" s="210"/>
      <c r="AD232" s="210"/>
      <c r="AE232" s="210"/>
      <c r="AF232" s="210"/>
      <c r="AG232" s="232"/>
      <c r="AH232" s="127"/>
    </row>
    <row r="233" spans="1:34" ht="15.75" x14ac:dyDescent="0.3">
      <c r="A233" s="127" t="s">
        <v>810</v>
      </c>
      <c r="B233" s="211">
        <v>260.83089999999999</v>
      </c>
      <c r="C233" s="202">
        <v>83.950299999999999</v>
      </c>
      <c r="D233" s="210"/>
      <c r="E233" s="203">
        <v>125.9254</v>
      </c>
      <c r="F233" s="203">
        <v>745.95</v>
      </c>
      <c r="G233" s="238">
        <f t="shared" si="25"/>
        <v>180.85059320329779</v>
      </c>
      <c r="H233" s="210">
        <v>0</v>
      </c>
      <c r="I233" s="210"/>
      <c r="J233" s="210"/>
      <c r="K233" s="210">
        <v>83.950299999999999</v>
      </c>
      <c r="L233" s="127">
        <v>4000</v>
      </c>
      <c r="M233" s="127">
        <v>15</v>
      </c>
      <c r="N233" s="201">
        <f t="shared" si="41"/>
        <v>181.87164999999999</v>
      </c>
      <c r="O233" s="201">
        <f t="shared" si="42"/>
        <v>237.81790000000001</v>
      </c>
      <c r="P233" s="201">
        <f t="shared" si="43"/>
        <v>260.83089999999999</v>
      </c>
      <c r="Q233" s="201">
        <f t="shared" si="30"/>
        <v>260.83089999999999</v>
      </c>
      <c r="R233" s="127" t="s">
        <v>261</v>
      </c>
      <c r="S233" s="127" t="str">
        <f>""</f>
        <v/>
      </c>
      <c r="T233" s="127" t="s">
        <v>262</v>
      </c>
      <c r="U233" s="127" t="s">
        <v>263</v>
      </c>
      <c r="V233" s="127" t="s">
        <v>264</v>
      </c>
      <c r="W233" s="127" t="s">
        <v>265</v>
      </c>
      <c r="X233" s="127" t="s">
        <v>266</v>
      </c>
      <c r="Y233" s="127" t="s">
        <v>562</v>
      </c>
      <c r="Z233" s="127" t="s">
        <v>267</v>
      </c>
      <c r="AA233" s="127" t="str">
        <f>""</f>
        <v/>
      </c>
      <c r="AB233" s="127">
        <v>15</v>
      </c>
      <c r="AC233" s="210">
        <v>0</v>
      </c>
      <c r="AD233" s="210">
        <f>PBL_OT_2025!$F$24/POWER(1.02,7)</f>
        <v>109.62564411516817</v>
      </c>
      <c r="AE233" s="210" t="str">
        <f>IF(AD233&lt;B233,"",FALSE)</f>
        <v/>
      </c>
      <c r="AF233" s="370" t="s">
        <v>470</v>
      </c>
      <c r="AG233" s="232">
        <v>31</v>
      </c>
      <c r="AH233" s="127"/>
    </row>
    <row r="234" spans="1:34" ht="15.75" x14ac:dyDescent="0.3">
      <c r="A234" s="127" t="s">
        <v>811</v>
      </c>
      <c r="B234" s="211">
        <v>348.26740000000001</v>
      </c>
      <c r="C234" s="202">
        <v>83.950299999999999</v>
      </c>
      <c r="D234" s="210"/>
      <c r="E234" s="203">
        <v>125.9254</v>
      </c>
      <c r="F234" s="203">
        <v>741.14</v>
      </c>
      <c r="G234" s="238">
        <f t="shared" si="25"/>
        <v>300</v>
      </c>
      <c r="H234" s="210">
        <v>0</v>
      </c>
      <c r="I234" s="210"/>
      <c r="J234" s="210"/>
      <c r="K234" s="210">
        <v>83.950299999999999</v>
      </c>
      <c r="L234" s="127">
        <v>4000</v>
      </c>
      <c r="M234" s="127">
        <v>15</v>
      </c>
      <c r="N234" s="201">
        <f t="shared" si="41"/>
        <v>181.51089999999999</v>
      </c>
      <c r="O234" s="201">
        <f t="shared" si="42"/>
        <v>237.09640000000002</v>
      </c>
      <c r="P234" s="201">
        <f t="shared" si="43"/>
        <v>292.68189999999998</v>
      </c>
      <c r="Q234" s="201">
        <f t="shared" si="30"/>
        <v>348.26740000000001</v>
      </c>
      <c r="R234" s="127" t="s">
        <v>261</v>
      </c>
      <c r="S234" s="127" t="str">
        <f>""</f>
        <v/>
      </c>
      <c r="T234" s="127" t="s">
        <v>262</v>
      </c>
      <c r="U234" s="127" t="s">
        <v>263</v>
      </c>
      <c r="V234" s="127" t="s">
        <v>264</v>
      </c>
      <c r="W234" s="127" t="s">
        <v>265</v>
      </c>
      <c r="X234" s="127" t="s">
        <v>266</v>
      </c>
      <c r="Y234" s="127" t="s">
        <v>562</v>
      </c>
      <c r="Z234" s="127" t="s">
        <v>267</v>
      </c>
      <c r="AA234" s="127" t="str">
        <f>""</f>
        <v/>
      </c>
      <c r="AB234" s="127">
        <v>15</v>
      </c>
      <c r="AC234" s="210">
        <v>0</v>
      </c>
      <c r="AD234" s="210">
        <f>PBL_OT_2025!$F$24/POWER(1.02,7)</f>
        <v>109.62564411516817</v>
      </c>
      <c r="AE234" s="210" t="str">
        <f>IF(AD234&lt;B234,"",FALSE)</f>
        <v/>
      </c>
      <c r="AF234" s="370" t="s">
        <v>470</v>
      </c>
      <c r="AG234" s="232">
        <v>31</v>
      </c>
      <c r="AH234" s="127"/>
    </row>
    <row r="235" spans="1:34" ht="15.75" x14ac:dyDescent="0.3">
      <c r="A235" s="127" t="s">
        <v>812</v>
      </c>
      <c r="B235" s="211">
        <v>302.81369999999998</v>
      </c>
      <c r="C235" s="202">
        <v>83.950299999999999</v>
      </c>
      <c r="D235" s="210"/>
      <c r="E235" s="203">
        <v>125.9254</v>
      </c>
      <c r="F235" s="203">
        <v>741.14</v>
      </c>
      <c r="G235" s="238">
        <f t="shared" si="25"/>
        <v>238.67056156731522</v>
      </c>
      <c r="H235" s="210">
        <v>0</v>
      </c>
      <c r="I235" s="210"/>
      <c r="J235" s="210"/>
      <c r="K235" s="210">
        <v>83.950299999999999</v>
      </c>
      <c r="L235" s="127">
        <v>4000</v>
      </c>
      <c r="M235" s="127">
        <v>15</v>
      </c>
      <c r="N235" s="201">
        <f t="shared" si="41"/>
        <v>181.51089999999999</v>
      </c>
      <c r="O235" s="201">
        <f t="shared" si="42"/>
        <v>237.09640000000002</v>
      </c>
      <c r="P235" s="201">
        <f t="shared" si="43"/>
        <v>292.68189999999998</v>
      </c>
      <c r="Q235" s="201">
        <f t="shared" si="30"/>
        <v>302.81369999999998</v>
      </c>
      <c r="R235" s="127" t="s">
        <v>261</v>
      </c>
      <c r="S235" s="127" t="str">
        <f>""</f>
        <v/>
      </c>
      <c r="T235" s="127" t="s">
        <v>262</v>
      </c>
      <c r="U235" s="127" t="s">
        <v>263</v>
      </c>
      <c r="V235" s="127" t="s">
        <v>264</v>
      </c>
      <c r="W235" s="127" t="s">
        <v>265</v>
      </c>
      <c r="X235" s="127" t="s">
        <v>266</v>
      </c>
      <c r="Y235" s="127" t="s">
        <v>562</v>
      </c>
      <c r="Z235" s="127" t="s">
        <v>267</v>
      </c>
      <c r="AA235" s="127" t="str">
        <f>""</f>
        <v/>
      </c>
      <c r="AB235" s="127">
        <v>15</v>
      </c>
      <c r="AC235" s="210">
        <v>0</v>
      </c>
      <c r="AD235" s="210">
        <f>PBL_OT_2025!$F$24/POWER(1.02,7)</f>
        <v>109.62564411516817</v>
      </c>
      <c r="AE235" s="210" t="str">
        <f>IF(AD235&lt;B235,"",FALSE)</f>
        <v/>
      </c>
      <c r="AF235" s="370" t="s">
        <v>470</v>
      </c>
      <c r="AG235" s="232">
        <v>31</v>
      </c>
      <c r="AH235" s="127"/>
    </row>
    <row r="236" spans="1:34" ht="15" x14ac:dyDescent="0.25">
      <c r="A236" s="127"/>
      <c r="B236" s="211"/>
      <c r="C236" s="202"/>
      <c r="D236" s="210"/>
      <c r="E236" s="203"/>
      <c r="F236" s="203"/>
      <c r="G236" s="238"/>
      <c r="H236" s="210"/>
      <c r="I236" s="210"/>
      <c r="J236" s="210"/>
      <c r="K236" s="210"/>
      <c r="L236" s="127"/>
      <c r="M236" s="127"/>
      <c r="N236" s="201"/>
      <c r="O236" s="201"/>
      <c r="P236" s="201"/>
      <c r="Q236" s="201"/>
      <c r="R236" s="127"/>
      <c r="S236" s="127"/>
      <c r="T236" s="127"/>
      <c r="U236" s="127"/>
      <c r="V236" s="127"/>
      <c r="W236" s="127"/>
      <c r="X236" s="127"/>
      <c r="Y236" s="127"/>
      <c r="Z236" s="127"/>
      <c r="AA236" s="127"/>
      <c r="AB236" s="127"/>
      <c r="AC236" s="210"/>
      <c r="AD236" s="210"/>
      <c r="AE236" s="210"/>
      <c r="AF236" s="370"/>
      <c r="AG236" s="232"/>
      <c r="AH236" s="127"/>
    </row>
    <row r="237" spans="1:34" ht="15" x14ac:dyDescent="0.25">
      <c r="A237" s="263" t="s">
        <v>999</v>
      </c>
      <c r="B237" s="211"/>
      <c r="C237" s="202"/>
      <c r="D237" s="210"/>
      <c r="E237" s="203"/>
      <c r="F237" s="203"/>
      <c r="G237" s="238"/>
      <c r="H237" s="210"/>
      <c r="I237" s="210"/>
      <c r="J237" s="210"/>
      <c r="K237" s="210"/>
      <c r="L237" s="127"/>
      <c r="M237" s="127"/>
      <c r="N237" s="201"/>
      <c r="O237" s="201"/>
      <c r="P237" s="201"/>
      <c r="Q237" s="201"/>
      <c r="R237" s="127"/>
      <c r="S237" s="127"/>
      <c r="T237" s="127"/>
      <c r="U237" s="127"/>
      <c r="V237" s="127"/>
      <c r="W237" s="127"/>
      <c r="X237" s="127"/>
      <c r="Y237" s="127"/>
      <c r="Z237" s="127"/>
      <c r="AA237" s="127"/>
      <c r="AB237" s="127"/>
      <c r="AC237" s="210"/>
      <c r="AD237" s="210"/>
      <c r="AE237" s="210"/>
      <c r="AF237" s="370"/>
      <c r="AG237" s="232"/>
      <c r="AH237" s="127"/>
    </row>
    <row r="238" spans="1:34" ht="15.75" x14ac:dyDescent="0.3">
      <c r="A238" s="127" t="s">
        <v>813</v>
      </c>
      <c r="B238" s="211">
        <v>134.01820000000001</v>
      </c>
      <c r="C238" s="202">
        <v>83.950299999999999</v>
      </c>
      <c r="D238" s="210"/>
      <c r="E238" s="203">
        <v>125.9254</v>
      </c>
      <c r="F238" s="203">
        <v>906.82500000000005</v>
      </c>
      <c r="G238" s="238">
        <f t="shared" si="25"/>
        <v>8.9243238772640918</v>
      </c>
      <c r="H238" s="210">
        <v>0</v>
      </c>
      <c r="I238" s="210"/>
      <c r="J238" s="210"/>
      <c r="K238" s="210">
        <v>83.950299999999999</v>
      </c>
      <c r="L238" s="127">
        <v>8000</v>
      </c>
      <c r="M238" s="127">
        <v>15</v>
      </c>
      <c r="N238" s="201">
        <f t="shared" si="41"/>
        <v>134.01820000000001</v>
      </c>
      <c r="O238" s="201">
        <f t="shared" si="42"/>
        <v>134.01820000000001</v>
      </c>
      <c r="P238" s="201">
        <f t="shared" si="43"/>
        <v>134.01820000000001</v>
      </c>
      <c r="Q238" s="201">
        <f t="shared" si="30"/>
        <v>134.01820000000001</v>
      </c>
      <c r="R238" s="127" t="s">
        <v>261</v>
      </c>
      <c r="S238" s="127" t="str">
        <f>""</f>
        <v/>
      </c>
      <c r="T238" s="127" t="s">
        <v>262</v>
      </c>
      <c r="U238" s="127" t="s">
        <v>263</v>
      </c>
      <c r="V238" s="127" t="s">
        <v>264</v>
      </c>
      <c r="W238" s="127" t="s">
        <v>265</v>
      </c>
      <c r="X238" s="127" t="s">
        <v>266</v>
      </c>
      <c r="Y238" s="127" t="s">
        <v>562</v>
      </c>
      <c r="Z238" s="127" t="s">
        <v>267</v>
      </c>
      <c r="AA238" s="127" t="str">
        <f>""</f>
        <v/>
      </c>
      <c r="AB238" s="127">
        <v>15</v>
      </c>
      <c r="AC238" s="210">
        <v>0</v>
      </c>
      <c r="AD238" s="210">
        <f>PBL_OT_2025!$F$24/POWER(1.02,7)</f>
        <v>109.62564411516817</v>
      </c>
      <c r="AE238" s="210" t="str">
        <f t="shared" ref="AE238:AE249" si="46">IF(AD238&lt;B238,"",FALSE)</f>
        <v/>
      </c>
      <c r="AF238" s="370" t="s">
        <v>470</v>
      </c>
      <c r="AG238" s="232">
        <v>31</v>
      </c>
      <c r="AH238" s="127"/>
    </row>
    <row r="239" spans="1:34" ht="15.75" x14ac:dyDescent="0.3">
      <c r="A239" s="127" t="s">
        <v>814</v>
      </c>
      <c r="B239" s="211">
        <v>184.2055</v>
      </c>
      <c r="C239" s="202">
        <v>83.950299999999999</v>
      </c>
      <c r="D239" s="210"/>
      <c r="E239" s="203">
        <v>125.9254</v>
      </c>
      <c r="F239" s="203">
        <v>902.01499999999999</v>
      </c>
      <c r="G239" s="238">
        <f t="shared" si="25"/>
        <v>64.611009794737342</v>
      </c>
      <c r="H239" s="210">
        <v>0</v>
      </c>
      <c r="I239" s="210"/>
      <c r="J239" s="210"/>
      <c r="K239" s="210">
        <v>83.950299999999999</v>
      </c>
      <c r="L239" s="127">
        <v>8000</v>
      </c>
      <c r="M239" s="127">
        <v>15</v>
      </c>
      <c r="N239" s="201">
        <f t="shared" si="41"/>
        <v>184.2055</v>
      </c>
      <c r="O239" s="201">
        <f t="shared" si="42"/>
        <v>184.2055</v>
      </c>
      <c r="P239" s="201">
        <f t="shared" si="43"/>
        <v>184.2055</v>
      </c>
      <c r="Q239" s="201">
        <f t="shared" si="30"/>
        <v>184.2055</v>
      </c>
      <c r="R239" s="127" t="s">
        <v>261</v>
      </c>
      <c r="S239" s="127" t="str">
        <f>""</f>
        <v/>
      </c>
      <c r="T239" s="127" t="s">
        <v>262</v>
      </c>
      <c r="U239" s="127" t="s">
        <v>263</v>
      </c>
      <c r="V239" s="127" t="s">
        <v>264</v>
      </c>
      <c r="W239" s="127" t="s">
        <v>265</v>
      </c>
      <c r="X239" s="127" t="s">
        <v>266</v>
      </c>
      <c r="Y239" s="127" t="s">
        <v>562</v>
      </c>
      <c r="Z239" s="127" t="s">
        <v>267</v>
      </c>
      <c r="AA239" s="127" t="str">
        <f>""</f>
        <v/>
      </c>
      <c r="AB239" s="127">
        <v>15</v>
      </c>
      <c r="AC239" s="210">
        <v>0</v>
      </c>
      <c r="AD239" s="210">
        <f>PBL_OT_2025!$F$24/POWER(1.02,7)</f>
        <v>109.62564411516817</v>
      </c>
      <c r="AE239" s="210" t="str">
        <f t="shared" si="46"/>
        <v/>
      </c>
      <c r="AF239" s="370" t="s">
        <v>470</v>
      </c>
      <c r="AG239" s="232">
        <v>31</v>
      </c>
      <c r="AH239" s="127"/>
    </row>
    <row r="240" spans="1:34" ht="15.75" x14ac:dyDescent="0.3">
      <c r="A240" s="127" t="s">
        <v>815</v>
      </c>
      <c r="B240" s="211">
        <v>166.2166</v>
      </c>
      <c r="C240" s="202">
        <v>83.950299999999999</v>
      </c>
      <c r="D240" s="210"/>
      <c r="E240" s="203">
        <v>125.9254</v>
      </c>
      <c r="F240" s="203">
        <v>906.82500000000005</v>
      </c>
      <c r="G240" s="238">
        <f t="shared" si="25"/>
        <v>44.431064428087012</v>
      </c>
      <c r="H240" s="210">
        <v>0</v>
      </c>
      <c r="I240" s="210"/>
      <c r="J240" s="210"/>
      <c r="K240" s="210">
        <v>83.950299999999999</v>
      </c>
      <c r="L240" s="127">
        <v>8000</v>
      </c>
      <c r="M240" s="127">
        <v>15</v>
      </c>
      <c r="N240" s="201">
        <f t="shared" si="41"/>
        <v>166.2166</v>
      </c>
      <c r="O240" s="201">
        <f t="shared" si="42"/>
        <v>166.2166</v>
      </c>
      <c r="P240" s="201">
        <f t="shared" si="43"/>
        <v>166.2166</v>
      </c>
      <c r="Q240" s="201">
        <f t="shared" si="30"/>
        <v>166.2166</v>
      </c>
      <c r="R240" s="127" t="s">
        <v>261</v>
      </c>
      <c r="S240" s="127" t="str">
        <f>""</f>
        <v/>
      </c>
      <c r="T240" s="127" t="s">
        <v>262</v>
      </c>
      <c r="U240" s="127" t="s">
        <v>263</v>
      </c>
      <c r="V240" s="127" t="s">
        <v>264</v>
      </c>
      <c r="W240" s="127" t="s">
        <v>265</v>
      </c>
      <c r="X240" s="127" t="s">
        <v>266</v>
      </c>
      <c r="Y240" s="127" t="s">
        <v>562</v>
      </c>
      <c r="Z240" s="127" t="s">
        <v>267</v>
      </c>
      <c r="AA240" s="127" t="str">
        <f>""</f>
        <v/>
      </c>
      <c r="AB240" s="127">
        <v>15</v>
      </c>
      <c r="AC240" s="210">
        <v>0</v>
      </c>
      <c r="AD240" s="210">
        <f>PBL_OT_2025!$F$24/POWER(1.02,7)</f>
        <v>109.62564411516817</v>
      </c>
      <c r="AE240" s="210" t="str">
        <f t="shared" si="46"/>
        <v/>
      </c>
      <c r="AF240" s="370" t="s">
        <v>470</v>
      </c>
      <c r="AG240" s="232">
        <v>31</v>
      </c>
      <c r="AH240" s="127"/>
    </row>
    <row r="241" spans="1:34" ht="15.75" x14ac:dyDescent="0.3">
      <c r="A241" s="127" t="s">
        <v>816</v>
      </c>
      <c r="B241" s="211">
        <v>212.0737</v>
      </c>
      <c r="C241" s="202">
        <v>83.950299999999999</v>
      </c>
      <c r="D241" s="210"/>
      <c r="E241" s="203">
        <v>125.9254</v>
      </c>
      <c r="F241" s="203">
        <v>902.01499999999999</v>
      </c>
      <c r="G241" s="238">
        <f t="shared" si="25"/>
        <v>95.506504880739243</v>
      </c>
      <c r="H241" s="210">
        <v>0</v>
      </c>
      <c r="I241" s="210"/>
      <c r="J241" s="210"/>
      <c r="K241" s="210">
        <v>83.950299999999999</v>
      </c>
      <c r="L241" s="127">
        <v>8000</v>
      </c>
      <c r="M241" s="127">
        <v>15</v>
      </c>
      <c r="N241" s="201">
        <f t="shared" si="41"/>
        <v>193.576525</v>
      </c>
      <c r="O241" s="201">
        <f t="shared" si="42"/>
        <v>212.0737</v>
      </c>
      <c r="P241" s="201">
        <f t="shared" si="43"/>
        <v>212.0737</v>
      </c>
      <c r="Q241" s="201">
        <f t="shared" si="30"/>
        <v>212.0737</v>
      </c>
      <c r="R241" s="127" t="s">
        <v>261</v>
      </c>
      <c r="S241" s="127" t="str">
        <f>""</f>
        <v/>
      </c>
      <c r="T241" s="127" t="s">
        <v>262</v>
      </c>
      <c r="U241" s="127" t="s">
        <v>263</v>
      </c>
      <c r="V241" s="127" t="s">
        <v>264</v>
      </c>
      <c r="W241" s="127" t="s">
        <v>265</v>
      </c>
      <c r="X241" s="127" t="s">
        <v>266</v>
      </c>
      <c r="Y241" s="127" t="s">
        <v>562</v>
      </c>
      <c r="Z241" s="127" t="s">
        <v>267</v>
      </c>
      <c r="AA241" s="127" t="str">
        <f>""</f>
        <v/>
      </c>
      <c r="AB241" s="127">
        <v>15</v>
      </c>
      <c r="AC241" s="210">
        <v>0</v>
      </c>
      <c r="AD241" s="210">
        <f>PBL_OT_2025!$F$24/POWER(1.02,7)</f>
        <v>109.62564411516817</v>
      </c>
      <c r="AE241" s="210" t="str">
        <f t="shared" si="46"/>
        <v/>
      </c>
      <c r="AF241" s="370" t="s">
        <v>470</v>
      </c>
      <c r="AG241" s="232">
        <v>31</v>
      </c>
      <c r="AH241" s="127"/>
    </row>
    <row r="242" spans="1:34" ht="15.75" x14ac:dyDescent="0.3">
      <c r="A242" s="127" t="s">
        <v>817</v>
      </c>
      <c r="B242" s="211">
        <v>139.708</v>
      </c>
      <c r="C242" s="202">
        <v>83.950299999999999</v>
      </c>
      <c r="D242" s="210"/>
      <c r="E242" s="203">
        <v>125.9254</v>
      </c>
      <c r="F242" s="203">
        <v>912.9</v>
      </c>
      <c r="G242" s="238">
        <f t="shared" si="25"/>
        <v>15.097601051593825</v>
      </c>
      <c r="H242" s="210">
        <v>0</v>
      </c>
      <c r="I242" s="210"/>
      <c r="J242" s="210"/>
      <c r="K242" s="210">
        <v>83.950299999999999</v>
      </c>
      <c r="L242" s="127">
        <v>8000</v>
      </c>
      <c r="M242" s="127">
        <v>15</v>
      </c>
      <c r="N242" s="201">
        <f t="shared" si="41"/>
        <v>139.708</v>
      </c>
      <c r="O242" s="201">
        <f t="shared" si="42"/>
        <v>139.708</v>
      </c>
      <c r="P242" s="201">
        <f t="shared" si="43"/>
        <v>139.708</v>
      </c>
      <c r="Q242" s="201">
        <f t="shared" si="30"/>
        <v>139.708</v>
      </c>
      <c r="R242" s="127" t="s">
        <v>261</v>
      </c>
      <c r="S242" s="127" t="str">
        <f>""</f>
        <v/>
      </c>
      <c r="T242" s="127" t="s">
        <v>262</v>
      </c>
      <c r="U242" s="127" t="s">
        <v>263</v>
      </c>
      <c r="V242" s="127" t="s">
        <v>264</v>
      </c>
      <c r="W242" s="127" t="s">
        <v>265</v>
      </c>
      <c r="X242" s="127" t="s">
        <v>266</v>
      </c>
      <c r="Y242" s="127" t="s">
        <v>562</v>
      </c>
      <c r="Z242" s="127" t="s">
        <v>267</v>
      </c>
      <c r="AA242" s="127" t="str">
        <f>""</f>
        <v/>
      </c>
      <c r="AB242" s="127">
        <v>15</v>
      </c>
      <c r="AC242" s="210">
        <v>0</v>
      </c>
      <c r="AD242" s="210">
        <f>PBL_OT_2025!$F$24/POWER(1.02,7)</f>
        <v>109.62564411516817</v>
      </c>
      <c r="AE242" s="210" t="str">
        <f t="shared" si="46"/>
        <v/>
      </c>
      <c r="AF242" s="370" t="s">
        <v>470</v>
      </c>
      <c r="AG242" s="232">
        <v>31</v>
      </c>
      <c r="AH242" s="127"/>
    </row>
    <row r="243" spans="1:34" ht="15.75" x14ac:dyDescent="0.3">
      <c r="A243" s="127" t="s">
        <v>818</v>
      </c>
      <c r="B243" s="211">
        <v>190.70060000000001</v>
      </c>
      <c r="C243" s="202">
        <v>83.950299999999999</v>
      </c>
      <c r="D243" s="210"/>
      <c r="E243" s="203">
        <v>125.9254</v>
      </c>
      <c r="F243" s="203">
        <v>908.09</v>
      </c>
      <c r="G243" s="238">
        <f t="shared" si="25"/>
        <v>71.331255712539516</v>
      </c>
      <c r="H243" s="210">
        <v>0</v>
      </c>
      <c r="I243" s="210"/>
      <c r="J243" s="210"/>
      <c r="K243" s="210">
        <v>83.950299999999999</v>
      </c>
      <c r="L243" s="127">
        <v>8000</v>
      </c>
      <c r="M243" s="127">
        <v>15</v>
      </c>
      <c r="N243" s="201">
        <f t="shared" si="41"/>
        <v>190.70060000000001</v>
      </c>
      <c r="O243" s="201">
        <f t="shared" si="42"/>
        <v>190.70060000000001</v>
      </c>
      <c r="P243" s="201">
        <f t="shared" si="43"/>
        <v>190.70060000000001</v>
      </c>
      <c r="Q243" s="201">
        <f t="shared" si="30"/>
        <v>190.70060000000001</v>
      </c>
      <c r="R243" s="127" t="s">
        <v>261</v>
      </c>
      <c r="S243" s="127" t="str">
        <f>""</f>
        <v/>
      </c>
      <c r="T243" s="127" t="s">
        <v>262</v>
      </c>
      <c r="U243" s="127" t="s">
        <v>263</v>
      </c>
      <c r="V243" s="127" t="s">
        <v>264</v>
      </c>
      <c r="W243" s="127" t="s">
        <v>265</v>
      </c>
      <c r="X243" s="127" t="s">
        <v>266</v>
      </c>
      <c r="Y243" s="127" t="s">
        <v>562</v>
      </c>
      <c r="Z243" s="127" t="s">
        <v>267</v>
      </c>
      <c r="AA243" s="127" t="str">
        <f>""</f>
        <v/>
      </c>
      <c r="AB243" s="127">
        <v>15</v>
      </c>
      <c r="AC243" s="210">
        <v>0</v>
      </c>
      <c r="AD243" s="210">
        <f>PBL_OT_2025!$F$24/POWER(1.02,7)</f>
        <v>109.62564411516817</v>
      </c>
      <c r="AE243" s="210" t="str">
        <f t="shared" si="46"/>
        <v/>
      </c>
      <c r="AF243" s="370" t="s">
        <v>470</v>
      </c>
      <c r="AG243" s="232">
        <v>31</v>
      </c>
      <c r="AH243" s="127"/>
    </row>
    <row r="244" spans="1:34" ht="15.75" x14ac:dyDescent="0.3">
      <c r="A244" s="127" t="s">
        <v>819</v>
      </c>
      <c r="B244" s="211">
        <v>206.8338</v>
      </c>
      <c r="C244" s="202">
        <v>83.950299999999999</v>
      </c>
      <c r="D244" s="210"/>
      <c r="E244" s="203">
        <v>125.9254</v>
      </c>
      <c r="F244" s="203">
        <v>893.82500000000005</v>
      </c>
      <c r="G244" s="238">
        <f t="shared" si="25"/>
        <v>90.519285094957056</v>
      </c>
      <c r="H244" s="210">
        <v>0</v>
      </c>
      <c r="I244" s="210"/>
      <c r="J244" s="210"/>
      <c r="K244" s="210">
        <v>83.950299999999999</v>
      </c>
      <c r="L244" s="127">
        <v>8000</v>
      </c>
      <c r="M244" s="127">
        <v>15</v>
      </c>
      <c r="N244" s="201">
        <f t="shared" si="41"/>
        <v>192.96227499999998</v>
      </c>
      <c r="O244" s="201">
        <f t="shared" si="42"/>
        <v>206.8338</v>
      </c>
      <c r="P244" s="201">
        <f t="shared" si="43"/>
        <v>206.8338</v>
      </c>
      <c r="Q244" s="201">
        <f t="shared" si="30"/>
        <v>206.8338</v>
      </c>
      <c r="R244" s="127" t="s">
        <v>261</v>
      </c>
      <c r="S244" s="127" t="str">
        <f>""</f>
        <v/>
      </c>
      <c r="T244" s="127" t="s">
        <v>262</v>
      </c>
      <c r="U244" s="127" t="s">
        <v>263</v>
      </c>
      <c r="V244" s="127" t="s">
        <v>264</v>
      </c>
      <c r="W244" s="127" t="s">
        <v>265</v>
      </c>
      <c r="X244" s="127" t="s">
        <v>266</v>
      </c>
      <c r="Y244" s="127" t="s">
        <v>562</v>
      </c>
      <c r="Z244" s="127" t="s">
        <v>267</v>
      </c>
      <c r="AA244" s="127" t="str">
        <f>""</f>
        <v/>
      </c>
      <c r="AB244" s="127">
        <v>15</v>
      </c>
      <c r="AC244" s="210">
        <v>0</v>
      </c>
      <c r="AD244" s="210">
        <f>PBL_OT_2025!$F$24/POWER(1.02,7)</f>
        <v>109.62564411516817</v>
      </c>
      <c r="AE244" s="210" t="str">
        <f t="shared" si="46"/>
        <v/>
      </c>
      <c r="AF244" s="370" t="s">
        <v>470</v>
      </c>
      <c r="AG244" s="232">
        <v>31</v>
      </c>
      <c r="AH244" s="127"/>
    </row>
    <row r="245" spans="1:34" ht="15.75" x14ac:dyDescent="0.3">
      <c r="A245" s="127" t="s">
        <v>820</v>
      </c>
      <c r="B245" s="211">
        <v>250.70189999999999</v>
      </c>
      <c r="C245" s="202">
        <v>83.950299999999999</v>
      </c>
      <c r="D245" s="210"/>
      <c r="E245" s="203">
        <v>125.9254</v>
      </c>
      <c r="F245" s="203">
        <v>889.01499999999999</v>
      </c>
      <c r="G245" s="238">
        <f t="shared" si="25"/>
        <v>140.35364982593094</v>
      </c>
      <c r="H245" s="210">
        <v>0</v>
      </c>
      <c r="I245" s="210"/>
      <c r="J245" s="210"/>
      <c r="K245" s="210">
        <v>83.950299999999999</v>
      </c>
      <c r="L245" s="127">
        <v>8000</v>
      </c>
      <c r="M245" s="127">
        <v>15</v>
      </c>
      <c r="N245" s="201">
        <f t="shared" si="41"/>
        <v>192.60152499999998</v>
      </c>
      <c r="O245" s="201">
        <f t="shared" si="42"/>
        <v>250.70189999999999</v>
      </c>
      <c r="P245" s="201">
        <f t="shared" si="43"/>
        <v>250.70189999999999</v>
      </c>
      <c r="Q245" s="201">
        <f t="shared" si="30"/>
        <v>250.70189999999999</v>
      </c>
      <c r="R245" s="127" t="s">
        <v>261</v>
      </c>
      <c r="S245" s="127" t="str">
        <f>""</f>
        <v/>
      </c>
      <c r="T245" s="127" t="s">
        <v>262</v>
      </c>
      <c r="U245" s="127" t="s">
        <v>263</v>
      </c>
      <c r="V245" s="127" t="s">
        <v>264</v>
      </c>
      <c r="W245" s="127" t="s">
        <v>265</v>
      </c>
      <c r="X245" s="127" t="s">
        <v>266</v>
      </c>
      <c r="Y245" s="127" t="s">
        <v>562</v>
      </c>
      <c r="Z245" s="127" t="s">
        <v>267</v>
      </c>
      <c r="AA245" s="127" t="str">
        <f>""</f>
        <v/>
      </c>
      <c r="AB245" s="127">
        <v>15</v>
      </c>
      <c r="AC245" s="210">
        <v>0</v>
      </c>
      <c r="AD245" s="210">
        <f>PBL_OT_2025!$F$24/POWER(1.02,7)</f>
        <v>109.62564411516817</v>
      </c>
      <c r="AE245" s="210" t="str">
        <f t="shared" si="46"/>
        <v/>
      </c>
      <c r="AF245" s="370" t="s">
        <v>470</v>
      </c>
      <c r="AG245" s="232">
        <v>31</v>
      </c>
      <c r="AH245" s="127"/>
    </row>
    <row r="246" spans="1:34" ht="15.75" x14ac:dyDescent="0.3">
      <c r="A246" s="127" t="s">
        <v>821</v>
      </c>
      <c r="B246" s="211">
        <v>207.92320000000001</v>
      </c>
      <c r="C246" s="202">
        <v>83.950299999999999</v>
      </c>
      <c r="D246" s="210"/>
      <c r="E246" s="203">
        <v>125.9254</v>
      </c>
      <c r="F246" s="203">
        <v>826.5</v>
      </c>
      <c r="G246" s="238">
        <f t="shared" si="25"/>
        <v>99.210889292196029</v>
      </c>
      <c r="H246" s="210">
        <v>0</v>
      </c>
      <c r="I246" s="210"/>
      <c r="J246" s="210"/>
      <c r="K246" s="210">
        <v>83.950299999999999</v>
      </c>
      <c r="L246" s="127">
        <v>8000</v>
      </c>
      <c r="M246" s="127">
        <v>15</v>
      </c>
      <c r="N246" s="201">
        <f t="shared" si="41"/>
        <v>187.91289999999998</v>
      </c>
      <c r="O246" s="201">
        <f t="shared" si="42"/>
        <v>207.92320000000001</v>
      </c>
      <c r="P246" s="201">
        <f t="shared" si="43"/>
        <v>207.92320000000001</v>
      </c>
      <c r="Q246" s="201">
        <f t="shared" si="30"/>
        <v>207.92320000000001</v>
      </c>
      <c r="R246" s="127" t="s">
        <v>261</v>
      </c>
      <c r="S246" s="127" t="str">
        <f>""</f>
        <v/>
      </c>
      <c r="T246" s="127" t="s">
        <v>262</v>
      </c>
      <c r="U246" s="127" t="s">
        <v>263</v>
      </c>
      <c r="V246" s="127" t="s">
        <v>264</v>
      </c>
      <c r="W246" s="127" t="s">
        <v>265</v>
      </c>
      <c r="X246" s="127" t="s">
        <v>266</v>
      </c>
      <c r="Y246" s="127" t="s">
        <v>562</v>
      </c>
      <c r="Z246" s="127" t="s">
        <v>267</v>
      </c>
      <c r="AA246" s="127" t="str">
        <f>""</f>
        <v/>
      </c>
      <c r="AB246" s="127">
        <v>15</v>
      </c>
      <c r="AC246" s="210">
        <v>0</v>
      </c>
      <c r="AD246" s="210">
        <f>PBL_OT_2025!$F$24/POWER(1.02,7)</f>
        <v>109.62564411516817</v>
      </c>
      <c r="AE246" s="210" t="str">
        <f t="shared" si="46"/>
        <v/>
      </c>
      <c r="AF246" s="370" t="s">
        <v>470</v>
      </c>
      <c r="AG246" s="232">
        <v>31</v>
      </c>
      <c r="AH246" s="127"/>
    </row>
    <row r="247" spans="1:34" ht="15.75" x14ac:dyDescent="0.3">
      <c r="A247" s="127" t="s">
        <v>822</v>
      </c>
      <c r="B247" s="211">
        <v>255.5942</v>
      </c>
      <c r="C247" s="202">
        <v>83.950299999999999</v>
      </c>
      <c r="D247" s="210"/>
      <c r="E247" s="203">
        <v>125.9254</v>
      </c>
      <c r="F247" s="203">
        <v>821.69</v>
      </c>
      <c r="G247" s="238">
        <f t="shared" si="25"/>
        <v>157.80744563034722</v>
      </c>
      <c r="H247" s="210">
        <v>0</v>
      </c>
      <c r="I247" s="210"/>
      <c r="J247" s="210"/>
      <c r="K247" s="210">
        <v>83.950299999999999</v>
      </c>
      <c r="L247" s="127">
        <v>8000</v>
      </c>
      <c r="M247" s="127">
        <v>15</v>
      </c>
      <c r="N247" s="201">
        <f t="shared" si="41"/>
        <v>187.55215000000001</v>
      </c>
      <c r="O247" s="201">
        <f t="shared" si="42"/>
        <v>249.1789</v>
      </c>
      <c r="P247" s="201">
        <f t="shared" si="43"/>
        <v>255.5942</v>
      </c>
      <c r="Q247" s="201">
        <f t="shared" si="30"/>
        <v>255.5942</v>
      </c>
      <c r="R247" s="127" t="s">
        <v>261</v>
      </c>
      <c r="S247" s="127" t="str">
        <f>""</f>
        <v/>
      </c>
      <c r="T247" s="127" t="s">
        <v>262</v>
      </c>
      <c r="U247" s="127" t="s">
        <v>263</v>
      </c>
      <c r="V247" s="127" t="s">
        <v>264</v>
      </c>
      <c r="W247" s="127" t="s">
        <v>265</v>
      </c>
      <c r="X247" s="127" t="s">
        <v>266</v>
      </c>
      <c r="Y247" s="127" t="s">
        <v>562</v>
      </c>
      <c r="Z247" s="127" t="s">
        <v>267</v>
      </c>
      <c r="AA247" s="127" t="str">
        <f>""</f>
        <v/>
      </c>
      <c r="AB247" s="127">
        <v>15</v>
      </c>
      <c r="AC247" s="210">
        <v>0</v>
      </c>
      <c r="AD247" s="210">
        <f>PBL_OT_2025!$F$24/POWER(1.02,7)</f>
        <v>109.62564411516817</v>
      </c>
      <c r="AE247" s="210" t="str">
        <f t="shared" si="46"/>
        <v/>
      </c>
      <c r="AF247" s="370" t="s">
        <v>470</v>
      </c>
      <c r="AG247" s="232">
        <v>31</v>
      </c>
      <c r="AH247" s="127"/>
    </row>
    <row r="248" spans="1:34" ht="15.75" x14ac:dyDescent="0.3">
      <c r="A248" s="127" t="s">
        <v>823</v>
      </c>
      <c r="B248" s="211">
        <v>187.166</v>
      </c>
      <c r="C248" s="202">
        <v>83.950299999999999</v>
      </c>
      <c r="D248" s="210"/>
      <c r="E248" s="203">
        <v>125.9254</v>
      </c>
      <c r="F248" s="203">
        <v>842.25</v>
      </c>
      <c r="G248" s="238">
        <f t="shared" si="25"/>
        <v>72.71071534579994</v>
      </c>
      <c r="H248" s="210">
        <v>0</v>
      </c>
      <c r="I248" s="210"/>
      <c r="J248" s="210"/>
      <c r="K248" s="210">
        <v>83.950299999999999</v>
      </c>
      <c r="L248" s="127">
        <v>8000</v>
      </c>
      <c r="M248" s="127">
        <v>15</v>
      </c>
      <c r="N248" s="201">
        <f t="shared" si="41"/>
        <v>187.166</v>
      </c>
      <c r="O248" s="201">
        <f t="shared" si="42"/>
        <v>187.166</v>
      </c>
      <c r="P248" s="201">
        <f t="shared" si="43"/>
        <v>187.166</v>
      </c>
      <c r="Q248" s="201">
        <f t="shared" si="30"/>
        <v>187.166</v>
      </c>
      <c r="R248" s="127" t="s">
        <v>261</v>
      </c>
      <c r="S248" s="127" t="str">
        <f>""</f>
        <v/>
      </c>
      <c r="T248" s="127" t="s">
        <v>262</v>
      </c>
      <c r="U248" s="127" t="s">
        <v>263</v>
      </c>
      <c r="V248" s="127" t="s">
        <v>264</v>
      </c>
      <c r="W248" s="127" t="s">
        <v>265</v>
      </c>
      <c r="X248" s="127" t="s">
        <v>266</v>
      </c>
      <c r="Y248" s="127" t="s">
        <v>562</v>
      </c>
      <c r="Z248" s="127" t="s">
        <v>267</v>
      </c>
      <c r="AA248" s="127" t="str">
        <f>""</f>
        <v/>
      </c>
      <c r="AB248" s="127">
        <v>15</v>
      </c>
      <c r="AC248" s="210">
        <v>0</v>
      </c>
      <c r="AD248" s="210">
        <f>PBL_OT_2025!$F$24/POWER(1.02,7)</f>
        <v>109.62564411516817</v>
      </c>
      <c r="AE248" s="210" t="str">
        <f t="shared" si="46"/>
        <v/>
      </c>
      <c r="AF248" s="370" t="s">
        <v>470</v>
      </c>
      <c r="AG248" s="232">
        <v>31</v>
      </c>
      <c r="AH248" s="127"/>
    </row>
    <row r="249" spans="1:34" ht="15.75" x14ac:dyDescent="0.3">
      <c r="A249" s="127" t="s">
        <v>824</v>
      </c>
      <c r="B249" s="211">
        <v>230.59139999999999</v>
      </c>
      <c r="C249" s="202">
        <v>83.950299999999999</v>
      </c>
      <c r="D249" s="210"/>
      <c r="E249" s="203">
        <v>125.9254</v>
      </c>
      <c r="F249" s="203">
        <v>837.44</v>
      </c>
      <c r="G249" s="238">
        <f t="shared" si="25"/>
        <v>124.98328238440962</v>
      </c>
      <c r="H249" s="210">
        <v>0</v>
      </c>
      <c r="I249" s="210"/>
      <c r="J249" s="210"/>
      <c r="K249" s="210">
        <v>83.950299999999999</v>
      </c>
      <c r="L249" s="127">
        <v>8000</v>
      </c>
      <c r="M249" s="127">
        <v>15</v>
      </c>
      <c r="N249" s="201">
        <f t="shared" si="41"/>
        <v>188.73340000000002</v>
      </c>
      <c r="O249" s="201">
        <f t="shared" si="42"/>
        <v>230.59139999999999</v>
      </c>
      <c r="P249" s="201">
        <f t="shared" si="43"/>
        <v>230.59139999999999</v>
      </c>
      <c r="Q249" s="201">
        <f t="shared" si="30"/>
        <v>230.59139999999999</v>
      </c>
      <c r="R249" s="127" t="s">
        <v>261</v>
      </c>
      <c r="S249" s="127" t="str">
        <f>""</f>
        <v/>
      </c>
      <c r="T249" s="127" t="s">
        <v>262</v>
      </c>
      <c r="U249" s="127" t="s">
        <v>263</v>
      </c>
      <c r="V249" s="127" t="s">
        <v>264</v>
      </c>
      <c r="W249" s="127" t="s">
        <v>265</v>
      </c>
      <c r="X249" s="127" t="s">
        <v>266</v>
      </c>
      <c r="Y249" s="127" t="s">
        <v>562</v>
      </c>
      <c r="Z249" s="127" t="s">
        <v>267</v>
      </c>
      <c r="AA249" s="127" t="str">
        <f>""</f>
        <v/>
      </c>
      <c r="AB249" s="127">
        <v>15</v>
      </c>
      <c r="AC249" s="210">
        <v>0</v>
      </c>
      <c r="AD249" s="210">
        <f>PBL_OT_2025!$F$24/POWER(1.02,7)</f>
        <v>109.62564411516817</v>
      </c>
      <c r="AE249" s="210" t="str">
        <f t="shared" si="46"/>
        <v/>
      </c>
      <c r="AF249" s="370" t="s">
        <v>470</v>
      </c>
      <c r="AG249" s="232">
        <v>31</v>
      </c>
      <c r="AH249" s="127"/>
    </row>
    <row r="250" spans="1:34" ht="15" x14ac:dyDescent="0.25">
      <c r="A250" s="127"/>
      <c r="B250" s="211"/>
      <c r="C250" s="202"/>
      <c r="D250" s="210"/>
      <c r="E250" s="203"/>
      <c r="F250" s="203"/>
      <c r="G250" s="238"/>
      <c r="H250" s="210"/>
      <c r="I250" s="210"/>
      <c r="J250" s="210"/>
      <c r="K250" s="210"/>
      <c r="L250" s="127"/>
      <c r="M250" s="127"/>
      <c r="N250" s="201"/>
      <c r="O250" s="201"/>
      <c r="P250" s="201"/>
      <c r="Q250" s="201"/>
      <c r="R250" s="127"/>
      <c r="S250" s="127"/>
      <c r="T250" s="127"/>
      <c r="U250" s="127"/>
      <c r="V250" s="127"/>
      <c r="W250" s="127"/>
      <c r="X250" s="127"/>
      <c r="Y250" s="127"/>
      <c r="Z250" s="127"/>
      <c r="AA250" s="127"/>
      <c r="AB250" s="127"/>
      <c r="AC250" s="210"/>
      <c r="AD250" s="210"/>
      <c r="AE250" s="210"/>
      <c r="AF250" s="210"/>
      <c r="AG250" s="232"/>
      <c r="AH250" s="127"/>
    </row>
    <row r="251" spans="1:34" ht="15" x14ac:dyDescent="0.25">
      <c r="A251" s="263" t="s">
        <v>788</v>
      </c>
      <c r="B251" s="211"/>
      <c r="C251" s="202"/>
      <c r="D251" s="210"/>
      <c r="E251" s="203"/>
      <c r="F251" s="203"/>
      <c r="G251" s="238"/>
      <c r="H251" s="210"/>
      <c r="I251" s="210"/>
      <c r="J251" s="210"/>
      <c r="K251" s="210"/>
      <c r="L251" s="127"/>
      <c r="M251" s="127"/>
      <c r="N251" s="201"/>
      <c r="O251" s="201"/>
      <c r="P251" s="201"/>
      <c r="Q251" s="201"/>
      <c r="R251" s="127"/>
      <c r="S251" s="127"/>
      <c r="T251" s="127"/>
      <c r="U251" s="127"/>
      <c r="V251" s="127"/>
      <c r="W251" s="127"/>
      <c r="X251" s="127"/>
      <c r="Y251" s="127"/>
      <c r="Z251" s="127"/>
      <c r="AA251" s="127"/>
      <c r="AB251" s="127"/>
      <c r="AC251" s="210"/>
      <c r="AD251" s="210"/>
      <c r="AE251" s="210"/>
      <c r="AF251" s="210"/>
      <c r="AG251" s="232"/>
      <c r="AH251" s="127"/>
    </row>
    <row r="252" spans="1:34" ht="15.75" x14ac:dyDescent="0.3">
      <c r="A252" s="127" t="s">
        <v>825</v>
      </c>
      <c r="B252" s="211">
        <v>223.785</v>
      </c>
      <c r="C252" s="202">
        <v>0</v>
      </c>
      <c r="D252" s="210"/>
      <c r="E252" s="203">
        <v>0</v>
      </c>
      <c r="F252" s="203">
        <v>745.95</v>
      </c>
      <c r="G252" s="238">
        <f t="shared" si="25"/>
        <v>300</v>
      </c>
      <c r="H252" s="210">
        <v>0</v>
      </c>
      <c r="I252" s="210"/>
      <c r="J252" s="210"/>
      <c r="K252" s="210">
        <v>0</v>
      </c>
      <c r="L252" s="127">
        <v>4000</v>
      </c>
      <c r="M252" s="127">
        <v>15</v>
      </c>
      <c r="N252" s="201">
        <f t="shared" si="41"/>
        <v>55.946249999999999</v>
      </c>
      <c r="O252" s="201">
        <f t="shared" si="42"/>
        <v>111.8925</v>
      </c>
      <c r="P252" s="201">
        <f t="shared" si="43"/>
        <v>167.83875</v>
      </c>
      <c r="Q252" s="201">
        <f t="shared" si="30"/>
        <v>223.785</v>
      </c>
      <c r="R252" s="127" t="s">
        <v>261</v>
      </c>
      <c r="S252" s="127" t="str">
        <f>""</f>
        <v/>
      </c>
      <c r="T252" s="127" t="s">
        <v>262</v>
      </c>
      <c r="U252" s="127" t="s">
        <v>263</v>
      </c>
      <c r="V252" s="127" t="s">
        <v>264</v>
      </c>
      <c r="W252" s="127" t="s">
        <v>265</v>
      </c>
      <c r="X252" s="127" t="s">
        <v>266</v>
      </c>
      <c r="Y252" s="127" t="s">
        <v>562</v>
      </c>
      <c r="Z252" s="127" t="s">
        <v>267</v>
      </c>
      <c r="AA252" s="127" t="str">
        <f>""</f>
        <v/>
      </c>
      <c r="AB252" s="127">
        <v>15</v>
      </c>
      <c r="AC252" s="210">
        <v>0</v>
      </c>
      <c r="AD252" s="210">
        <f t="shared" ref="AD252:AD279" si="47">K252</f>
        <v>0</v>
      </c>
      <c r="AE252" s="210" t="str">
        <f t="shared" si="26"/>
        <v/>
      </c>
      <c r="AF252" s="210" t="s">
        <v>501</v>
      </c>
      <c r="AG252" s="232">
        <v>43</v>
      </c>
      <c r="AH252" s="127"/>
    </row>
    <row r="253" spans="1:34" ht="15.75" x14ac:dyDescent="0.3">
      <c r="A253" s="127" t="s">
        <v>826</v>
      </c>
      <c r="B253" s="211">
        <v>222.34200000000001</v>
      </c>
      <c r="C253" s="202">
        <v>0</v>
      </c>
      <c r="D253" s="210"/>
      <c r="E253" s="203">
        <v>0</v>
      </c>
      <c r="F253" s="203">
        <v>741.14</v>
      </c>
      <c r="G253" s="238">
        <f t="shared" si="25"/>
        <v>300</v>
      </c>
      <c r="H253" s="210">
        <v>0</v>
      </c>
      <c r="I253" s="210"/>
      <c r="J253" s="210"/>
      <c r="K253" s="210">
        <v>0</v>
      </c>
      <c r="L253" s="127">
        <v>4000</v>
      </c>
      <c r="M253" s="127">
        <v>15</v>
      </c>
      <c r="N253" s="201">
        <f t="shared" si="41"/>
        <v>55.585500000000003</v>
      </c>
      <c r="O253" s="201">
        <f t="shared" si="42"/>
        <v>111.17100000000001</v>
      </c>
      <c r="P253" s="201">
        <f t="shared" si="43"/>
        <v>166.75649999999999</v>
      </c>
      <c r="Q253" s="201">
        <f t="shared" si="30"/>
        <v>222.34200000000001</v>
      </c>
      <c r="R253" s="127" t="s">
        <v>261</v>
      </c>
      <c r="S253" s="127" t="str">
        <f>""</f>
        <v/>
      </c>
      <c r="T253" s="127" t="s">
        <v>262</v>
      </c>
      <c r="U253" s="127" t="s">
        <v>263</v>
      </c>
      <c r="V253" s="127" t="s">
        <v>264</v>
      </c>
      <c r="W253" s="127" t="s">
        <v>265</v>
      </c>
      <c r="X253" s="127" t="s">
        <v>266</v>
      </c>
      <c r="Y253" s="127" t="s">
        <v>562</v>
      </c>
      <c r="Z253" s="127" t="s">
        <v>267</v>
      </c>
      <c r="AA253" s="127" t="str">
        <f>""</f>
        <v/>
      </c>
      <c r="AB253" s="127">
        <v>15</v>
      </c>
      <c r="AC253" s="210">
        <v>0</v>
      </c>
      <c r="AD253" s="210">
        <f t="shared" si="47"/>
        <v>0</v>
      </c>
      <c r="AE253" s="210" t="str">
        <f t="shared" si="26"/>
        <v/>
      </c>
      <c r="AF253" s="210" t="s">
        <v>501</v>
      </c>
      <c r="AG253" s="232">
        <v>43</v>
      </c>
      <c r="AH253" s="127"/>
    </row>
    <row r="254" spans="1:34" ht="15.75" x14ac:dyDescent="0.3">
      <c r="A254" s="127" t="s">
        <v>827</v>
      </c>
      <c r="B254" s="211">
        <v>222.34200000000001</v>
      </c>
      <c r="C254" s="202">
        <v>0</v>
      </c>
      <c r="D254" s="210"/>
      <c r="E254" s="203">
        <v>0</v>
      </c>
      <c r="F254" s="203">
        <v>741.14</v>
      </c>
      <c r="G254" s="238">
        <f t="shared" si="25"/>
        <v>300</v>
      </c>
      <c r="H254" s="210">
        <v>0</v>
      </c>
      <c r="I254" s="210"/>
      <c r="J254" s="210"/>
      <c r="K254" s="210">
        <v>0</v>
      </c>
      <c r="L254" s="127">
        <v>4000</v>
      </c>
      <c r="M254" s="127">
        <v>15</v>
      </c>
      <c r="N254" s="201">
        <f t="shared" si="41"/>
        <v>55.585500000000003</v>
      </c>
      <c r="O254" s="201">
        <f t="shared" si="42"/>
        <v>111.17100000000001</v>
      </c>
      <c r="P254" s="201">
        <f t="shared" si="43"/>
        <v>166.75649999999999</v>
      </c>
      <c r="Q254" s="201">
        <f t="shared" si="30"/>
        <v>222.34200000000001</v>
      </c>
      <c r="R254" s="127" t="s">
        <v>261</v>
      </c>
      <c r="S254" s="127" t="str">
        <f>""</f>
        <v/>
      </c>
      <c r="T254" s="127" t="s">
        <v>262</v>
      </c>
      <c r="U254" s="127" t="s">
        <v>263</v>
      </c>
      <c r="V254" s="127" t="s">
        <v>264</v>
      </c>
      <c r="W254" s="127" t="s">
        <v>265</v>
      </c>
      <c r="X254" s="127" t="s">
        <v>266</v>
      </c>
      <c r="Y254" s="127" t="s">
        <v>562</v>
      </c>
      <c r="Z254" s="127" t="s">
        <v>267</v>
      </c>
      <c r="AA254" s="127" t="str">
        <f>""</f>
        <v/>
      </c>
      <c r="AB254" s="127">
        <v>15</v>
      </c>
      <c r="AC254" s="210">
        <v>0</v>
      </c>
      <c r="AD254" s="210">
        <f t="shared" si="47"/>
        <v>0</v>
      </c>
      <c r="AE254" s="210" t="str">
        <f t="shared" si="26"/>
        <v/>
      </c>
      <c r="AF254" s="210" t="s">
        <v>501</v>
      </c>
      <c r="AG254" s="232">
        <v>43</v>
      </c>
      <c r="AH254" s="127"/>
    </row>
    <row r="255" spans="1:34" ht="15" x14ac:dyDescent="0.25">
      <c r="A255" s="127"/>
      <c r="B255" s="211"/>
      <c r="C255" s="202"/>
      <c r="D255" s="210"/>
      <c r="E255" s="203"/>
      <c r="F255" s="203"/>
      <c r="G255" s="238"/>
      <c r="H255" s="210"/>
      <c r="I255" s="210"/>
      <c r="J255" s="210"/>
      <c r="K255" s="210"/>
      <c r="L255" s="127"/>
      <c r="M255" s="127"/>
      <c r="N255" s="201"/>
      <c r="O255" s="201"/>
      <c r="P255" s="201"/>
      <c r="Q255" s="201"/>
      <c r="R255" s="127"/>
      <c r="S255" s="127"/>
      <c r="T255" s="127"/>
      <c r="U255" s="127"/>
      <c r="V255" s="127"/>
      <c r="W255" s="127"/>
      <c r="X255" s="127"/>
      <c r="Y255" s="127"/>
      <c r="Z255" s="127"/>
      <c r="AA255" s="127"/>
      <c r="AB255" s="127"/>
      <c r="AC255" s="210"/>
      <c r="AD255" s="210"/>
      <c r="AE255" s="210"/>
      <c r="AF255" s="210"/>
      <c r="AG255" s="232"/>
      <c r="AH255" s="127"/>
    </row>
    <row r="256" spans="1:34" ht="15" x14ac:dyDescent="0.25">
      <c r="A256" s="263" t="s">
        <v>789</v>
      </c>
      <c r="B256" s="211"/>
      <c r="C256" s="202"/>
      <c r="D256" s="210"/>
      <c r="E256" s="203"/>
      <c r="F256" s="203"/>
      <c r="G256" s="238"/>
      <c r="H256" s="210"/>
      <c r="I256" s="210"/>
      <c r="J256" s="210"/>
      <c r="K256" s="210"/>
      <c r="L256" s="127"/>
      <c r="M256" s="127"/>
      <c r="N256" s="201"/>
      <c r="O256" s="201"/>
      <c r="P256" s="201"/>
      <c r="Q256" s="201"/>
      <c r="R256" s="127"/>
      <c r="S256" s="127"/>
      <c r="T256" s="127"/>
      <c r="U256" s="127"/>
      <c r="V256" s="127"/>
      <c r="W256" s="127"/>
      <c r="X256" s="127"/>
      <c r="Y256" s="127"/>
      <c r="Z256" s="127"/>
      <c r="AA256" s="127"/>
      <c r="AB256" s="127"/>
      <c r="AC256" s="210"/>
      <c r="AD256" s="210"/>
      <c r="AE256" s="210"/>
      <c r="AF256" s="210"/>
      <c r="AG256" s="232"/>
      <c r="AH256" s="127"/>
    </row>
    <row r="257" spans="1:34" ht="15.75" x14ac:dyDescent="0.25">
      <c r="A257" s="268" t="s">
        <v>828</v>
      </c>
      <c r="B257" s="211">
        <v>134.01820000000001</v>
      </c>
      <c r="C257" s="202">
        <v>0</v>
      </c>
      <c r="D257" s="210"/>
      <c r="E257" s="203">
        <v>0</v>
      </c>
      <c r="F257" s="203">
        <v>906.82500000000005</v>
      </c>
      <c r="G257" s="238">
        <f t="shared" si="25"/>
        <v>147.78838254348966</v>
      </c>
      <c r="H257" s="210">
        <v>0</v>
      </c>
      <c r="I257" s="210"/>
      <c r="J257" s="210"/>
      <c r="K257" s="210">
        <v>0</v>
      </c>
      <c r="L257" s="127">
        <v>8000</v>
      </c>
      <c r="M257" s="127">
        <v>15</v>
      </c>
      <c r="N257" s="201">
        <f t="shared" si="41"/>
        <v>68.011875000000003</v>
      </c>
      <c r="O257" s="201">
        <f t="shared" si="42"/>
        <v>134.01820000000001</v>
      </c>
      <c r="P257" s="201">
        <f t="shared" si="43"/>
        <v>134.01820000000001</v>
      </c>
      <c r="Q257" s="201">
        <f t="shared" si="30"/>
        <v>134.01820000000001</v>
      </c>
      <c r="R257" s="127" t="s">
        <v>261</v>
      </c>
      <c r="S257" s="127" t="str">
        <f>""</f>
        <v/>
      </c>
      <c r="T257" s="127" t="s">
        <v>262</v>
      </c>
      <c r="U257" s="127" t="s">
        <v>263</v>
      </c>
      <c r="V257" s="127" t="s">
        <v>264</v>
      </c>
      <c r="W257" s="127" t="s">
        <v>265</v>
      </c>
      <c r="X257" s="127" t="s">
        <v>266</v>
      </c>
      <c r="Y257" s="127" t="s">
        <v>562</v>
      </c>
      <c r="Z257" s="127" t="s">
        <v>267</v>
      </c>
      <c r="AA257" s="127" t="str">
        <f>""</f>
        <v/>
      </c>
      <c r="AB257" s="127">
        <v>15</v>
      </c>
      <c r="AC257" s="210">
        <v>0</v>
      </c>
      <c r="AD257" s="210">
        <f t="shared" si="47"/>
        <v>0</v>
      </c>
      <c r="AE257" s="210" t="str">
        <f t="shared" si="26"/>
        <v/>
      </c>
      <c r="AF257" s="210" t="s">
        <v>501</v>
      </c>
      <c r="AG257" s="232">
        <v>43</v>
      </c>
      <c r="AH257" s="127"/>
    </row>
    <row r="258" spans="1:34" ht="15.75" x14ac:dyDescent="0.25">
      <c r="A258" s="268" t="s">
        <v>829</v>
      </c>
      <c r="B258" s="211">
        <v>184.2055</v>
      </c>
      <c r="C258" s="202">
        <v>0</v>
      </c>
      <c r="D258" s="210"/>
      <c r="E258" s="203">
        <v>0</v>
      </c>
      <c r="F258" s="203">
        <v>902.01499999999999</v>
      </c>
      <c r="G258" s="238">
        <f t="shared" si="25"/>
        <v>204.21556182546854</v>
      </c>
      <c r="H258" s="210">
        <v>0</v>
      </c>
      <c r="I258" s="210"/>
      <c r="J258" s="210"/>
      <c r="K258" s="210">
        <v>0</v>
      </c>
      <c r="L258" s="127">
        <v>8000</v>
      </c>
      <c r="M258" s="127">
        <v>15</v>
      </c>
      <c r="N258" s="201">
        <f t="shared" si="41"/>
        <v>67.651124999999993</v>
      </c>
      <c r="O258" s="201">
        <f t="shared" si="42"/>
        <v>135.30224999999999</v>
      </c>
      <c r="P258" s="201">
        <f t="shared" si="43"/>
        <v>184.2055</v>
      </c>
      <c r="Q258" s="201">
        <f t="shared" si="30"/>
        <v>184.2055</v>
      </c>
      <c r="R258" s="127" t="s">
        <v>261</v>
      </c>
      <c r="S258" s="127" t="str">
        <f>""</f>
        <v/>
      </c>
      <c r="T258" s="127" t="s">
        <v>262</v>
      </c>
      <c r="U258" s="127" t="s">
        <v>263</v>
      </c>
      <c r="V258" s="127" t="s">
        <v>264</v>
      </c>
      <c r="W258" s="127" t="s">
        <v>265</v>
      </c>
      <c r="X258" s="127" t="s">
        <v>266</v>
      </c>
      <c r="Y258" s="127" t="s">
        <v>562</v>
      </c>
      <c r="Z258" s="127" t="s">
        <v>267</v>
      </c>
      <c r="AA258" s="127" t="str">
        <f>""</f>
        <v/>
      </c>
      <c r="AB258" s="127">
        <v>15</v>
      </c>
      <c r="AC258" s="210">
        <v>0</v>
      </c>
      <c r="AD258" s="210">
        <f t="shared" si="47"/>
        <v>0</v>
      </c>
      <c r="AE258" s="210" t="str">
        <f t="shared" si="26"/>
        <v/>
      </c>
      <c r="AF258" s="210" t="s">
        <v>501</v>
      </c>
      <c r="AG258" s="232">
        <v>43</v>
      </c>
      <c r="AH258" s="127"/>
    </row>
    <row r="259" spans="1:34" ht="15.75" x14ac:dyDescent="0.25">
      <c r="A259" s="268" t="s">
        <v>830</v>
      </c>
      <c r="B259" s="211">
        <v>166.2166</v>
      </c>
      <c r="C259" s="202">
        <v>0</v>
      </c>
      <c r="D259" s="210"/>
      <c r="E259" s="203">
        <v>0</v>
      </c>
      <c r="F259" s="203">
        <v>906.82500000000005</v>
      </c>
      <c r="G259" s="238">
        <f t="shared" si="25"/>
        <v>183.29512309431257</v>
      </c>
      <c r="H259" s="210">
        <v>0</v>
      </c>
      <c r="I259" s="210"/>
      <c r="J259" s="210"/>
      <c r="K259" s="210">
        <v>0</v>
      </c>
      <c r="L259" s="127">
        <v>8000</v>
      </c>
      <c r="M259" s="127">
        <v>15</v>
      </c>
      <c r="N259" s="201">
        <f t="shared" si="41"/>
        <v>68.011875000000003</v>
      </c>
      <c r="O259" s="201">
        <f t="shared" si="42"/>
        <v>136.02375000000001</v>
      </c>
      <c r="P259" s="201">
        <f t="shared" si="43"/>
        <v>166.2166</v>
      </c>
      <c r="Q259" s="201">
        <f t="shared" si="30"/>
        <v>166.2166</v>
      </c>
      <c r="R259" s="127" t="s">
        <v>261</v>
      </c>
      <c r="S259" s="127" t="str">
        <f>""</f>
        <v/>
      </c>
      <c r="T259" s="127" t="s">
        <v>262</v>
      </c>
      <c r="U259" s="127" t="s">
        <v>263</v>
      </c>
      <c r="V259" s="127" t="s">
        <v>264</v>
      </c>
      <c r="W259" s="127" t="s">
        <v>265</v>
      </c>
      <c r="X259" s="127" t="s">
        <v>266</v>
      </c>
      <c r="Y259" s="127" t="s">
        <v>562</v>
      </c>
      <c r="Z259" s="127" t="s">
        <v>267</v>
      </c>
      <c r="AA259" s="127" t="str">
        <f>""</f>
        <v/>
      </c>
      <c r="AB259" s="127">
        <v>15</v>
      </c>
      <c r="AC259" s="210">
        <v>0</v>
      </c>
      <c r="AD259" s="210">
        <f t="shared" si="47"/>
        <v>0</v>
      </c>
      <c r="AE259" s="210" t="str">
        <f t="shared" si="26"/>
        <v/>
      </c>
      <c r="AF259" s="210" t="s">
        <v>501</v>
      </c>
      <c r="AG259" s="232">
        <v>43</v>
      </c>
      <c r="AH259" s="127"/>
    </row>
    <row r="260" spans="1:34" ht="15.75" x14ac:dyDescent="0.25">
      <c r="A260" s="268" t="s">
        <v>831</v>
      </c>
      <c r="B260" s="211">
        <v>212.0737</v>
      </c>
      <c r="C260" s="202">
        <v>0</v>
      </c>
      <c r="D260" s="210"/>
      <c r="E260" s="203">
        <v>0</v>
      </c>
      <c r="F260" s="203">
        <v>902.01499999999999</v>
      </c>
      <c r="G260" s="238">
        <f t="shared" si="25"/>
        <v>235.11105691147046</v>
      </c>
      <c r="H260" s="210">
        <v>0</v>
      </c>
      <c r="I260" s="210"/>
      <c r="J260" s="210"/>
      <c r="K260" s="210">
        <v>0</v>
      </c>
      <c r="L260" s="127">
        <v>8000</v>
      </c>
      <c r="M260" s="127">
        <v>15</v>
      </c>
      <c r="N260" s="201">
        <f t="shared" si="41"/>
        <v>67.651124999999993</v>
      </c>
      <c r="O260" s="201">
        <f t="shared" si="42"/>
        <v>135.30224999999999</v>
      </c>
      <c r="P260" s="201">
        <f t="shared" si="43"/>
        <v>202.95337499999999</v>
      </c>
      <c r="Q260" s="201">
        <f t="shared" si="30"/>
        <v>212.0737</v>
      </c>
      <c r="R260" s="127" t="s">
        <v>261</v>
      </c>
      <c r="S260" s="127" t="str">
        <f>""</f>
        <v/>
      </c>
      <c r="T260" s="127" t="s">
        <v>262</v>
      </c>
      <c r="U260" s="127" t="s">
        <v>263</v>
      </c>
      <c r="V260" s="127" t="s">
        <v>264</v>
      </c>
      <c r="W260" s="127" t="s">
        <v>265</v>
      </c>
      <c r="X260" s="127" t="s">
        <v>266</v>
      </c>
      <c r="Y260" s="127" t="s">
        <v>562</v>
      </c>
      <c r="Z260" s="127" t="s">
        <v>267</v>
      </c>
      <c r="AA260" s="127" t="str">
        <f>""</f>
        <v/>
      </c>
      <c r="AB260" s="127">
        <v>15</v>
      </c>
      <c r="AC260" s="210">
        <v>0</v>
      </c>
      <c r="AD260" s="210">
        <f t="shared" si="47"/>
        <v>0</v>
      </c>
      <c r="AE260" s="210" t="str">
        <f t="shared" si="26"/>
        <v/>
      </c>
      <c r="AF260" s="210" t="s">
        <v>501</v>
      </c>
      <c r="AG260" s="232">
        <v>43</v>
      </c>
      <c r="AH260" s="127"/>
    </row>
    <row r="261" spans="1:34" ht="15.75" x14ac:dyDescent="0.25">
      <c r="A261" s="268" t="s">
        <v>832</v>
      </c>
      <c r="B261" s="211">
        <v>139.708</v>
      </c>
      <c r="C261" s="202">
        <v>0</v>
      </c>
      <c r="D261" s="210"/>
      <c r="E261" s="203">
        <v>0</v>
      </c>
      <c r="F261" s="203">
        <v>912.9</v>
      </c>
      <c r="G261" s="238">
        <f t="shared" si="25"/>
        <v>153.03757257092781</v>
      </c>
      <c r="H261" s="210">
        <v>0</v>
      </c>
      <c r="I261" s="210"/>
      <c r="J261" s="210"/>
      <c r="K261" s="210">
        <v>0</v>
      </c>
      <c r="L261" s="127">
        <v>8000</v>
      </c>
      <c r="M261" s="127">
        <v>15</v>
      </c>
      <c r="N261" s="201">
        <f t="shared" si="41"/>
        <v>68.467500000000001</v>
      </c>
      <c r="O261" s="201">
        <f t="shared" si="42"/>
        <v>136.935</v>
      </c>
      <c r="P261" s="201">
        <f t="shared" si="43"/>
        <v>139.708</v>
      </c>
      <c r="Q261" s="201">
        <f t="shared" si="30"/>
        <v>139.708</v>
      </c>
      <c r="R261" s="127" t="s">
        <v>261</v>
      </c>
      <c r="S261" s="127" t="str">
        <f>""</f>
        <v/>
      </c>
      <c r="T261" s="127" t="s">
        <v>262</v>
      </c>
      <c r="U261" s="127" t="s">
        <v>263</v>
      </c>
      <c r="V261" s="127" t="s">
        <v>264</v>
      </c>
      <c r="W261" s="127" t="s">
        <v>265</v>
      </c>
      <c r="X261" s="127" t="s">
        <v>266</v>
      </c>
      <c r="Y261" s="127" t="s">
        <v>562</v>
      </c>
      <c r="Z261" s="127" t="s">
        <v>267</v>
      </c>
      <c r="AA261" s="127" t="str">
        <f>""</f>
        <v/>
      </c>
      <c r="AB261" s="127">
        <v>15</v>
      </c>
      <c r="AC261" s="210">
        <v>0</v>
      </c>
      <c r="AD261" s="210">
        <f t="shared" si="47"/>
        <v>0</v>
      </c>
      <c r="AE261" s="210" t="str">
        <f t="shared" si="26"/>
        <v/>
      </c>
      <c r="AF261" s="210" t="s">
        <v>501</v>
      </c>
      <c r="AG261" s="232">
        <v>43</v>
      </c>
      <c r="AH261" s="127"/>
    </row>
    <row r="262" spans="1:34" ht="15.75" x14ac:dyDescent="0.25">
      <c r="A262" s="268" t="s">
        <v>833</v>
      </c>
      <c r="B262" s="211">
        <v>190.70060000000001</v>
      </c>
      <c r="C262" s="202">
        <v>0</v>
      </c>
      <c r="D262" s="210"/>
      <c r="E262" s="203">
        <v>0</v>
      </c>
      <c r="F262" s="203">
        <v>908.09</v>
      </c>
      <c r="G262" s="238">
        <f t="shared" si="25"/>
        <v>210.00187206113932</v>
      </c>
      <c r="H262" s="210">
        <v>0</v>
      </c>
      <c r="I262" s="210"/>
      <c r="J262" s="210"/>
      <c r="K262" s="210">
        <v>0</v>
      </c>
      <c r="L262" s="127">
        <v>8000</v>
      </c>
      <c r="M262" s="127">
        <v>15</v>
      </c>
      <c r="N262" s="201">
        <f t="shared" si="41"/>
        <v>68.106750000000005</v>
      </c>
      <c r="O262" s="201">
        <f t="shared" si="42"/>
        <v>136.21350000000001</v>
      </c>
      <c r="P262" s="201">
        <f t="shared" si="43"/>
        <v>190.70060000000001</v>
      </c>
      <c r="Q262" s="201">
        <f t="shared" si="30"/>
        <v>190.70060000000001</v>
      </c>
      <c r="R262" s="127" t="s">
        <v>261</v>
      </c>
      <c r="S262" s="127" t="str">
        <f>""</f>
        <v/>
      </c>
      <c r="T262" s="127" t="s">
        <v>262</v>
      </c>
      <c r="U262" s="127" t="s">
        <v>263</v>
      </c>
      <c r="V262" s="127" t="s">
        <v>264</v>
      </c>
      <c r="W262" s="127" t="s">
        <v>265</v>
      </c>
      <c r="X262" s="127" t="s">
        <v>266</v>
      </c>
      <c r="Y262" s="127" t="s">
        <v>562</v>
      </c>
      <c r="Z262" s="127" t="s">
        <v>267</v>
      </c>
      <c r="AA262" s="127" t="str">
        <f>""</f>
        <v/>
      </c>
      <c r="AB262" s="127">
        <v>15</v>
      </c>
      <c r="AC262" s="210">
        <v>0</v>
      </c>
      <c r="AD262" s="210">
        <f t="shared" si="47"/>
        <v>0</v>
      </c>
      <c r="AE262" s="210" t="str">
        <f t="shared" si="26"/>
        <v/>
      </c>
      <c r="AF262" s="210" t="s">
        <v>501</v>
      </c>
      <c r="AG262" s="232">
        <v>43</v>
      </c>
      <c r="AH262" s="127"/>
    </row>
    <row r="263" spans="1:34" ht="15.75" x14ac:dyDescent="0.25">
      <c r="A263" s="268" t="s">
        <v>834</v>
      </c>
      <c r="B263" s="211">
        <v>206.8338</v>
      </c>
      <c r="C263" s="202">
        <v>0</v>
      </c>
      <c r="D263" s="210"/>
      <c r="E263" s="203">
        <v>0</v>
      </c>
      <c r="F263" s="203">
        <v>893.82500000000005</v>
      </c>
      <c r="G263" s="238">
        <f t="shared" si="25"/>
        <v>231.40301513159733</v>
      </c>
      <c r="H263" s="210">
        <v>0</v>
      </c>
      <c r="I263" s="210"/>
      <c r="J263" s="210"/>
      <c r="K263" s="210">
        <v>0</v>
      </c>
      <c r="L263" s="127">
        <v>8000</v>
      </c>
      <c r="M263" s="127">
        <v>15</v>
      </c>
      <c r="N263" s="201">
        <f t="shared" si="41"/>
        <v>67.036874999999995</v>
      </c>
      <c r="O263" s="201">
        <f t="shared" si="42"/>
        <v>134.07374999999999</v>
      </c>
      <c r="P263" s="201">
        <f t="shared" si="43"/>
        <v>201.110625</v>
      </c>
      <c r="Q263" s="201">
        <f t="shared" si="30"/>
        <v>206.8338</v>
      </c>
      <c r="R263" s="127" t="s">
        <v>261</v>
      </c>
      <c r="S263" s="127" t="str">
        <f>""</f>
        <v/>
      </c>
      <c r="T263" s="127" t="s">
        <v>262</v>
      </c>
      <c r="U263" s="127" t="s">
        <v>263</v>
      </c>
      <c r="V263" s="127" t="s">
        <v>264</v>
      </c>
      <c r="W263" s="127" t="s">
        <v>265</v>
      </c>
      <c r="X263" s="127" t="s">
        <v>266</v>
      </c>
      <c r="Y263" s="127" t="s">
        <v>562</v>
      </c>
      <c r="Z263" s="127" t="s">
        <v>267</v>
      </c>
      <c r="AA263" s="127" t="str">
        <f>""</f>
        <v/>
      </c>
      <c r="AB263" s="127">
        <v>15</v>
      </c>
      <c r="AC263" s="210">
        <v>0</v>
      </c>
      <c r="AD263" s="210">
        <f t="shared" si="47"/>
        <v>0</v>
      </c>
      <c r="AE263" s="210" t="str">
        <f t="shared" si="26"/>
        <v/>
      </c>
      <c r="AF263" s="210" t="s">
        <v>501</v>
      </c>
      <c r="AG263" s="232">
        <v>43</v>
      </c>
      <c r="AH263" s="127"/>
    </row>
    <row r="264" spans="1:34" ht="15.75" x14ac:dyDescent="0.25">
      <c r="A264" s="268" t="s">
        <v>835</v>
      </c>
      <c r="B264" s="211">
        <v>250.70189999999999</v>
      </c>
      <c r="C264" s="202">
        <v>0</v>
      </c>
      <c r="D264" s="210"/>
      <c r="E264" s="203">
        <v>0</v>
      </c>
      <c r="F264" s="203">
        <v>889.01499999999999</v>
      </c>
      <c r="G264" s="238">
        <f t="shared" si="25"/>
        <v>281.99962880266361</v>
      </c>
      <c r="H264" s="210">
        <v>0</v>
      </c>
      <c r="I264" s="210"/>
      <c r="J264" s="210"/>
      <c r="K264" s="210">
        <v>0</v>
      </c>
      <c r="L264" s="127">
        <v>8000</v>
      </c>
      <c r="M264" s="127">
        <v>15</v>
      </c>
      <c r="N264" s="201">
        <f t="shared" si="41"/>
        <v>66.676124999999999</v>
      </c>
      <c r="O264" s="201">
        <f t="shared" si="42"/>
        <v>133.35225</v>
      </c>
      <c r="P264" s="201">
        <f t="shared" si="43"/>
        <v>200.02837500000001</v>
      </c>
      <c r="Q264" s="201">
        <f t="shared" si="30"/>
        <v>250.70189999999999</v>
      </c>
      <c r="R264" s="127" t="s">
        <v>261</v>
      </c>
      <c r="S264" s="127" t="str">
        <f>""</f>
        <v/>
      </c>
      <c r="T264" s="127" t="s">
        <v>262</v>
      </c>
      <c r="U264" s="127" t="s">
        <v>263</v>
      </c>
      <c r="V264" s="127" t="s">
        <v>264</v>
      </c>
      <c r="W264" s="127" t="s">
        <v>265</v>
      </c>
      <c r="X264" s="127" t="s">
        <v>266</v>
      </c>
      <c r="Y264" s="127" t="s">
        <v>562</v>
      </c>
      <c r="Z264" s="127" t="s">
        <v>267</v>
      </c>
      <c r="AA264" s="127" t="str">
        <f>""</f>
        <v/>
      </c>
      <c r="AB264" s="127">
        <v>15</v>
      </c>
      <c r="AC264" s="210">
        <v>0</v>
      </c>
      <c r="AD264" s="210">
        <f t="shared" si="47"/>
        <v>0</v>
      </c>
      <c r="AE264" s="210" t="str">
        <f t="shared" si="26"/>
        <v/>
      </c>
      <c r="AF264" s="210" t="s">
        <v>501</v>
      </c>
      <c r="AG264" s="232">
        <v>43</v>
      </c>
      <c r="AH264" s="127"/>
    </row>
    <row r="265" spans="1:34" ht="15.75" x14ac:dyDescent="0.3">
      <c r="A265" s="127" t="s">
        <v>836</v>
      </c>
      <c r="B265" s="211">
        <v>207.92320000000001</v>
      </c>
      <c r="C265" s="202">
        <v>0</v>
      </c>
      <c r="D265" s="210"/>
      <c r="E265" s="203">
        <v>0</v>
      </c>
      <c r="F265" s="203">
        <v>826.5</v>
      </c>
      <c r="G265" s="238">
        <f t="shared" si="25"/>
        <v>251.57071990320631</v>
      </c>
      <c r="H265" s="210">
        <v>0</v>
      </c>
      <c r="I265" s="210"/>
      <c r="J265" s="210"/>
      <c r="K265" s="210">
        <v>0</v>
      </c>
      <c r="L265" s="127">
        <v>8000</v>
      </c>
      <c r="M265" s="127">
        <v>15</v>
      </c>
      <c r="N265" s="201">
        <f t="shared" si="41"/>
        <v>61.987499999999997</v>
      </c>
      <c r="O265" s="201">
        <f t="shared" si="42"/>
        <v>123.97499999999999</v>
      </c>
      <c r="P265" s="201">
        <f t="shared" si="43"/>
        <v>185.96250000000001</v>
      </c>
      <c r="Q265" s="201">
        <f t="shared" si="30"/>
        <v>207.92320000000001</v>
      </c>
      <c r="R265" s="127" t="s">
        <v>261</v>
      </c>
      <c r="S265" s="127" t="str">
        <f>""</f>
        <v/>
      </c>
      <c r="T265" s="127" t="s">
        <v>262</v>
      </c>
      <c r="U265" s="127" t="s">
        <v>263</v>
      </c>
      <c r="V265" s="127" t="s">
        <v>264</v>
      </c>
      <c r="W265" s="127" t="s">
        <v>265</v>
      </c>
      <c r="X265" s="127" t="s">
        <v>266</v>
      </c>
      <c r="Y265" s="127" t="s">
        <v>562</v>
      </c>
      <c r="Z265" s="127" t="s">
        <v>267</v>
      </c>
      <c r="AA265" s="127" t="str">
        <f>""</f>
        <v/>
      </c>
      <c r="AB265" s="127">
        <v>15</v>
      </c>
      <c r="AC265" s="210">
        <v>0</v>
      </c>
      <c r="AD265" s="210">
        <f t="shared" si="47"/>
        <v>0</v>
      </c>
      <c r="AE265" s="210" t="str">
        <f t="shared" si="26"/>
        <v/>
      </c>
      <c r="AF265" s="210" t="s">
        <v>501</v>
      </c>
      <c r="AG265" s="232">
        <v>43</v>
      </c>
      <c r="AH265" s="127"/>
    </row>
    <row r="266" spans="1:34" ht="15.75" x14ac:dyDescent="0.3">
      <c r="A266" s="127" t="s">
        <v>837</v>
      </c>
      <c r="B266" s="211">
        <v>246.50700000000003</v>
      </c>
      <c r="C266" s="202">
        <v>0</v>
      </c>
      <c r="D266" s="210"/>
      <c r="E266" s="203">
        <v>0</v>
      </c>
      <c r="F266" s="203">
        <v>821.69</v>
      </c>
      <c r="G266" s="238">
        <f t="shared" si="25"/>
        <v>300</v>
      </c>
      <c r="H266" s="210">
        <v>0</v>
      </c>
      <c r="I266" s="210"/>
      <c r="J266" s="210"/>
      <c r="K266" s="210">
        <v>0</v>
      </c>
      <c r="L266" s="127">
        <v>8000</v>
      </c>
      <c r="M266" s="127">
        <v>15</v>
      </c>
      <c r="N266" s="201">
        <f t="shared" si="41"/>
        <v>61.626750000000008</v>
      </c>
      <c r="O266" s="201">
        <f t="shared" si="42"/>
        <v>123.25350000000002</v>
      </c>
      <c r="P266" s="201">
        <f t="shared" si="43"/>
        <v>184.88024999999999</v>
      </c>
      <c r="Q266" s="201">
        <f t="shared" si="30"/>
        <v>246.50700000000003</v>
      </c>
      <c r="R266" s="127" t="s">
        <v>261</v>
      </c>
      <c r="S266" s="127" t="str">
        <f>""</f>
        <v/>
      </c>
      <c r="T266" s="127" t="s">
        <v>262</v>
      </c>
      <c r="U266" s="127" t="s">
        <v>263</v>
      </c>
      <c r="V266" s="127" t="s">
        <v>264</v>
      </c>
      <c r="W266" s="127" t="s">
        <v>265</v>
      </c>
      <c r="X266" s="127" t="s">
        <v>266</v>
      </c>
      <c r="Y266" s="127" t="s">
        <v>562</v>
      </c>
      <c r="Z266" s="127" t="s">
        <v>267</v>
      </c>
      <c r="AA266" s="127" t="str">
        <f>""</f>
        <v/>
      </c>
      <c r="AB266" s="127">
        <v>15</v>
      </c>
      <c r="AC266" s="210">
        <v>0</v>
      </c>
      <c r="AD266" s="210">
        <f t="shared" si="47"/>
        <v>0</v>
      </c>
      <c r="AE266" s="210" t="str">
        <f t="shared" si="26"/>
        <v/>
      </c>
      <c r="AF266" s="210" t="s">
        <v>501</v>
      </c>
      <c r="AG266" s="232">
        <v>43</v>
      </c>
      <c r="AH266" s="127"/>
    </row>
    <row r="267" spans="1:34" ht="15.75" x14ac:dyDescent="0.3">
      <c r="A267" s="127" t="s">
        <v>838</v>
      </c>
      <c r="B267" s="211">
        <v>187.166</v>
      </c>
      <c r="C267" s="202">
        <v>0</v>
      </c>
      <c r="D267" s="210"/>
      <c r="E267" s="203">
        <v>0</v>
      </c>
      <c r="F267" s="203">
        <v>842.25</v>
      </c>
      <c r="G267" s="238">
        <f t="shared" si="25"/>
        <v>222.22143069159989</v>
      </c>
      <c r="H267" s="210">
        <v>0</v>
      </c>
      <c r="I267" s="210"/>
      <c r="J267" s="210"/>
      <c r="K267" s="210">
        <v>0</v>
      </c>
      <c r="L267" s="127">
        <v>8000</v>
      </c>
      <c r="M267" s="127">
        <v>15</v>
      </c>
      <c r="N267" s="201">
        <f t="shared" ref="N267:N293" si="48">MIN($B267,(75*$F267/1000)+$E267)</f>
        <v>63.168750000000003</v>
      </c>
      <c r="O267" s="201">
        <f t="shared" ref="O267:O293" si="49">MIN($B267,(150*$F267/1000)+$E267)</f>
        <v>126.33750000000001</v>
      </c>
      <c r="P267" s="201">
        <f t="shared" ref="P267:P293" si="50">MIN($B267,(225*$F267/1000)+$E267)</f>
        <v>187.166</v>
      </c>
      <c r="Q267" s="201">
        <f t="shared" si="30"/>
        <v>187.166</v>
      </c>
      <c r="R267" s="127" t="s">
        <v>261</v>
      </c>
      <c r="S267" s="127" t="str">
        <f>""</f>
        <v/>
      </c>
      <c r="T267" s="127" t="s">
        <v>262</v>
      </c>
      <c r="U267" s="127" t="s">
        <v>263</v>
      </c>
      <c r="V267" s="127" t="s">
        <v>264</v>
      </c>
      <c r="W267" s="127" t="s">
        <v>265</v>
      </c>
      <c r="X267" s="127" t="s">
        <v>266</v>
      </c>
      <c r="Y267" s="127" t="s">
        <v>562</v>
      </c>
      <c r="Z267" s="127" t="s">
        <v>267</v>
      </c>
      <c r="AA267" s="127" t="str">
        <f>""</f>
        <v/>
      </c>
      <c r="AB267" s="127">
        <v>15</v>
      </c>
      <c r="AC267" s="210">
        <v>0</v>
      </c>
      <c r="AD267" s="210">
        <f t="shared" si="47"/>
        <v>0</v>
      </c>
      <c r="AE267" s="210" t="str">
        <f t="shared" si="26"/>
        <v/>
      </c>
      <c r="AF267" s="210" t="s">
        <v>501</v>
      </c>
      <c r="AG267" s="232">
        <v>43</v>
      </c>
      <c r="AH267" s="127"/>
    </row>
    <row r="268" spans="1:34" ht="15.75" x14ac:dyDescent="0.3">
      <c r="A268" s="127" t="s">
        <v>839</v>
      </c>
      <c r="B268" s="211">
        <v>230.59139999999999</v>
      </c>
      <c r="C268" s="202">
        <v>0</v>
      </c>
      <c r="D268" s="210"/>
      <c r="E268" s="203">
        <v>0</v>
      </c>
      <c r="F268" s="203">
        <v>837.44</v>
      </c>
      <c r="G268" s="238">
        <f t="shared" si="25"/>
        <v>275.35274168895677</v>
      </c>
      <c r="H268" s="210">
        <v>0</v>
      </c>
      <c r="I268" s="210"/>
      <c r="J268" s="210"/>
      <c r="K268" s="210">
        <v>0</v>
      </c>
      <c r="L268" s="127">
        <v>8000</v>
      </c>
      <c r="M268" s="127">
        <v>15</v>
      </c>
      <c r="N268" s="201">
        <f t="shared" si="48"/>
        <v>62.808000000000007</v>
      </c>
      <c r="O268" s="201">
        <f t="shared" si="49"/>
        <v>125.61600000000001</v>
      </c>
      <c r="P268" s="201">
        <f t="shared" si="50"/>
        <v>188.42400000000001</v>
      </c>
      <c r="Q268" s="201">
        <f t="shared" si="30"/>
        <v>230.59139999999999</v>
      </c>
      <c r="R268" s="127" t="s">
        <v>261</v>
      </c>
      <c r="S268" s="127" t="str">
        <f>""</f>
        <v/>
      </c>
      <c r="T268" s="127" t="s">
        <v>262</v>
      </c>
      <c r="U268" s="127" t="s">
        <v>263</v>
      </c>
      <c r="V268" s="127" t="s">
        <v>264</v>
      </c>
      <c r="W268" s="127" t="s">
        <v>265</v>
      </c>
      <c r="X268" s="127" t="s">
        <v>266</v>
      </c>
      <c r="Y268" s="127" t="s">
        <v>562</v>
      </c>
      <c r="Z268" s="127" t="s">
        <v>267</v>
      </c>
      <c r="AA268" s="127" t="str">
        <f>""</f>
        <v/>
      </c>
      <c r="AB268" s="127">
        <v>15</v>
      </c>
      <c r="AC268" s="210">
        <v>0</v>
      </c>
      <c r="AD268" s="210">
        <f t="shared" si="47"/>
        <v>0</v>
      </c>
      <c r="AE268" s="210" t="str">
        <f t="shared" si="26"/>
        <v/>
      </c>
      <c r="AF268" s="210" t="s">
        <v>501</v>
      </c>
      <c r="AG268" s="232">
        <v>43</v>
      </c>
      <c r="AH268" s="127"/>
    </row>
    <row r="269" spans="1:34" ht="15" x14ac:dyDescent="0.25">
      <c r="A269" s="127"/>
      <c r="B269" s="211"/>
      <c r="C269" s="202"/>
      <c r="D269" s="210"/>
      <c r="E269" s="203"/>
      <c r="F269" s="203"/>
      <c r="G269" s="238"/>
      <c r="H269" s="210"/>
      <c r="I269" s="210"/>
      <c r="J269" s="210"/>
      <c r="K269" s="210"/>
      <c r="L269" s="127"/>
      <c r="M269" s="127"/>
      <c r="N269" s="201"/>
      <c r="O269" s="201"/>
      <c r="P269" s="201"/>
      <c r="Q269" s="201"/>
      <c r="R269" s="127"/>
      <c r="S269" s="127"/>
      <c r="T269" s="127"/>
      <c r="U269" s="127"/>
      <c r="V269" s="127"/>
      <c r="W269" s="127"/>
      <c r="X269" s="127"/>
      <c r="Y269" s="127"/>
      <c r="Z269" s="127"/>
      <c r="AA269" s="127"/>
      <c r="AB269" s="127"/>
      <c r="AC269" s="210"/>
      <c r="AD269" s="210"/>
      <c r="AE269" s="210"/>
      <c r="AF269" s="210"/>
      <c r="AG269" s="232"/>
      <c r="AH269" s="127"/>
    </row>
    <row r="270" spans="1:34" ht="15" x14ac:dyDescent="0.25">
      <c r="A270" s="269" t="s">
        <v>790</v>
      </c>
      <c r="B270" s="211"/>
      <c r="C270" s="202"/>
      <c r="D270" s="210"/>
      <c r="E270" s="203"/>
      <c r="F270" s="203"/>
      <c r="G270" s="238"/>
      <c r="H270" s="210"/>
      <c r="I270" s="210"/>
      <c r="J270" s="210"/>
      <c r="K270" s="210"/>
      <c r="L270" s="127"/>
      <c r="M270" s="127"/>
      <c r="N270" s="201"/>
      <c r="O270" s="201"/>
      <c r="P270" s="201"/>
      <c r="Q270" s="201"/>
      <c r="R270" s="127"/>
      <c r="S270" s="127"/>
      <c r="T270" s="127"/>
      <c r="U270" s="127"/>
      <c r="V270" s="127"/>
      <c r="W270" s="127"/>
      <c r="X270" s="127"/>
      <c r="Y270" s="127"/>
      <c r="Z270" s="127"/>
      <c r="AA270" s="127"/>
      <c r="AB270" s="127"/>
      <c r="AC270" s="210"/>
      <c r="AD270" s="210"/>
      <c r="AE270" s="210"/>
      <c r="AF270" s="210"/>
      <c r="AG270" s="232"/>
      <c r="AH270" s="127"/>
    </row>
    <row r="271" spans="1:34" ht="15.75" x14ac:dyDescent="0.3">
      <c r="A271" s="127" t="s">
        <v>840</v>
      </c>
      <c r="B271" s="211">
        <v>80.910600000000002</v>
      </c>
      <c r="C271" s="202">
        <v>22.0501</v>
      </c>
      <c r="D271" s="210"/>
      <c r="E271" s="203">
        <v>33.075200000000002</v>
      </c>
      <c r="F271" s="203">
        <v>842.46249999999998</v>
      </c>
      <c r="G271" s="238">
        <f t="shared" si="25"/>
        <v>56.780450168405125</v>
      </c>
      <c r="H271" s="210">
        <v>89.473100000000002</v>
      </c>
      <c r="I271" s="210"/>
      <c r="J271" s="210"/>
      <c r="K271" s="210">
        <v>0</v>
      </c>
      <c r="L271" s="127">
        <v>4000</v>
      </c>
      <c r="M271" s="127">
        <v>15</v>
      </c>
      <c r="N271" s="201">
        <f t="shared" si="48"/>
        <v>80.910600000000002</v>
      </c>
      <c r="O271" s="201">
        <f t="shared" si="49"/>
        <v>80.910600000000002</v>
      </c>
      <c r="P271" s="201">
        <f t="shared" si="50"/>
        <v>80.910600000000002</v>
      </c>
      <c r="Q271" s="201">
        <f t="shared" si="30"/>
        <v>80.910600000000002</v>
      </c>
      <c r="R271" s="127" t="s">
        <v>868</v>
      </c>
      <c r="S271" s="127" t="str">
        <f>""</f>
        <v/>
      </c>
      <c r="T271" s="127" t="s">
        <v>262</v>
      </c>
      <c r="U271" s="127" t="s">
        <v>263</v>
      </c>
      <c r="V271" s="127" t="s">
        <v>264</v>
      </c>
      <c r="W271" s="127" t="s">
        <v>867</v>
      </c>
      <c r="X271" s="127" t="s">
        <v>866</v>
      </c>
      <c r="Y271" s="127" t="s">
        <v>271</v>
      </c>
      <c r="Z271" s="127" t="s">
        <v>267</v>
      </c>
      <c r="AA271" s="127" t="str">
        <f>""</f>
        <v/>
      </c>
      <c r="AB271" s="127">
        <v>15</v>
      </c>
      <c r="AC271" s="210">
        <f>PBL_OT_2025!$F$35/POWER(1.02,7)</f>
        <v>28.793927566074153</v>
      </c>
      <c r="AD271" s="210">
        <f t="shared" si="47"/>
        <v>0</v>
      </c>
      <c r="AE271" s="210" t="str">
        <f t="shared" si="26"/>
        <v/>
      </c>
      <c r="AF271" s="210" t="s">
        <v>558</v>
      </c>
      <c r="AG271" s="232">
        <v>45</v>
      </c>
      <c r="AH271" s="127"/>
    </row>
    <row r="272" spans="1:34" ht="15.75" x14ac:dyDescent="0.3">
      <c r="A272" s="127" t="s">
        <v>841</v>
      </c>
      <c r="B272" s="211">
        <v>95.347399999999993</v>
      </c>
      <c r="C272" s="202">
        <v>22.0501</v>
      </c>
      <c r="D272" s="210"/>
      <c r="E272" s="203">
        <v>33.075200000000002</v>
      </c>
      <c r="F272" s="203">
        <v>842.46249999999998</v>
      </c>
      <c r="G272" s="238">
        <f t="shared" si="25"/>
        <v>73.916880573319276</v>
      </c>
      <c r="H272" s="210">
        <v>89.473100000000002</v>
      </c>
      <c r="I272" s="210"/>
      <c r="J272" s="210"/>
      <c r="K272" s="210">
        <v>0</v>
      </c>
      <c r="L272" s="127">
        <v>4000</v>
      </c>
      <c r="M272" s="127">
        <v>15</v>
      </c>
      <c r="N272" s="201">
        <f t="shared" si="48"/>
        <v>95.347399999999993</v>
      </c>
      <c r="O272" s="201">
        <f t="shared" si="49"/>
        <v>95.347399999999993</v>
      </c>
      <c r="P272" s="201">
        <f t="shared" si="50"/>
        <v>95.347399999999993</v>
      </c>
      <c r="Q272" s="201">
        <f t="shared" si="30"/>
        <v>95.347399999999993</v>
      </c>
      <c r="R272" s="127" t="s">
        <v>868</v>
      </c>
      <c r="S272" s="127" t="str">
        <f>""</f>
        <v/>
      </c>
      <c r="T272" s="127" t="s">
        <v>262</v>
      </c>
      <c r="U272" s="127" t="s">
        <v>263</v>
      </c>
      <c r="V272" s="127" t="s">
        <v>264</v>
      </c>
      <c r="W272" s="127" t="s">
        <v>867</v>
      </c>
      <c r="X272" s="127" t="s">
        <v>866</v>
      </c>
      <c r="Y272" s="127" t="s">
        <v>271</v>
      </c>
      <c r="Z272" s="127" t="s">
        <v>267</v>
      </c>
      <c r="AA272" s="127" t="str">
        <f>""</f>
        <v/>
      </c>
      <c r="AB272" s="127">
        <v>15</v>
      </c>
      <c r="AC272" s="210">
        <f>PBL_OT_2025!$F$35/POWER(1.02,7)</f>
        <v>28.793927566074153</v>
      </c>
      <c r="AD272" s="210">
        <f t="shared" si="47"/>
        <v>0</v>
      </c>
      <c r="AE272" s="210" t="str">
        <f t="shared" si="26"/>
        <v/>
      </c>
      <c r="AF272" s="210" t="s">
        <v>558</v>
      </c>
      <c r="AG272" s="232">
        <v>45</v>
      </c>
      <c r="AH272" s="127"/>
    </row>
    <row r="273" spans="1:34" ht="15.75" x14ac:dyDescent="0.3">
      <c r="A273" s="127" t="s">
        <v>842</v>
      </c>
      <c r="B273" s="211">
        <v>80.199799999999996</v>
      </c>
      <c r="C273" s="202">
        <v>22.0501</v>
      </c>
      <c r="D273" s="210"/>
      <c r="E273" s="203">
        <v>33.075200000000002</v>
      </c>
      <c r="F273" s="203">
        <v>848.33500000000004</v>
      </c>
      <c r="G273" s="238">
        <f t="shared" si="25"/>
        <v>55.549517584444814</v>
      </c>
      <c r="H273" s="210">
        <v>89.473100000000002</v>
      </c>
      <c r="I273" s="210"/>
      <c r="J273" s="210"/>
      <c r="K273" s="210">
        <v>0</v>
      </c>
      <c r="L273" s="127">
        <v>4000</v>
      </c>
      <c r="M273" s="127">
        <v>15</v>
      </c>
      <c r="N273" s="201">
        <f t="shared" si="48"/>
        <v>80.199799999999996</v>
      </c>
      <c r="O273" s="201">
        <f t="shared" si="49"/>
        <v>80.199799999999996</v>
      </c>
      <c r="P273" s="201">
        <f t="shared" si="50"/>
        <v>80.199799999999996</v>
      </c>
      <c r="Q273" s="201">
        <f t="shared" si="30"/>
        <v>80.199799999999996</v>
      </c>
      <c r="R273" s="127" t="s">
        <v>868</v>
      </c>
      <c r="S273" s="127" t="str">
        <f>""</f>
        <v/>
      </c>
      <c r="T273" s="127" t="s">
        <v>262</v>
      </c>
      <c r="U273" s="127" t="s">
        <v>263</v>
      </c>
      <c r="V273" s="127" t="s">
        <v>264</v>
      </c>
      <c r="W273" s="127" t="s">
        <v>867</v>
      </c>
      <c r="X273" s="127" t="s">
        <v>866</v>
      </c>
      <c r="Y273" s="127" t="s">
        <v>271</v>
      </c>
      <c r="Z273" s="127" t="s">
        <v>267</v>
      </c>
      <c r="AA273" s="127" t="str">
        <f>""</f>
        <v/>
      </c>
      <c r="AB273" s="127">
        <v>15</v>
      </c>
      <c r="AC273" s="210">
        <f>PBL_OT_2025!$F$35/POWER(1.02,7)</f>
        <v>28.793927566074153</v>
      </c>
      <c r="AD273" s="210">
        <f t="shared" si="47"/>
        <v>0</v>
      </c>
      <c r="AE273" s="210" t="str">
        <f t="shared" si="26"/>
        <v/>
      </c>
      <c r="AF273" s="210" t="s">
        <v>558</v>
      </c>
      <c r="AG273" s="232">
        <v>45</v>
      </c>
      <c r="AH273" s="127"/>
    </row>
    <row r="274" spans="1:34" ht="15.75" x14ac:dyDescent="0.3">
      <c r="A274" s="127" t="s">
        <v>843</v>
      </c>
      <c r="B274" s="211">
        <v>94.636600000000001</v>
      </c>
      <c r="C274" s="202">
        <v>22.0501</v>
      </c>
      <c r="D274" s="210"/>
      <c r="E274" s="203">
        <v>33.075200000000002</v>
      </c>
      <c r="F274" s="203">
        <v>848.33500000000004</v>
      </c>
      <c r="G274" s="238">
        <f t="shared" si="25"/>
        <v>72.567323050445879</v>
      </c>
      <c r="H274" s="210">
        <v>89.473100000000002</v>
      </c>
      <c r="I274" s="210"/>
      <c r="J274" s="210"/>
      <c r="K274" s="210">
        <v>0</v>
      </c>
      <c r="L274" s="127">
        <v>4000</v>
      </c>
      <c r="M274" s="127">
        <v>15</v>
      </c>
      <c r="N274" s="201">
        <f t="shared" si="48"/>
        <v>94.636600000000001</v>
      </c>
      <c r="O274" s="201">
        <f t="shared" si="49"/>
        <v>94.636600000000001</v>
      </c>
      <c r="P274" s="201">
        <f t="shared" si="50"/>
        <v>94.636600000000001</v>
      </c>
      <c r="Q274" s="201">
        <f t="shared" si="30"/>
        <v>94.636600000000001</v>
      </c>
      <c r="R274" s="127" t="s">
        <v>868</v>
      </c>
      <c r="S274" s="127" t="str">
        <f>""</f>
        <v/>
      </c>
      <c r="T274" s="127" t="s">
        <v>262</v>
      </c>
      <c r="U274" s="127" t="s">
        <v>263</v>
      </c>
      <c r="V274" s="127" t="s">
        <v>264</v>
      </c>
      <c r="W274" s="127" t="s">
        <v>867</v>
      </c>
      <c r="X274" s="127" t="s">
        <v>866</v>
      </c>
      <c r="Y274" s="127" t="s">
        <v>271</v>
      </c>
      <c r="Z274" s="127" t="s">
        <v>267</v>
      </c>
      <c r="AA274" s="127" t="str">
        <f>""</f>
        <v/>
      </c>
      <c r="AB274" s="127">
        <v>15</v>
      </c>
      <c r="AC274" s="210">
        <f>PBL_OT_2025!$F$35/POWER(1.02,7)</f>
        <v>28.793927566074153</v>
      </c>
      <c r="AD274" s="210">
        <f t="shared" si="47"/>
        <v>0</v>
      </c>
      <c r="AE274" s="210" t="str">
        <f t="shared" si="26"/>
        <v/>
      </c>
      <c r="AF274" s="210" t="s">
        <v>558</v>
      </c>
      <c r="AG274" s="232">
        <v>45</v>
      </c>
      <c r="AH274" s="127"/>
    </row>
    <row r="275" spans="1:34" ht="15.75" x14ac:dyDescent="0.3">
      <c r="A275" s="127" t="s">
        <v>844</v>
      </c>
      <c r="B275" s="211">
        <v>155.1815</v>
      </c>
      <c r="C275" s="202">
        <v>22.0501</v>
      </c>
      <c r="D275" s="210"/>
      <c r="E275" s="203">
        <v>33.075200000000002</v>
      </c>
      <c r="F275" s="203">
        <v>762.02499999999998</v>
      </c>
      <c r="G275" s="238">
        <f t="shared" si="25"/>
        <v>160.2392309963584</v>
      </c>
      <c r="H275" s="210">
        <v>89.473100000000002</v>
      </c>
      <c r="I275" s="210"/>
      <c r="J275" s="210"/>
      <c r="K275" s="210">
        <v>0</v>
      </c>
      <c r="L275" s="127">
        <v>4000</v>
      </c>
      <c r="M275" s="127">
        <v>15</v>
      </c>
      <c r="N275" s="201">
        <f t="shared" si="48"/>
        <v>90.227074999999999</v>
      </c>
      <c r="O275" s="201">
        <f t="shared" si="49"/>
        <v>147.37895</v>
      </c>
      <c r="P275" s="201">
        <f t="shared" si="50"/>
        <v>155.1815</v>
      </c>
      <c r="Q275" s="201">
        <f t="shared" si="30"/>
        <v>155.1815</v>
      </c>
      <c r="R275" s="127" t="s">
        <v>868</v>
      </c>
      <c r="S275" s="127" t="str">
        <f>""</f>
        <v/>
      </c>
      <c r="T275" s="127" t="s">
        <v>262</v>
      </c>
      <c r="U275" s="127" t="s">
        <v>263</v>
      </c>
      <c r="V275" s="127" t="s">
        <v>264</v>
      </c>
      <c r="W275" s="127" t="s">
        <v>867</v>
      </c>
      <c r="X275" s="127" t="s">
        <v>866</v>
      </c>
      <c r="Y275" s="127" t="s">
        <v>271</v>
      </c>
      <c r="Z275" s="127" t="s">
        <v>267</v>
      </c>
      <c r="AA275" s="127" t="str">
        <f>""</f>
        <v/>
      </c>
      <c r="AB275" s="127">
        <v>15</v>
      </c>
      <c r="AC275" s="210">
        <f>PBL_OT_2025!$F$35/POWER(1.02,7)</f>
        <v>28.793927566074153</v>
      </c>
      <c r="AD275" s="210">
        <f t="shared" si="47"/>
        <v>0</v>
      </c>
      <c r="AE275" s="210" t="str">
        <f t="shared" si="26"/>
        <v/>
      </c>
      <c r="AF275" s="210" t="s">
        <v>558</v>
      </c>
      <c r="AG275" s="232">
        <v>45</v>
      </c>
      <c r="AH275" s="127"/>
    </row>
    <row r="276" spans="1:34" ht="15.75" x14ac:dyDescent="0.3">
      <c r="A276" s="127" t="s">
        <v>845</v>
      </c>
      <c r="B276" s="211">
        <v>169.61840000000001</v>
      </c>
      <c r="C276" s="202">
        <v>22.0501</v>
      </c>
      <c r="D276" s="210"/>
      <c r="E276" s="203">
        <v>33.075200000000002</v>
      </c>
      <c r="F276" s="203">
        <v>762.02499999999998</v>
      </c>
      <c r="G276" s="238">
        <f t="shared" si="25"/>
        <v>179.18467241888391</v>
      </c>
      <c r="H276" s="210">
        <v>89.473100000000002</v>
      </c>
      <c r="I276" s="210"/>
      <c r="J276" s="210"/>
      <c r="K276" s="210">
        <v>0</v>
      </c>
      <c r="L276" s="127">
        <v>4000</v>
      </c>
      <c r="M276" s="127">
        <v>15</v>
      </c>
      <c r="N276" s="201">
        <f t="shared" si="48"/>
        <v>90.227074999999999</v>
      </c>
      <c r="O276" s="201">
        <f t="shared" si="49"/>
        <v>147.37895</v>
      </c>
      <c r="P276" s="201">
        <f t="shared" si="50"/>
        <v>169.61840000000001</v>
      </c>
      <c r="Q276" s="201">
        <f t="shared" si="30"/>
        <v>169.61840000000001</v>
      </c>
      <c r="R276" s="127" t="s">
        <v>868</v>
      </c>
      <c r="S276" s="127" t="str">
        <f>""</f>
        <v/>
      </c>
      <c r="T276" s="127" t="s">
        <v>262</v>
      </c>
      <c r="U276" s="127" t="s">
        <v>263</v>
      </c>
      <c r="V276" s="127" t="s">
        <v>264</v>
      </c>
      <c r="W276" s="127" t="s">
        <v>867</v>
      </c>
      <c r="X276" s="127" t="s">
        <v>866</v>
      </c>
      <c r="Y276" s="127" t="s">
        <v>271</v>
      </c>
      <c r="Z276" s="127" t="s">
        <v>267</v>
      </c>
      <c r="AA276" s="127" t="str">
        <f>""</f>
        <v/>
      </c>
      <c r="AB276" s="127">
        <v>15</v>
      </c>
      <c r="AC276" s="210">
        <f>PBL_OT_2025!$F$35/POWER(1.02,7)</f>
        <v>28.793927566074153</v>
      </c>
      <c r="AD276" s="210">
        <f t="shared" si="47"/>
        <v>0</v>
      </c>
      <c r="AE276" s="210" t="str">
        <f t="shared" si="26"/>
        <v/>
      </c>
      <c r="AF276" s="210" t="s">
        <v>558</v>
      </c>
      <c r="AG276" s="232">
        <v>45</v>
      </c>
      <c r="AH276" s="127"/>
    </row>
    <row r="277" spans="1:34" ht="15.75" x14ac:dyDescent="0.3">
      <c r="A277" s="127" t="s">
        <v>846</v>
      </c>
      <c r="B277" s="211">
        <v>130.59460000000001</v>
      </c>
      <c r="C277" s="202">
        <v>22.0501</v>
      </c>
      <c r="D277" s="210"/>
      <c r="E277" s="203">
        <v>33.075200000000002</v>
      </c>
      <c r="F277" s="203">
        <v>777.77499999999998</v>
      </c>
      <c r="G277" s="238">
        <f t="shared" si="25"/>
        <v>125.38253350904829</v>
      </c>
      <c r="H277" s="210">
        <v>89.473100000000002</v>
      </c>
      <c r="I277" s="210"/>
      <c r="J277" s="210"/>
      <c r="K277" s="210">
        <v>0</v>
      </c>
      <c r="L277" s="127">
        <v>4000</v>
      </c>
      <c r="M277" s="127">
        <v>15</v>
      </c>
      <c r="N277" s="201">
        <f t="shared" si="48"/>
        <v>91.408325000000005</v>
      </c>
      <c r="O277" s="201">
        <f t="shared" si="49"/>
        <v>130.59460000000001</v>
      </c>
      <c r="P277" s="201">
        <f t="shared" si="50"/>
        <v>130.59460000000001</v>
      </c>
      <c r="Q277" s="201">
        <f t="shared" si="30"/>
        <v>130.59460000000001</v>
      </c>
      <c r="R277" s="127" t="s">
        <v>868</v>
      </c>
      <c r="S277" s="127" t="str">
        <f>""</f>
        <v/>
      </c>
      <c r="T277" s="127" t="s">
        <v>262</v>
      </c>
      <c r="U277" s="127" t="s">
        <v>263</v>
      </c>
      <c r="V277" s="127" t="s">
        <v>264</v>
      </c>
      <c r="W277" s="127" t="s">
        <v>867</v>
      </c>
      <c r="X277" s="127" t="s">
        <v>866</v>
      </c>
      <c r="Y277" s="127" t="s">
        <v>271</v>
      </c>
      <c r="Z277" s="127" t="s">
        <v>267</v>
      </c>
      <c r="AA277" s="127" t="str">
        <f>""</f>
        <v/>
      </c>
      <c r="AB277" s="127">
        <v>15</v>
      </c>
      <c r="AC277" s="210">
        <f>PBL_OT_2025!$F$35/POWER(1.02,7)</f>
        <v>28.793927566074153</v>
      </c>
      <c r="AD277" s="210">
        <f t="shared" si="47"/>
        <v>0</v>
      </c>
      <c r="AE277" s="210" t="str">
        <f t="shared" si="26"/>
        <v/>
      </c>
      <c r="AF277" s="210" t="s">
        <v>558</v>
      </c>
      <c r="AG277" s="232">
        <v>45</v>
      </c>
      <c r="AH277" s="127"/>
    </row>
    <row r="278" spans="1:34" ht="15.75" x14ac:dyDescent="0.3">
      <c r="A278" s="127" t="s">
        <v>847</v>
      </c>
      <c r="B278" s="211">
        <v>145.03149999999999</v>
      </c>
      <c r="C278" s="202">
        <v>22.0501</v>
      </c>
      <c r="D278" s="210"/>
      <c r="E278" s="203">
        <v>33.075200000000002</v>
      </c>
      <c r="F278" s="203">
        <v>777.77499999999998</v>
      </c>
      <c r="G278" s="238">
        <f t="shared" si="25"/>
        <v>143.94432837260135</v>
      </c>
      <c r="H278" s="210">
        <v>89.473100000000002</v>
      </c>
      <c r="I278" s="210"/>
      <c r="J278" s="210"/>
      <c r="K278" s="210">
        <v>0</v>
      </c>
      <c r="L278" s="127">
        <v>4000</v>
      </c>
      <c r="M278" s="127">
        <v>15</v>
      </c>
      <c r="N278" s="201">
        <f t="shared" si="48"/>
        <v>91.408325000000005</v>
      </c>
      <c r="O278" s="201">
        <f t="shared" si="49"/>
        <v>145.03149999999999</v>
      </c>
      <c r="P278" s="201">
        <f t="shared" si="50"/>
        <v>145.03149999999999</v>
      </c>
      <c r="Q278" s="201">
        <f t="shared" si="30"/>
        <v>145.03149999999999</v>
      </c>
      <c r="R278" s="127" t="s">
        <v>868</v>
      </c>
      <c r="S278" s="127" t="str">
        <f>""</f>
        <v/>
      </c>
      <c r="T278" s="127" t="s">
        <v>262</v>
      </c>
      <c r="U278" s="127" t="s">
        <v>263</v>
      </c>
      <c r="V278" s="127" t="s">
        <v>264</v>
      </c>
      <c r="W278" s="127" t="s">
        <v>867</v>
      </c>
      <c r="X278" s="127" t="s">
        <v>866</v>
      </c>
      <c r="Y278" s="127" t="s">
        <v>271</v>
      </c>
      <c r="Z278" s="127" t="s">
        <v>267</v>
      </c>
      <c r="AA278" s="127" t="str">
        <f>""</f>
        <v/>
      </c>
      <c r="AB278" s="127">
        <v>15</v>
      </c>
      <c r="AC278" s="210">
        <f>PBL_OT_2025!$F$35/POWER(1.02,7)</f>
        <v>28.793927566074153</v>
      </c>
      <c r="AD278" s="210">
        <f t="shared" si="47"/>
        <v>0</v>
      </c>
      <c r="AE278" s="210" t="str">
        <f t="shared" si="26"/>
        <v/>
      </c>
      <c r="AF278" s="210" t="s">
        <v>558</v>
      </c>
      <c r="AG278" s="232">
        <v>45</v>
      </c>
      <c r="AH278" s="127"/>
    </row>
    <row r="279" spans="1:34" ht="15.75" x14ac:dyDescent="0.3">
      <c r="A279" s="127" t="s">
        <v>848</v>
      </c>
      <c r="B279" s="211">
        <v>178.5352</v>
      </c>
      <c r="C279" s="202">
        <v>22.0501</v>
      </c>
      <c r="D279" s="210"/>
      <c r="E279" s="203">
        <v>33.075200000000002</v>
      </c>
      <c r="F279" s="203">
        <v>681.47500000000002</v>
      </c>
      <c r="G279" s="238">
        <f t="shared" si="25"/>
        <v>213.44876921383764</v>
      </c>
      <c r="H279" s="210">
        <v>89.473100000000002</v>
      </c>
      <c r="I279" s="210"/>
      <c r="J279" s="210"/>
      <c r="K279" s="210">
        <v>0</v>
      </c>
      <c r="L279" s="127">
        <v>4000</v>
      </c>
      <c r="M279" s="127">
        <v>15</v>
      </c>
      <c r="N279" s="201">
        <f t="shared" si="48"/>
        <v>84.185824999999994</v>
      </c>
      <c r="O279" s="201">
        <f t="shared" si="49"/>
        <v>135.29644999999999</v>
      </c>
      <c r="P279" s="201">
        <f t="shared" si="50"/>
        <v>178.5352</v>
      </c>
      <c r="Q279" s="201">
        <f t="shared" si="30"/>
        <v>178.5352</v>
      </c>
      <c r="R279" s="127" t="s">
        <v>868</v>
      </c>
      <c r="S279" s="127" t="str">
        <f>""</f>
        <v/>
      </c>
      <c r="T279" s="127" t="s">
        <v>262</v>
      </c>
      <c r="U279" s="127" t="s">
        <v>263</v>
      </c>
      <c r="V279" s="127" t="s">
        <v>264</v>
      </c>
      <c r="W279" s="127" t="s">
        <v>867</v>
      </c>
      <c r="X279" s="127" t="s">
        <v>866</v>
      </c>
      <c r="Y279" s="127" t="s">
        <v>271</v>
      </c>
      <c r="Z279" s="127" t="s">
        <v>267</v>
      </c>
      <c r="AA279" s="127" t="str">
        <f>""</f>
        <v/>
      </c>
      <c r="AB279" s="127">
        <v>15</v>
      </c>
      <c r="AC279" s="210">
        <f>PBL_OT_2025!$F$35/POWER(1.02,7)</f>
        <v>28.793927566074153</v>
      </c>
      <c r="AD279" s="210">
        <f t="shared" si="47"/>
        <v>0</v>
      </c>
      <c r="AE279" s="210" t="str">
        <f t="shared" si="26"/>
        <v/>
      </c>
      <c r="AF279" s="210" t="s">
        <v>558</v>
      </c>
      <c r="AG279" s="232">
        <v>45</v>
      </c>
      <c r="AH279" s="127"/>
    </row>
    <row r="280" spans="1:34" ht="15.75" x14ac:dyDescent="0.3">
      <c r="A280" s="127" t="s">
        <v>849</v>
      </c>
      <c r="B280" s="211">
        <v>192.97210000000001</v>
      </c>
      <c r="C280" s="202">
        <v>22.0501</v>
      </c>
      <c r="D280" s="210"/>
      <c r="E280" s="203">
        <v>33.075200000000002</v>
      </c>
      <c r="F280" s="203">
        <v>681.47500000000002</v>
      </c>
      <c r="G280" s="238">
        <f t="shared" si="25"/>
        <v>234.63355222128473</v>
      </c>
      <c r="H280" s="210">
        <v>89.473100000000002</v>
      </c>
      <c r="I280" s="210"/>
      <c r="J280" s="210"/>
      <c r="K280" s="210">
        <v>0</v>
      </c>
      <c r="L280" s="127">
        <v>4000</v>
      </c>
      <c r="M280" s="127">
        <v>15</v>
      </c>
      <c r="N280" s="201">
        <f t="shared" si="48"/>
        <v>84.185824999999994</v>
      </c>
      <c r="O280" s="201">
        <f t="shared" si="49"/>
        <v>135.29644999999999</v>
      </c>
      <c r="P280" s="201">
        <f t="shared" si="50"/>
        <v>186.40707499999999</v>
      </c>
      <c r="Q280" s="201">
        <f t="shared" si="30"/>
        <v>192.97210000000001</v>
      </c>
      <c r="R280" s="127" t="s">
        <v>868</v>
      </c>
      <c r="S280" s="127" t="str">
        <f>""</f>
        <v/>
      </c>
      <c r="T280" s="127" t="s">
        <v>262</v>
      </c>
      <c r="U280" s="127" t="s">
        <v>263</v>
      </c>
      <c r="V280" s="127" t="s">
        <v>264</v>
      </c>
      <c r="W280" s="127" t="s">
        <v>867</v>
      </c>
      <c r="X280" s="127" t="s">
        <v>866</v>
      </c>
      <c r="Y280" s="127" t="s">
        <v>271</v>
      </c>
      <c r="Z280" s="127" t="s">
        <v>267</v>
      </c>
      <c r="AA280" s="127" t="str">
        <f>""</f>
        <v/>
      </c>
      <c r="AB280" s="127">
        <v>15</v>
      </c>
      <c r="AC280" s="210">
        <f>PBL_OT_2025!$F$35/POWER(1.02,7)</f>
        <v>28.793927566074153</v>
      </c>
      <c r="AD280" s="210">
        <f t="shared" ref="AD280:AD332" si="51">K280</f>
        <v>0</v>
      </c>
      <c r="AE280" s="210" t="str">
        <f t="shared" si="26"/>
        <v/>
      </c>
      <c r="AF280" s="210" t="s">
        <v>558</v>
      </c>
      <c r="AG280" s="232">
        <v>45</v>
      </c>
      <c r="AH280" s="127"/>
    </row>
    <row r="281" spans="1:34" ht="15" x14ac:dyDescent="0.25">
      <c r="A281" s="127" t="s">
        <v>791</v>
      </c>
      <c r="B281" s="211">
        <v>120.6819</v>
      </c>
      <c r="C281" s="202">
        <v>22.0501</v>
      </c>
      <c r="D281" s="210"/>
      <c r="E281" s="203">
        <v>33.075200000000002</v>
      </c>
      <c r="F281" s="203">
        <v>774.05</v>
      </c>
      <c r="G281" s="238">
        <f t="shared" si="25"/>
        <v>113.17963955816806</v>
      </c>
      <c r="H281" s="210">
        <v>89.473100000000002</v>
      </c>
      <c r="I281" s="210"/>
      <c r="J281" s="210"/>
      <c r="K281" s="210">
        <v>0</v>
      </c>
      <c r="L281" s="127">
        <v>4000</v>
      </c>
      <c r="M281" s="127">
        <v>15</v>
      </c>
      <c r="N281" s="201">
        <f t="shared" si="48"/>
        <v>91.128950000000003</v>
      </c>
      <c r="O281" s="201">
        <f t="shared" si="49"/>
        <v>120.6819</v>
      </c>
      <c r="P281" s="201">
        <f t="shared" si="50"/>
        <v>120.6819</v>
      </c>
      <c r="Q281" s="201">
        <f t="shared" si="30"/>
        <v>120.6819</v>
      </c>
      <c r="R281" s="127" t="s">
        <v>868</v>
      </c>
      <c r="S281" s="127" t="str">
        <f>""</f>
        <v/>
      </c>
      <c r="T281" s="127" t="s">
        <v>262</v>
      </c>
      <c r="U281" s="127" t="s">
        <v>263</v>
      </c>
      <c r="V281" s="127" t="s">
        <v>264</v>
      </c>
      <c r="W281" s="127" t="s">
        <v>867</v>
      </c>
      <c r="X281" s="127" t="s">
        <v>866</v>
      </c>
      <c r="Y281" s="127" t="s">
        <v>271</v>
      </c>
      <c r="Z281" s="127" t="s">
        <v>267</v>
      </c>
      <c r="AA281" s="127" t="str">
        <f>""</f>
        <v/>
      </c>
      <c r="AB281" s="127">
        <v>15</v>
      </c>
      <c r="AC281" s="210">
        <f>PBL_OT_2025!$F$35/POWER(1.02,7)</f>
        <v>28.793927566074153</v>
      </c>
      <c r="AD281" s="210">
        <f t="shared" si="51"/>
        <v>0</v>
      </c>
      <c r="AE281" s="210" t="str">
        <f t="shared" si="26"/>
        <v/>
      </c>
      <c r="AF281" s="210" t="s">
        <v>558</v>
      </c>
      <c r="AG281" s="232">
        <v>45</v>
      </c>
      <c r="AH281" s="127"/>
    </row>
    <row r="282" spans="1:34" ht="15" x14ac:dyDescent="0.25">
      <c r="A282" s="127"/>
      <c r="B282" s="211"/>
      <c r="C282" s="202"/>
      <c r="D282" s="210"/>
      <c r="E282" s="203"/>
      <c r="F282" s="203"/>
      <c r="G282" s="238"/>
      <c r="H282" s="210"/>
      <c r="I282" s="210"/>
      <c r="J282" s="210"/>
      <c r="K282" s="210"/>
      <c r="L282" s="127"/>
      <c r="M282" s="127"/>
      <c r="N282" s="201"/>
      <c r="O282" s="201"/>
      <c r="P282" s="201"/>
      <c r="Q282" s="201"/>
      <c r="R282" s="127"/>
      <c r="S282" s="127"/>
      <c r="T282" s="127"/>
      <c r="U282" s="127"/>
      <c r="V282" s="127"/>
      <c r="W282" s="127"/>
      <c r="X282" s="127"/>
      <c r="Y282" s="127"/>
      <c r="Z282" s="127"/>
      <c r="AA282" s="127"/>
      <c r="AB282" s="127"/>
      <c r="AC282" s="210"/>
      <c r="AD282" s="210"/>
      <c r="AE282" s="210"/>
      <c r="AF282" s="210"/>
      <c r="AG282" s="232"/>
      <c r="AH282" s="127"/>
    </row>
    <row r="283" spans="1:34" ht="15" x14ac:dyDescent="0.25">
      <c r="A283" s="269" t="s">
        <v>792</v>
      </c>
      <c r="B283" s="211"/>
      <c r="C283" s="202"/>
      <c r="D283" s="210"/>
      <c r="E283" s="203"/>
      <c r="F283" s="203"/>
      <c r="G283" s="238"/>
      <c r="H283" s="210"/>
      <c r="I283" s="210"/>
      <c r="J283" s="210"/>
      <c r="K283" s="210"/>
      <c r="L283" s="127"/>
      <c r="M283" s="127"/>
      <c r="N283" s="201"/>
      <c r="O283" s="201"/>
      <c r="P283" s="201"/>
      <c r="Q283" s="201"/>
      <c r="R283" s="127"/>
      <c r="S283" s="127"/>
      <c r="T283" s="127"/>
      <c r="U283" s="127"/>
      <c r="V283" s="127"/>
      <c r="W283" s="127"/>
      <c r="X283" s="127"/>
      <c r="Y283" s="127"/>
      <c r="Z283" s="127"/>
      <c r="AA283" s="127"/>
      <c r="AB283" s="127"/>
      <c r="AC283" s="210"/>
      <c r="AD283" s="210"/>
      <c r="AE283" s="210"/>
      <c r="AF283" s="210"/>
      <c r="AG283" s="232"/>
      <c r="AH283" s="127"/>
    </row>
    <row r="284" spans="1:34" ht="15.75" x14ac:dyDescent="0.3">
      <c r="A284" s="127" t="s">
        <v>850</v>
      </c>
      <c r="B284" s="211">
        <v>121.1495</v>
      </c>
      <c r="C284" s="202">
        <v>22.0501</v>
      </c>
      <c r="D284" s="210"/>
      <c r="E284" s="203">
        <v>33.075200000000002</v>
      </c>
      <c r="F284" s="203">
        <v>828.48749999999995</v>
      </c>
      <c r="G284" s="238">
        <f t="shared" si="25"/>
        <v>106.30733716561807</v>
      </c>
      <c r="H284" s="210">
        <v>89.473100000000002</v>
      </c>
      <c r="I284" s="210"/>
      <c r="J284" s="210"/>
      <c r="K284" s="210">
        <v>0</v>
      </c>
      <c r="L284" s="127">
        <v>4000</v>
      </c>
      <c r="M284" s="127">
        <v>15</v>
      </c>
      <c r="N284" s="201">
        <f t="shared" si="48"/>
        <v>95.211762499999992</v>
      </c>
      <c r="O284" s="201">
        <f t="shared" si="49"/>
        <v>121.1495</v>
      </c>
      <c r="P284" s="201">
        <f t="shared" si="50"/>
        <v>121.1495</v>
      </c>
      <c r="Q284" s="201">
        <f t="shared" si="30"/>
        <v>121.1495</v>
      </c>
      <c r="R284" s="127" t="s">
        <v>868</v>
      </c>
      <c r="S284" s="127" t="str">
        <f>""</f>
        <v/>
      </c>
      <c r="T284" s="127" t="s">
        <v>262</v>
      </c>
      <c r="U284" s="127" t="s">
        <v>263</v>
      </c>
      <c r="V284" s="127" t="s">
        <v>264</v>
      </c>
      <c r="W284" s="127" t="s">
        <v>867</v>
      </c>
      <c r="X284" s="127" t="s">
        <v>866</v>
      </c>
      <c r="Y284" s="127" t="s">
        <v>271</v>
      </c>
      <c r="Z284" s="127" t="s">
        <v>267</v>
      </c>
      <c r="AA284" s="127" t="str">
        <f>""</f>
        <v/>
      </c>
      <c r="AB284" s="127">
        <v>15</v>
      </c>
      <c r="AC284" s="210">
        <f>PBL_OT_2025!$F$35/POWER(1.02,7)</f>
        <v>28.793927566074153</v>
      </c>
      <c r="AD284" s="210">
        <f t="shared" si="51"/>
        <v>0</v>
      </c>
      <c r="AE284" s="210" t="str">
        <f t="shared" si="26"/>
        <v/>
      </c>
      <c r="AF284" s="210" t="s">
        <v>558</v>
      </c>
      <c r="AG284" s="232">
        <v>45</v>
      </c>
      <c r="AH284" s="127"/>
    </row>
    <row r="285" spans="1:34" ht="15.75" x14ac:dyDescent="0.3">
      <c r="A285" s="127" t="s">
        <v>851</v>
      </c>
      <c r="B285" s="211">
        <v>114.7042</v>
      </c>
      <c r="C285" s="202">
        <v>22.0501</v>
      </c>
      <c r="D285" s="210"/>
      <c r="E285" s="203">
        <v>33.075200000000002</v>
      </c>
      <c r="F285" s="203">
        <v>832.12750000000005</v>
      </c>
      <c r="G285" s="238">
        <f t="shared" si="25"/>
        <v>98.096745991449609</v>
      </c>
      <c r="H285" s="210">
        <v>89.473100000000002</v>
      </c>
      <c r="I285" s="210"/>
      <c r="J285" s="210"/>
      <c r="K285" s="210">
        <v>0</v>
      </c>
      <c r="L285" s="127">
        <v>4000</v>
      </c>
      <c r="M285" s="127">
        <v>15</v>
      </c>
      <c r="N285" s="201">
        <f t="shared" si="48"/>
        <v>95.484762500000016</v>
      </c>
      <c r="O285" s="201">
        <f t="shared" si="49"/>
        <v>114.7042</v>
      </c>
      <c r="P285" s="201">
        <f t="shared" si="50"/>
        <v>114.7042</v>
      </c>
      <c r="Q285" s="201">
        <f t="shared" si="30"/>
        <v>114.7042</v>
      </c>
      <c r="R285" s="127" t="s">
        <v>868</v>
      </c>
      <c r="S285" s="127" t="str">
        <f>""</f>
        <v/>
      </c>
      <c r="T285" s="127" t="s">
        <v>262</v>
      </c>
      <c r="U285" s="127" t="s">
        <v>263</v>
      </c>
      <c r="V285" s="127" t="s">
        <v>264</v>
      </c>
      <c r="W285" s="127" t="s">
        <v>867</v>
      </c>
      <c r="X285" s="127" t="s">
        <v>866</v>
      </c>
      <c r="Y285" s="127" t="s">
        <v>271</v>
      </c>
      <c r="Z285" s="127" t="s">
        <v>267</v>
      </c>
      <c r="AA285" s="127" t="str">
        <f>""</f>
        <v/>
      </c>
      <c r="AB285" s="127">
        <v>15</v>
      </c>
      <c r="AC285" s="210">
        <f>PBL_OT_2025!$F$35/POWER(1.02,7)</f>
        <v>28.793927566074153</v>
      </c>
      <c r="AD285" s="210">
        <f t="shared" si="51"/>
        <v>0</v>
      </c>
      <c r="AE285" s="210" t="str">
        <f t="shared" si="26"/>
        <v/>
      </c>
      <c r="AF285" s="210" t="s">
        <v>558</v>
      </c>
      <c r="AG285" s="232">
        <v>45</v>
      </c>
      <c r="AH285" s="127"/>
    </row>
    <row r="286" spans="1:34" ht="15.75" x14ac:dyDescent="0.3">
      <c r="A286" s="127" t="s">
        <v>852</v>
      </c>
      <c r="B286" s="211">
        <v>120.4388</v>
      </c>
      <c r="C286" s="202">
        <v>22.0501</v>
      </c>
      <c r="D286" s="210"/>
      <c r="E286" s="203">
        <v>33.075200000000002</v>
      </c>
      <c r="F286" s="203">
        <v>834.36</v>
      </c>
      <c r="G286" s="238">
        <f t="shared" si="25"/>
        <v>104.70732058104414</v>
      </c>
      <c r="H286" s="210">
        <v>89.473100000000002</v>
      </c>
      <c r="I286" s="210"/>
      <c r="J286" s="210"/>
      <c r="K286" s="210">
        <v>0</v>
      </c>
      <c r="L286" s="127">
        <v>4000</v>
      </c>
      <c r="M286" s="127">
        <v>15</v>
      </c>
      <c r="N286" s="201">
        <f t="shared" si="48"/>
        <v>95.652199999999993</v>
      </c>
      <c r="O286" s="201">
        <f t="shared" si="49"/>
        <v>120.4388</v>
      </c>
      <c r="P286" s="201">
        <f t="shared" si="50"/>
        <v>120.4388</v>
      </c>
      <c r="Q286" s="201">
        <f t="shared" si="30"/>
        <v>120.4388</v>
      </c>
      <c r="R286" s="127" t="s">
        <v>868</v>
      </c>
      <c r="S286" s="127" t="str">
        <f>""</f>
        <v/>
      </c>
      <c r="T286" s="127" t="s">
        <v>262</v>
      </c>
      <c r="U286" s="127" t="s">
        <v>263</v>
      </c>
      <c r="V286" s="127" t="s">
        <v>264</v>
      </c>
      <c r="W286" s="127" t="s">
        <v>867</v>
      </c>
      <c r="X286" s="127" t="s">
        <v>866</v>
      </c>
      <c r="Y286" s="127" t="s">
        <v>271</v>
      </c>
      <c r="Z286" s="127" t="s">
        <v>267</v>
      </c>
      <c r="AA286" s="127" t="str">
        <f>""</f>
        <v/>
      </c>
      <c r="AB286" s="127">
        <v>15</v>
      </c>
      <c r="AC286" s="210">
        <f>PBL_OT_2025!$F$35/POWER(1.02,7)</f>
        <v>28.793927566074153</v>
      </c>
      <c r="AD286" s="210">
        <f t="shared" si="51"/>
        <v>0</v>
      </c>
      <c r="AE286" s="210" t="str">
        <f t="shared" si="26"/>
        <v/>
      </c>
      <c r="AF286" s="210" t="s">
        <v>558</v>
      </c>
      <c r="AG286" s="232">
        <v>45</v>
      </c>
      <c r="AH286" s="127"/>
    </row>
    <row r="287" spans="1:34" ht="15.75" x14ac:dyDescent="0.3">
      <c r="A287" s="127" t="s">
        <v>853</v>
      </c>
      <c r="B287" s="211">
        <v>215.42089999999999</v>
      </c>
      <c r="C287" s="202">
        <v>22.0501</v>
      </c>
      <c r="D287" s="210"/>
      <c r="E287" s="203">
        <v>33.075200000000002</v>
      </c>
      <c r="F287" s="203">
        <v>751.69</v>
      </c>
      <c r="G287" s="238">
        <f t="shared" si="25"/>
        <v>242.58098418230915</v>
      </c>
      <c r="H287" s="210">
        <v>89.473100000000002</v>
      </c>
      <c r="I287" s="210"/>
      <c r="J287" s="210"/>
      <c r="K287" s="210">
        <v>0</v>
      </c>
      <c r="L287" s="127">
        <v>4000</v>
      </c>
      <c r="M287" s="127">
        <v>15</v>
      </c>
      <c r="N287" s="201">
        <f t="shared" si="48"/>
        <v>89.451950000000011</v>
      </c>
      <c r="O287" s="201">
        <f t="shared" si="49"/>
        <v>145.82870000000003</v>
      </c>
      <c r="P287" s="201">
        <f t="shared" si="50"/>
        <v>202.20544999999998</v>
      </c>
      <c r="Q287" s="201">
        <f t="shared" si="30"/>
        <v>215.42089999999999</v>
      </c>
      <c r="R287" s="127" t="s">
        <v>868</v>
      </c>
      <c r="S287" s="127" t="str">
        <f>""</f>
        <v/>
      </c>
      <c r="T287" s="127" t="s">
        <v>262</v>
      </c>
      <c r="U287" s="127" t="s">
        <v>263</v>
      </c>
      <c r="V287" s="127" t="s">
        <v>264</v>
      </c>
      <c r="W287" s="127" t="s">
        <v>867</v>
      </c>
      <c r="X287" s="127" t="s">
        <v>866</v>
      </c>
      <c r="Y287" s="127" t="s">
        <v>271</v>
      </c>
      <c r="Z287" s="127" t="s">
        <v>267</v>
      </c>
      <c r="AA287" s="127" t="str">
        <f>""</f>
        <v/>
      </c>
      <c r="AB287" s="127">
        <v>15</v>
      </c>
      <c r="AC287" s="210">
        <f>PBL_OT_2025!$F$35/POWER(1.02,7)</f>
        <v>28.793927566074153</v>
      </c>
      <c r="AD287" s="210">
        <f t="shared" si="51"/>
        <v>0</v>
      </c>
      <c r="AE287" s="210" t="str">
        <f t="shared" si="26"/>
        <v/>
      </c>
      <c r="AF287" s="210" t="s">
        <v>558</v>
      </c>
      <c r="AG287" s="232">
        <v>45</v>
      </c>
      <c r="AH287" s="127"/>
    </row>
    <row r="288" spans="1:34" ht="15.75" x14ac:dyDescent="0.3">
      <c r="A288" s="127" t="s">
        <v>854</v>
      </c>
      <c r="B288" s="211">
        <v>186.30109999999999</v>
      </c>
      <c r="C288" s="202">
        <v>22.0501</v>
      </c>
      <c r="D288" s="210"/>
      <c r="E288" s="203">
        <v>33.075200000000002</v>
      </c>
      <c r="F288" s="203">
        <v>767.44</v>
      </c>
      <c r="G288" s="238">
        <f t="shared" si="25"/>
        <v>199.65847492963618</v>
      </c>
      <c r="H288" s="210">
        <v>89.473100000000002</v>
      </c>
      <c r="I288" s="210"/>
      <c r="J288" s="210"/>
      <c r="K288" s="210">
        <v>0</v>
      </c>
      <c r="L288" s="127">
        <v>4000</v>
      </c>
      <c r="M288" s="127">
        <v>15</v>
      </c>
      <c r="N288" s="201">
        <f t="shared" si="48"/>
        <v>90.633200000000016</v>
      </c>
      <c r="O288" s="201">
        <f t="shared" si="49"/>
        <v>148.19120000000001</v>
      </c>
      <c r="P288" s="201">
        <f t="shared" si="50"/>
        <v>186.30109999999999</v>
      </c>
      <c r="Q288" s="201">
        <f t="shared" si="30"/>
        <v>186.30109999999999</v>
      </c>
      <c r="R288" s="127" t="s">
        <v>868</v>
      </c>
      <c r="S288" s="127" t="str">
        <f>""</f>
        <v/>
      </c>
      <c r="T288" s="127" t="s">
        <v>262</v>
      </c>
      <c r="U288" s="127" t="s">
        <v>263</v>
      </c>
      <c r="V288" s="127" t="s">
        <v>264</v>
      </c>
      <c r="W288" s="127" t="s">
        <v>867</v>
      </c>
      <c r="X288" s="127" t="s">
        <v>866</v>
      </c>
      <c r="Y288" s="127" t="s">
        <v>271</v>
      </c>
      <c r="Z288" s="127" t="s">
        <v>267</v>
      </c>
      <c r="AA288" s="127" t="str">
        <f>""</f>
        <v/>
      </c>
      <c r="AB288" s="127">
        <v>15</v>
      </c>
      <c r="AC288" s="210">
        <f>PBL_OT_2025!$F$35/POWER(1.02,7)</f>
        <v>28.793927566074153</v>
      </c>
      <c r="AD288" s="210">
        <f t="shared" si="51"/>
        <v>0</v>
      </c>
      <c r="AE288" s="210" t="str">
        <f t="shared" si="26"/>
        <v/>
      </c>
      <c r="AF288" s="210" t="s">
        <v>558</v>
      </c>
      <c r="AG288" s="232">
        <v>45</v>
      </c>
      <c r="AH288" s="127"/>
    </row>
    <row r="289" spans="1:34" ht="15.75" x14ac:dyDescent="0.3">
      <c r="A289" s="127" t="s">
        <v>855</v>
      </c>
      <c r="B289" s="211">
        <v>234.41720000000001</v>
      </c>
      <c r="C289" s="202">
        <v>22.0501</v>
      </c>
      <c r="D289" s="210"/>
      <c r="E289" s="203">
        <v>33.075200000000002</v>
      </c>
      <c r="F289" s="203">
        <v>671.14</v>
      </c>
      <c r="G289" s="238">
        <f t="shared" si="25"/>
        <v>300</v>
      </c>
      <c r="H289" s="210">
        <v>89.473100000000002</v>
      </c>
      <c r="I289" s="210"/>
      <c r="J289" s="210"/>
      <c r="K289" s="210">
        <v>0</v>
      </c>
      <c r="L289" s="127">
        <v>4000</v>
      </c>
      <c r="M289" s="127">
        <v>15</v>
      </c>
      <c r="N289" s="201">
        <f t="shared" si="48"/>
        <v>83.410700000000006</v>
      </c>
      <c r="O289" s="201">
        <f t="shared" si="49"/>
        <v>133.74620000000002</v>
      </c>
      <c r="P289" s="201">
        <f t="shared" si="50"/>
        <v>184.08169999999998</v>
      </c>
      <c r="Q289" s="201">
        <f t="shared" si="30"/>
        <v>234.41720000000001</v>
      </c>
      <c r="R289" s="127" t="s">
        <v>868</v>
      </c>
      <c r="S289" s="127" t="str">
        <f>""</f>
        <v/>
      </c>
      <c r="T289" s="127" t="s">
        <v>262</v>
      </c>
      <c r="U289" s="127" t="s">
        <v>263</v>
      </c>
      <c r="V289" s="127" t="s">
        <v>264</v>
      </c>
      <c r="W289" s="127" t="s">
        <v>867</v>
      </c>
      <c r="X289" s="127" t="s">
        <v>866</v>
      </c>
      <c r="Y289" s="127" t="s">
        <v>271</v>
      </c>
      <c r="Z289" s="127" t="s">
        <v>267</v>
      </c>
      <c r="AA289" s="127" t="str">
        <f>""</f>
        <v/>
      </c>
      <c r="AB289" s="127">
        <v>15</v>
      </c>
      <c r="AC289" s="210">
        <f>PBL_OT_2025!$F$35/POWER(1.02,7)</f>
        <v>28.793927566074153</v>
      </c>
      <c r="AD289" s="210">
        <f t="shared" si="51"/>
        <v>0</v>
      </c>
      <c r="AE289" s="210" t="str">
        <f t="shared" si="26"/>
        <v/>
      </c>
      <c r="AF289" s="210" t="s">
        <v>558</v>
      </c>
      <c r="AG289" s="232">
        <v>45</v>
      </c>
      <c r="AH289" s="127"/>
    </row>
    <row r="290" spans="1:34" ht="15" x14ac:dyDescent="0.25">
      <c r="A290" s="127" t="s">
        <v>793</v>
      </c>
      <c r="B290" s="211">
        <v>161.393</v>
      </c>
      <c r="C290" s="202">
        <v>22.0501</v>
      </c>
      <c r="D290" s="210"/>
      <c r="E290" s="203">
        <v>33.075200000000002</v>
      </c>
      <c r="F290" s="203">
        <v>753.9</v>
      </c>
      <c r="G290" s="238">
        <f t="shared" si="25"/>
        <v>170.20533227218465</v>
      </c>
      <c r="H290" s="210">
        <v>89.473100000000002</v>
      </c>
      <c r="I290" s="210"/>
      <c r="J290" s="210"/>
      <c r="K290" s="210">
        <v>0</v>
      </c>
      <c r="L290" s="127">
        <v>4000</v>
      </c>
      <c r="M290" s="127">
        <v>15</v>
      </c>
      <c r="N290" s="201">
        <f t="shared" si="48"/>
        <v>89.617699999999999</v>
      </c>
      <c r="O290" s="201">
        <f t="shared" si="49"/>
        <v>146.1602</v>
      </c>
      <c r="P290" s="201">
        <f t="shared" si="50"/>
        <v>161.393</v>
      </c>
      <c r="Q290" s="201">
        <f t="shared" si="30"/>
        <v>161.393</v>
      </c>
      <c r="R290" s="127" t="s">
        <v>868</v>
      </c>
      <c r="S290" s="127" t="str">
        <f>""</f>
        <v/>
      </c>
      <c r="T290" s="127" t="s">
        <v>262</v>
      </c>
      <c r="U290" s="127" t="s">
        <v>263</v>
      </c>
      <c r="V290" s="127" t="s">
        <v>264</v>
      </c>
      <c r="W290" s="127" t="s">
        <v>867</v>
      </c>
      <c r="X290" s="127" t="s">
        <v>866</v>
      </c>
      <c r="Y290" s="127" t="s">
        <v>271</v>
      </c>
      <c r="Z290" s="127" t="s">
        <v>267</v>
      </c>
      <c r="AA290" s="127" t="str">
        <f>""</f>
        <v/>
      </c>
      <c r="AB290" s="127">
        <v>15</v>
      </c>
      <c r="AC290" s="210">
        <f>PBL_OT_2025!$F$35/POWER(1.02,7)</f>
        <v>28.793927566074153</v>
      </c>
      <c r="AD290" s="210">
        <f t="shared" si="51"/>
        <v>0</v>
      </c>
      <c r="AE290" s="210" t="str">
        <f t="shared" si="26"/>
        <v/>
      </c>
      <c r="AF290" s="210" t="s">
        <v>558</v>
      </c>
      <c r="AG290" s="232">
        <v>45</v>
      </c>
      <c r="AH290" s="127"/>
    </row>
    <row r="291" spans="1:34" ht="15" x14ac:dyDescent="0.25">
      <c r="A291" s="127"/>
      <c r="B291" s="211"/>
      <c r="C291" s="202"/>
      <c r="D291" s="210"/>
      <c r="E291" s="203"/>
      <c r="F291" s="203"/>
      <c r="G291" s="238"/>
      <c r="H291" s="210"/>
      <c r="I291" s="210"/>
      <c r="J291" s="210"/>
      <c r="K291" s="210"/>
      <c r="L291" s="127"/>
      <c r="M291" s="127"/>
      <c r="N291" s="201"/>
      <c r="O291" s="201"/>
      <c r="P291" s="201"/>
      <c r="Q291" s="201"/>
      <c r="R291" s="127"/>
      <c r="S291" s="127"/>
      <c r="T291" s="127"/>
      <c r="U291" s="127"/>
      <c r="V291" s="127"/>
      <c r="W291" s="127"/>
      <c r="X291" s="127"/>
      <c r="Y291" s="127"/>
      <c r="Z291" s="127"/>
      <c r="AA291" s="127"/>
      <c r="AB291" s="127"/>
      <c r="AC291" s="210"/>
      <c r="AD291" s="210"/>
      <c r="AE291" s="210"/>
      <c r="AF291" s="210"/>
      <c r="AG291" s="232"/>
      <c r="AH291" s="127"/>
    </row>
    <row r="292" spans="1:34" ht="15" x14ac:dyDescent="0.25">
      <c r="A292" s="269" t="s">
        <v>794</v>
      </c>
      <c r="B292" s="211"/>
      <c r="C292" s="202"/>
      <c r="D292" s="210"/>
      <c r="E292" s="203"/>
      <c r="F292" s="203"/>
      <c r="G292" s="238"/>
      <c r="H292" s="210"/>
      <c r="I292" s="210"/>
      <c r="J292" s="210"/>
      <c r="K292" s="210"/>
      <c r="L292" s="127"/>
      <c r="M292" s="127"/>
      <c r="N292" s="201"/>
      <c r="O292" s="201"/>
      <c r="P292" s="201"/>
      <c r="Q292" s="201"/>
      <c r="R292" s="127"/>
      <c r="S292" s="127"/>
      <c r="T292" s="127"/>
      <c r="U292" s="127"/>
      <c r="V292" s="127"/>
      <c r="W292" s="127"/>
      <c r="X292" s="127"/>
      <c r="Y292" s="127"/>
      <c r="Z292" s="127"/>
      <c r="AA292" s="127"/>
      <c r="AB292" s="127"/>
      <c r="AC292" s="210"/>
      <c r="AD292" s="210"/>
      <c r="AE292" s="210"/>
      <c r="AF292" s="210"/>
      <c r="AG292" s="232"/>
      <c r="AH292" s="127"/>
    </row>
    <row r="293" spans="1:34" ht="15.75" x14ac:dyDescent="0.3">
      <c r="A293" s="127" t="s">
        <v>856</v>
      </c>
      <c r="B293" s="211">
        <v>261.37520000000001</v>
      </c>
      <c r="C293" s="202">
        <v>22.0501</v>
      </c>
      <c r="D293" s="210"/>
      <c r="E293" s="203">
        <v>33.075200000000002</v>
      </c>
      <c r="F293" s="203">
        <v>761</v>
      </c>
      <c r="G293" s="238">
        <f t="shared" si="25"/>
        <v>300</v>
      </c>
      <c r="H293" s="210">
        <v>89.473100000000002</v>
      </c>
      <c r="I293" s="210"/>
      <c r="J293" s="210"/>
      <c r="K293" s="210">
        <v>0</v>
      </c>
      <c r="L293" s="127">
        <v>4000</v>
      </c>
      <c r="M293" s="127">
        <v>15</v>
      </c>
      <c r="N293" s="201">
        <f t="shared" si="48"/>
        <v>90.150200000000012</v>
      </c>
      <c r="O293" s="201">
        <f t="shared" si="49"/>
        <v>147.2252</v>
      </c>
      <c r="P293" s="201">
        <f t="shared" si="50"/>
        <v>204.30019999999999</v>
      </c>
      <c r="Q293" s="201">
        <f t="shared" si="30"/>
        <v>261.37520000000001</v>
      </c>
      <c r="R293" s="127" t="s">
        <v>868</v>
      </c>
      <c r="S293" s="127" t="str">
        <f>""</f>
        <v/>
      </c>
      <c r="T293" s="127" t="s">
        <v>262</v>
      </c>
      <c r="U293" s="127" t="s">
        <v>263</v>
      </c>
      <c r="V293" s="127" t="s">
        <v>264</v>
      </c>
      <c r="W293" s="127" t="s">
        <v>867</v>
      </c>
      <c r="X293" s="127" t="s">
        <v>866</v>
      </c>
      <c r="Y293" s="127" t="s">
        <v>271</v>
      </c>
      <c r="Z293" s="127" t="s">
        <v>267</v>
      </c>
      <c r="AA293" s="127" t="str">
        <f>""</f>
        <v/>
      </c>
      <c r="AB293" s="127">
        <v>15</v>
      </c>
      <c r="AC293" s="210">
        <f>PBL_OT_2025!$F$35/POWER(1.02,7)</f>
        <v>28.793927566074153</v>
      </c>
      <c r="AD293" s="210">
        <f t="shared" si="51"/>
        <v>0</v>
      </c>
      <c r="AE293" s="210" t="str">
        <f t="shared" si="26"/>
        <v/>
      </c>
      <c r="AF293" s="210" t="s">
        <v>558</v>
      </c>
      <c r="AG293" s="232">
        <v>45</v>
      </c>
      <c r="AH293" s="127"/>
    </row>
    <row r="294" spans="1:34" ht="15" x14ac:dyDescent="0.25">
      <c r="A294" s="127"/>
      <c r="B294" s="211"/>
      <c r="C294" s="202"/>
      <c r="D294" s="210"/>
      <c r="E294" s="203"/>
      <c r="F294" s="203"/>
      <c r="G294" s="238"/>
      <c r="H294" s="210"/>
      <c r="I294" s="210"/>
      <c r="J294" s="210"/>
      <c r="K294" s="210"/>
      <c r="L294" s="127"/>
      <c r="M294" s="127"/>
      <c r="N294" s="201"/>
      <c r="O294" s="201"/>
      <c r="P294" s="201"/>
      <c r="Q294" s="201"/>
      <c r="R294" s="127"/>
      <c r="S294" s="127"/>
      <c r="T294" s="127"/>
      <c r="U294" s="127"/>
      <c r="V294" s="127"/>
      <c r="W294" s="127"/>
      <c r="X294" s="127"/>
      <c r="Y294" s="127"/>
      <c r="Z294" s="127"/>
      <c r="AA294" s="127"/>
      <c r="AB294" s="127"/>
      <c r="AC294" s="210"/>
      <c r="AD294" s="210"/>
      <c r="AE294" s="210"/>
      <c r="AF294" s="210"/>
      <c r="AG294" s="232"/>
      <c r="AH294" s="127"/>
    </row>
    <row r="295" spans="1:34" ht="15" x14ac:dyDescent="0.25">
      <c r="A295" s="204" t="s">
        <v>157</v>
      </c>
      <c r="B295" s="210"/>
      <c r="C295" s="203"/>
      <c r="D295" s="210"/>
      <c r="E295" s="203"/>
      <c r="F295" s="203"/>
      <c r="G295" s="238"/>
      <c r="H295" s="210"/>
      <c r="I295" s="210"/>
      <c r="J295" s="210"/>
      <c r="K295" s="210"/>
      <c r="L295" s="127"/>
      <c r="M295" s="127"/>
      <c r="N295" s="201"/>
      <c r="O295" s="201"/>
      <c r="P295" s="201"/>
      <c r="Q295" s="201"/>
      <c r="R295" s="127"/>
      <c r="S295" s="127"/>
      <c r="T295" s="127"/>
      <c r="U295" s="127"/>
      <c r="V295" s="127"/>
      <c r="W295" s="127"/>
      <c r="X295" s="127"/>
      <c r="Y295" s="127"/>
      <c r="Z295" s="127"/>
      <c r="AA295" s="127"/>
      <c r="AB295" s="127"/>
      <c r="AC295" s="237"/>
      <c r="AD295" s="210"/>
      <c r="AE295" s="210"/>
      <c r="AF295" s="210"/>
      <c r="AG295" s="232"/>
      <c r="AH295" s="127"/>
    </row>
    <row r="296" spans="1:34" ht="15" x14ac:dyDescent="0.25">
      <c r="A296" s="127" t="s">
        <v>272</v>
      </c>
      <c r="B296" s="210">
        <v>5.3199999999999997E-2</v>
      </c>
      <c r="C296" s="203">
        <v>1.29E-2</v>
      </c>
      <c r="D296" s="210"/>
      <c r="E296" s="203">
        <v>3.95E-2</v>
      </c>
      <c r="F296" s="203">
        <v>0.18790000000000001</v>
      </c>
      <c r="G296" s="238">
        <f t="shared" ref="G296:G332" si="52">(B296-E296)*1000/F296</f>
        <v>72.911122937732813</v>
      </c>
      <c r="H296" s="210">
        <v>2.9399999999999999E-2</v>
      </c>
      <c r="I296" s="210" t="str">
        <f>""</f>
        <v/>
      </c>
      <c r="J296" s="210"/>
      <c r="K296" s="210">
        <v>1.03E-2</v>
      </c>
      <c r="L296" s="127">
        <v>8000</v>
      </c>
      <c r="M296" s="127">
        <v>12</v>
      </c>
      <c r="N296" s="201">
        <f>MIN($B296,(75*$F296/1000)+$E296)</f>
        <v>5.3199999999999997E-2</v>
      </c>
      <c r="O296" s="201">
        <f>MIN($B296,(150*$F296/1000)+$E296)</f>
        <v>5.3199999999999997E-2</v>
      </c>
      <c r="P296" s="201">
        <f>MIN($B296,(225*$F296/1000)+$E296)</f>
        <v>5.3199999999999997E-2</v>
      </c>
      <c r="Q296" s="201">
        <f t="shared" ref="Q296:Q313" si="53">MIN($B296,(300*$F296/1000)+$E296)</f>
        <v>5.3199999999999997E-2</v>
      </c>
      <c r="R296" s="127" t="s">
        <v>180</v>
      </c>
      <c r="S296" s="127" t="str">
        <f>""</f>
        <v/>
      </c>
      <c r="T296" s="127" t="s">
        <v>181</v>
      </c>
      <c r="U296" s="127" t="s">
        <v>182</v>
      </c>
      <c r="V296" s="127" t="s">
        <v>183</v>
      </c>
      <c r="W296" s="127" t="s">
        <v>273</v>
      </c>
      <c r="X296" s="127" t="s">
        <v>191</v>
      </c>
      <c r="Y296" s="127" t="s">
        <v>1009</v>
      </c>
      <c r="Z296" s="127" t="s">
        <v>187</v>
      </c>
      <c r="AA296" s="127" t="s">
        <v>274</v>
      </c>
      <c r="AB296" s="127">
        <v>12</v>
      </c>
      <c r="AC296" s="210">
        <f>PBL_OT_2025!$F$12/POWER(1.02,7)</f>
        <v>1.678021968721171E-2</v>
      </c>
      <c r="AD296" s="210">
        <f t="shared" si="51"/>
        <v>1.03E-2</v>
      </c>
      <c r="AE296" s="210" t="str">
        <f t="shared" ref="AE296:AE332" si="54">IF(AC296&lt;B296,"",FALSE)</f>
        <v/>
      </c>
      <c r="AF296" s="210" t="s">
        <v>556</v>
      </c>
      <c r="AG296" s="232">
        <v>17</v>
      </c>
      <c r="AH296" s="127"/>
    </row>
    <row r="297" spans="1:34" ht="15" x14ac:dyDescent="0.25">
      <c r="A297" s="127" t="s">
        <v>772</v>
      </c>
      <c r="B297" s="210">
        <v>7.1499999999999994E-2</v>
      </c>
      <c r="C297" s="203">
        <v>1.29E-2</v>
      </c>
      <c r="D297" s="210"/>
      <c r="E297" s="203">
        <v>3.95E-2</v>
      </c>
      <c r="F297" s="203">
        <v>0.18790000000000001</v>
      </c>
      <c r="G297" s="238">
        <f t="shared" si="52"/>
        <v>170.30335284725913</v>
      </c>
      <c r="H297" s="210">
        <v>2.9399999999999999E-2</v>
      </c>
      <c r="I297" s="210"/>
      <c r="J297" s="210"/>
      <c r="K297" s="210">
        <v>1.03E-2</v>
      </c>
      <c r="L297" s="127">
        <v>5000</v>
      </c>
      <c r="M297" s="127">
        <v>12</v>
      </c>
      <c r="N297" s="201">
        <f>MIN($B297,(75*$F297/1000)+$E297)</f>
        <v>5.3592500000000001E-2</v>
      </c>
      <c r="O297" s="201">
        <f>MIN($B297,(150*$F297/1000)+$E297)</f>
        <v>6.7684999999999995E-2</v>
      </c>
      <c r="P297" s="201">
        <f>MIN($B297,(225*$F297/1000)+$E297)</f>
        <v>7.1499999999999994E-2</v>
      </c>
      <c r="Q297" s="201">
        <f t="shared" si="53"/>
        <v>7.1499999999999994E-2</v>
      </c>
      <c r="R297" s="127" t="s">
        <v>180</v>
      </c>
      <c r="S297" s="127"/>
      <c r="T297" s="127" t="s">
        <v>181</v>
      </c>
      <c r="U297" s="127" t="s">
        <v>182</v>
      </c>
      <c r="V297" s="127" t="s">
        <v>183</v>
      </c>
      <c r="W297" s="127" t="s">
        <v>273</v>
      </c>
      <c r="X297" s="127" t="s">
        <v>191</v>
      </c>
      <c r="Y297" s="127" t="s">
        <v>1009</v>
      </c>
      <c r="Z297" s="127" t="s">
        <v>187</v>
      </c>
      <c r="AA297" s="127" t="s">
        <v>274</v>
      </c>
      <c r="AB297" s="127">
        <v>12</v>
      </c>
      <c r="AC297" s="210">
        <f>PBL_OT_2025!$F$12/POWER(1.02,7)</f>
        <v>1.678021968721171E-2</v>
      </c>
      <c r="AD297" s="210">
        <f t="shared" si="51"/>
        <v>1.03E-2</v>
      </c>
      <c r="AE297" s="210" t="str">
        <f t="shared" si="54"/>
        <v/>
      </c>
      <c r="AF297" s="210" t="s">
        <v>556</v>
      </c>
      <c r="AG297" s="232">
        <v>17</v>
      </c>
      <c r="AH297" s="127"/>
    </row>
    <row r="298" spans="1:34" ht="15" x14ac:dyDescent="0.25">
      <c r="A298" s="127" t="s">
        <v>275</v>
      </c>
      <c r="B298" s="210">
        <v>0.1041</v>
      </c>
      <c r="C298" s="203">
        <v>1.29E-2</v>
      </c>
      <c r="D298" s="210"/>
      <c r="E298" s="203">
        <v>3.95E-2</v>
      </c>
      <c r="F298" s="203">
        <v>0.18790000000000001</v>
      </c>
      <c r="G298" s="238">
        <f t="shared" si="52"/>
        <v>343.79989356040443</v>
      </c>
      <c r="H298" s="210">
        <v>2.9399999999999999E-2</v>
      </c>
      <c r="I298" s="210" t="str">
        <f>""</f>
        <v/>
      </c>
      <c r="J298" s="210"/>
      <c r="K298" s="210">
        <v>1.03E-2</v>
      </c>
      <c r="L298" s="127">
        <v>3000</v>
      </c>
      <c r="M298" s="127">
        <v>12</v>
      </c>
      <c r="N298" s="201">
        <f t="shared" ref="N298:N304" si="55">MIN($B298,(75*$F298/1000)+$E298)</f>
        <v>5.3592500000000001E-2</v>
      </c>
      <c r="O298" s="201">
        <f t="shared" ref="O298:O304" si="56">MIN($B298,(150*$F298/1000)+$E298)</f>
        <v>6.7684999999999995E-2</v>
      </c>
      <c r="P298" s="201">
        <f t="shared" ref="P298:P304" si="57">MIN($B298,(225*$F298/1000)+$E298)</f>
        <v>8.1777500000000003E-2</v>
      </c>
      <c r="Q298" s="201">
        <f t="shared" si="53"/>
        <v>9.5870000000000011E-2</v>
      </c>
      <c r="R298" s="127" t="s">
        <v>180</v>
      </c>
      <c r="S298" s="127" t="str">
        <f>""</f>
        <v/>
      </c>
      <c r="T298" s="127" t="s">
        <v>181</v>
      </c>
      <c r="U298" s="127" t="s">
        <v>182</v>
      </c>
      <c r="V298" s="127" t="s">
        <v>183</v>
      </c>
      <c r="W298" s="127" t="s">
        <v>273</v>
      </c>
      <c r="X298" s="127" t="s">
        <v>191</v>
      </c>
      <c r="Y298" s="127" t="s">
        <v>1009</v>
      </c>
      <c r="Z298" s="127" t="s">
        <v>187</v>
      </c>
      <c r="AA298" s="127" t="s">
        <v>274</v>
      </c>
      <c r="AB298" s="127">
        <v>12</v>
      </c>
      <c r="AC298" s="210">
        <f>PBL_OT_2025!$F$12/POWER(1.02,7)</f>
        <v>1.678021968721171E-2</v>
      </c>
      <c r="AD298" s="210">
        <f t="shared" si="51"/>
        <v>1.03E-2</v>
      </c>
      <c r="AE298" s="210" t="str">
        <f t="shared" si="54"/>
        <v/>
      </c>
      <c r="AF298" s="210" t="s">
        <v>556</v>
      </c>
      <c r="AG298" s="232">
        <v>17</v>
      </c>
      <c r="AH298" s="127"/>
    </row>
    <row r="299" spans="1:34" ht="15" x14ac:dyDescent="0.25">
      <c r="A299" s="127" t="s">
        <v>276</v>
      </c>
      <c r="B299" s="210">
        <v>2.9600000000000001E-2</v>
      </c>
      <c r="C299" s="203">
        <v>1.29E-2</v>
      </c>
      <c r="D299" s="210"/>
      <c r="E299" s="203">
        <v>4.5600000000000002E-2</v>
      </c>
      <c r="F299" s="203">
        <v>0.2157</v>
      </c>
      <c r="G299" s="238">
        <f t="shared" si="52"/>
        <v>-74.177097821047752</v>
      </c>
      <c r="H299" s="210">
        <v>2.9399999999999999E-2</v>
      </c>
      <c r="I299" s="210" t="str">
        <f>""</f>
        <v/>
      </c>
      <c r="J299" s="210"/>
      <c r="K299" s="210">
        <v>1.11E-2</v>
      </c>
      <c r="L299" s="127">
        <v>8000</v>
      </c>
      <c r="M299" s="127">
        <v>12</v>
      </c>
      <c r="N299" s="201">
        <f t="shared" si="55"/>
        <v>2.9600000000000001E-2</v>
      </c>
      <c r="O299" s="201">
        <f t="shared" si="56"/>
        <v>2.9600000000000001E-2</v>
      </c>
      <c r="P299" s="201">
        <f t="shared" si="57"/>
        <v>2.9600000000000001E-2</v>
      </c>
      <c r="Q299" s="201">
        <f t="shared" si="53"/>
        <v>2.9600000000000001E-2</v>
      </c>
      <c r="R299" s="127" t="s">
        <v>180</v>
      </c>
      <c r="S299" s="127" t="str">
        <f>""</f>
        <v/>
      </c>
      <c r="T299" s="127" t="s">
        <v>181</v>
      </c>
      <c r="U299" s="127" t="s">
        <v>182</v>
      </c>
      <c r="V299" s="127" t="s">
        <v>183</v>
      </c>
      <c r="W299" s="127" t="s">
        <v>277</v>
      </c>
      <c r="X299" s="127" t="s">
        <v>191</v>
      </c>
      <c r="Y299" s="127" t="s">
        <v>1009</v>
      </c>
      <c r="Z299" s="127" t="s">
        <v>187</v>
      </c>
      <c r="AA299" s="127" t="s">
        <v>274</v>
      </c>
      <c r="AB299" s="127">
        <v>12</v>
      </c>
      <c r="AC299" s="210">
        <f>PBL_OT_2025!$F$12/POWER(1.02,7)</f>
        <v>1.678021968721171E-2</v>
      </c>
      <c r="AD299" s="210">
        <f t="shared" si="51"/>
        <v>1.11E-2</v>
      </c>
      <c r="AE299" s="210" t="str">
        <f t="shared" si="54"/>
        <v/>
      </c>
      <c r="AF299" s="210" t="s">
        <v>556</v>
      </c>
      <c r="AG299" s="232">
        <v>17</v>
      </c>
      <c r="AH299" s="127"/>
    </row>
    <row r="300" spans="1:34" ht="15" x14ac:dyDescent="0.25">
      <c r="A300" s="127" t="s">
        <v>773</v>
      </c>
      <c r="B300" s="210">
        <v>4.3900000000000002E-2</v>
      </c>
      <c r="C300" s="203">
        <v>1.29E-2</v>
      </c>
      <c r="D300" s="210"/>
      <c r="E300" s="203">
        <v>4.5600000000000002E-2</v>
      </c>
      <c r="F300" s="203">
        <v>0.2157</v>
      </c>
      <c r="G300" s="238">
        <f t="shared" si="52"/>
        <v>-7.8813166434863247</v>
      </c>
      <c r="H300" s="210">
        <v>2.9399999999999999E-2</v>
      </c>
      <c r="I300" s="210"/>
      <c r="J300" s="210"/>
      <c r="K300" s="210">
        <v>1.11E-2</v>
      </c>
      <c r="L300" s="127">
        <v>5000</v>
      </c>
      <c r="M300" s="127">
        <v>12</v>
      </c>
      <c r="N300" s="201">
        <f t="shared" si="55"/>
        <v>4.3900000000000002E-2</v>
      </c>
      <c r="O300" s="201">
        <f t="shared" si="56"/>
        <v>4.3900000000000002E-2</v>
      </c>
      <c r="P300" s="201">
        <f t="shared" si="57"/>
        <v>4.3900000000000002E-2</v>
      </c>
      <c r="Q300" s="201">
        <f t="shared" si="53"/>
        <v>4.3900000000000002E-2</v>
      </c>
      <c r="R300" s="127" t="s">
        <v>180</v>
      </c>
      <c r="S300" s="127"/>
      <c r="T300" s="127" t="s">
        <v>181</v>
      </c>
      <c r="U300" s="127" t="s">
        <v>182</v>
      </c>
      <c r="V300" s="127" t="s">
        <v>183</v>
      </c>
      <c r="W300" s="127" t="s">
        <v>277</v>
      </c>
      <c r="X300" s="127" t="s">
        <v>191</v>
      </c>
      <c r="Y300" s="127" t="s">
        <v>1009</v>
      </c>
      <c r="Z300" s="127" t="s">
        <v>187</v>
      </c>
      <c r="AA300" s="127" t="s">
        <v>274</v>
      </c>
      <c r="AB300" s="127">
        <v>12</v>
      </c>
      <c r="AC300" s="210">
        <f>PBL_OT_2025!$F$12/POWER(1.02,7)</f>
        <v>1.678021968721171E-2</v>
      </c>
      <c r="AD300" s="210">
        <f t="shared" si="51"/>
        <v>1.11E-2</v>
      </c>
      <c r="AE300" s="210" t="str">
        <f t="shared" si="54"/>
        <v/>
      </c>
      <c r="AF300" s="210" t="s">
        <v>556</v>
      </c>
      <c r="AG300" s="232">
        <v>17</v>
      </c>
      <c r="AH300" s="127"/>
    </row>
    <row r="301" spans="1:34" ht="15" x14ac:dyDescent="0.25">
      <c r="A301" s="127" t="s">
        <v>278</v>
      </c>
      <c r="B301" s="210">
        <v>6.9400000000000003E-2</v>
      </c>
      <c r="C301" s="203">
        <v>1.29E-2</v>
      </c>
      <c r="D301" s="210"/>
      <c r="E301" s="203">
        <v>4.5600000000000002E-2</v>
      </c>
      <c r="F301" s="203">
        <v>0.2157</v>
      </c>
      <c r="G301" s="238">
        <f t="shared" si="52"/>
        <v>110.33843300880854</v>
      </c>
      <c r="H301" s="210">
        <v>2.9399999999999999E-2</v>
      </c>
      <c r="I301" s="210" t="str">
        <f>""</f>
        <v/>
      </c>
      <c r="J301" s="210"/>
      <c r="K301" s="210">
        <v>1.11E-2</v>
      </c>
      <c r="L301" s="127">
        <v>3000</v>
      </c>
      <c r="M301" s="127">
        <v>12</v>
      </c>
      <c r="N301" s="201">
        <f t="shared" si="55"/>
        <v>6.1777499999999999E-2</v>
      </c>
      <c r="O301" s="201">
        <f t="shared" si="56"/>
        <v>6.9400000000000003E-2</v>
      </c>
      <c r="P301" s="201">
        <f t="shared" si="57"/>
        <v>6.9400000000000003E-2</v>
      </c>
      <c r="Q301" s="201">
        <f t="shared" si="53"/>
        <v>6.9400000000000003E-2</v>
      </c>
      <c r="R301" s="127" t="s">
        <v>180</v>
      </c>
      <c r="S301" s="127" t="str">
        <f>""</f>
        <v/>
      </c>
      <c r="T301" s="127" t="s">
        <v>181</v>
      </c>
      <c r="U301" s="127" t="s">
        <v>182</v>
      </c>
      <c r="V301" s="127" t="s">
        <v>183</v>
      </c>
      <c r="W301" s="127" t="s">
        <v>277</v>
      </c>
      <c r="X301" s="127" t="s">
        <v>191</v>
      </c>
      <c r="Y301" s="127" t="s">
        <v>1009</v>
      </c>
      <c r="Z301" s="127" t="s">
        <v>187</v>
      </c>
      <c r="AA301" s="127" t="s">
        <v>274</v>
      </c>
      <c r="AB301" s="127">
        <v>12</v>
      </c>
      <c r="AC301" s="210">
        <f>PBL_OT_2025!$F$12/POWER(1.02,7)</f>
        <v>1.678021968721171E-2</v>
      </c>
      <c r="AD301" s="210">
        <f t="shared" si="51"/>
        <v>1.11E-2</v>
      </c>
      <c r="AE301" s="210" t="str">
        <f t="shared" si="54"/>
        <v/>
      </c>
      <c r="AF301" s="210" t="s">
        <v>556</v>
      </c>
      <c r="AG301" s="232">
        <v>17</v>
      </c>
      <c r="AH301" s="127"/>
    </row>
    <row r="302" spans="1:34" ht="15" x14ac:dyDescent="0.25">
      <c r="A302" s="127" t="s">
        <v>581</v>
      </c>
      <c r="B302" s="210">
        <v>5.79E-2</v>
      </c>
      <c r="C302" s="203">
        <v>1.29E-2</v>
      </c>
      <c r="D302" s="210"/>
      <c r="E302" s="203">
        <v>3.8199999999999998E-2</v>
      </c>
      <c r="F302" s="203">
        <v>0.18790000000000001</v>
      </c>
      <c r="G302" s="238">
        <f t="shared" si="52"/>
        <v>104.84300159659394</v>
      </c>
      <c r="H302" s="210">
        <v>2.9399999999999999E-2</v>
      </c>
      <c r="I302" s="210"/>
      <c r="J302" s="210"/>
      <c r="K302" s="210">
        <v>1.44E-2</v>
      </c>
      <c r="L302" s="127">
        <v>8000</v>
      </c>
      <c r="M302" s="127">
        <v>12</v>
      </c>
      <c r="N302" s="201">
        <f>MIN($B302,(75*$F302/1000)+$E302)</f>
        <v>5.2292499999999999E-2</v>
      </c>
      <c r="O302" s="201">
        <f>MIN($B302,(150*$F302/1000)+$E302)</f>
        <v>5.79E-2</v>
      </c>
      <c r="P302" s="201">
        <f>MIN($B302,(225*$F302/1000)+$E302)</f>
        <v>5.79E-2</v>
      </c>
      <c r="Q302" s="201">
        <f>MIN($B302,(300*$F302/1000)+$E302)</f>
        <v>5.79E-2</v>
      </c>
      <c r="R302" s="127" t="s">
        <v>180</v>
      </c>
      <c r="S302" s="127"/>
      <c r="T302" s="127" t="s">
        <v>181</v>
      </c>
      <c r="U302" s="127" t="s">
        <v>182</v>
      </c>
      <c r="V302" s="127" t="s">
        <v>183</v>
      </c>
      <c r="W302" s="127" t="s">
        <v>702</v>
      </c>
      <c r="X302" s="127" t="s">
        <v>191</v>
      </c>
      <c r="Y302" s="127" t="s">
        <v>1009</v>
      </c>
      <c r="Z302" s="127" t="s">
        <v>187</v>
      </c>
      <c r="AA302" s="127" t="s">
        <v>274</v>
      </c>
      <c r="AB302" s="127">
        <v>12</v>
      </c>
      <c r="AC302" s="210">
        <f>PBL_OT_2025!$F$12/POWER(1.02,7)</f>
        <v>1.678021968721171E-2</v>
      </c>
      <c r="AD302" s="210">
        <f t="shared" si="51"/>
        <v>1.44E-2</v>
      </c>
      <c r="AE302" s="210" t="str">
        <f t="shared" si="54"/>
        <v/>
      </c>
      <c r="AF302" s="210" t="s">
        <v>556</v>
      </c>
      <c r="AG302" s="232">
        <v>17</v>
      </c>
      <c r="AH302" s="127"/>
    </row>
    <row r="303" spans="1:34" ht="15" x14ac:dyDescent="0.25">
      <c r="A303" s="127" t="s">
        <v>774</v>
      </c>
      <c r="B303" s="210">
        <v>7.6799999999999993E-2</v>
      </c>
      <c r="C303" s="203">
        <v>1.29E-2</v>
      </c>
      <c r="D303" s="210"/>
      <c r="E303" s="203">
        <v>3.8199999999999998E-2</v>
      </c>
      <c r="F303" s="203">
        <v>0.18790000000000001</v>
      </c>
      <c r="G303" s="238">
        <f t="shared" si="52"/>
        <v>205.42841937200635</v>
      </c>
      <c r="H303" s="210">
        <v>2.9399999999999999E-2</v>
      </c>
      <c r="I303" s="210"/>
      <c r="J303" s="210"/>
      <c r="K303" s="210">
        <v>1.44E-2</v>
      </c>
      <c r="L303" s="127">
        <v>5000</v>
      </c>
      <c r="M303" s="127">
        <v>12</v>
      </c>
      <c r="N303" s="201">
        <f>MIN($B303,(75*$F303/1000)+$E303)</f>
        <v>5.2292499999999999E-2</v>
      </c>
      <c r="O303" s="201">
        <f>MIN($B303,(150*$F303/1000)+$E303)</f>
        <v>6.6385E-2</v>
      </c>
      <c r="P303" s="201">
        <f>MIN($B303,(225*$F303/1000)+$E303)</f>
        <v>7.6799999999999993E-2</v>
      </c>
      <c r="Q303" s="201">
        <f>MIN($B303,(300*$F303/1000)+$E303)</f>
        <v>7.6799999999999993E-2</v>
      </c>
      <c r="R303" s="127" t="s">
        <v>180</v>
      </c>
      <c r="S303" s="127"/>
      <c r="T303" s="127" t="s">
        <v>181</v>
      </c>
      <c r="U303" s="127" t="s">
        <v>182</v>
      </c>
      <c r="V303" s="127" t="s">
        <v>183</v>
      </c>
      <c r="W303" s="127" t="s">
        <v>702</v>
      </c>
      <c r="X303" s="127" t="s">
        <v>191</v>
      </c>
      <c r="Y303" s="127" t="s">
        <v>1009</v>
      </c>
      <c r="Z303" s="127" t="s">
        <v>187</v>
      </c>
      <c r="AA303" s="127" t="s">
        <v>274</v>
      </c>
      <c r="AB303" s="127">
        <v>12</v>
      </c>
      <c r="AC303" s="210">
        <f>PBL_OT_2025!$F$12/POWER(1.02,7)</f>
        <v>1.678021968721171E-2</v>
      </c>
      <c r="AD303" s="210">
        <f t="shared" si="51"/>
        <v>1.44E-2</v>
      </c>
      <c r="AE303" s="210" t="str">
        <f t="shared" si="54"/>
        <v/>
      </c>
      <c r="AF303" s="210" t="s">
        <v>556</v>
      </c>
      <c r="AG303" s="232">
        <v>17</v>
      </c>
      <c r="AH303" s="127"/>
    </row>
    <row r="304" spans="1:34" ht="15" x14ac:dyDescent="0.25">
      <c r="A304" s="127" t="s">
        <v>582</v>
      </c>
      <c r="B304" s="210">
        <v>0.1104</v>
      </c>
      <c r="C304" s="203">
        <v>1.29E-2</v>
      </c>
      <c r="D304" s="210"/>
      <c r="E304" s="203">
        <v>3.8199999999999998E-2</v>
      </c>
      <c r="F304" s="203">
        <v>0.18790000000000001</v>
      </c>
      <c r="G304" s="238">
        <f t="shared" si="52"/>
        <v>384.2469398616285</v>
      </c>
      <c r="H304" s="210">
        <v>2.9399999999999999E-2</v>
      </c>
      <c r="I304" s="210"/>
      <c r="J304" s="210"/>
      <c r="K304" s="210">
        <v>1.44E-2</v>
      </c>
      <c r="L304" s="127">
        <v>3000</v>
      </c>
      <c r="M304" s="127">
        <v>12</v>
      </c>
      <c r="N304" s="201">
        <f t="shared" si="55"/>
        <v>5.2292499999999999E-2</v>
      </c>
      <c r="O304" s="201">
        <f t="shared" si="56"/>
        <v>6.6385E-2</v>
      </c>
      <c r="P304" s="201">
        <f t="shared" si="57"/>
        <v>8.0477500000000007E-2</v>
      </c>
      <c r="Q304" s="201">
        <f t="shared" si="53"/>
        <v>9.4570000000000001E-2</v>
      </c>
      <c r="R304" s="127" t="s">
        <v>180</v>
      </c>
      <c r="S304" s="127"/>
      <c r="T304" s="127" t="s">
        <v>181</v>
      </c>
      <c r="U304" s="127" t="s">
        <v>182</v>
      </c>
      <c r="V304" s="127" t="s">
        <v>183</v>
      </c>
      <c r="W304" s="127" t="s">
        <v>702</v>
      </c>
      <c r="X304" s="127" t="s">
        <v>191</v>
      </c>
      <c r="Y304" s="127" t="s">
        <v>1009</v>
      </c>
      <c r="Z304" s="127" t="s">
        <v>187</v>
      </c>
      <c r="AA304" s="127" t="s">
        <v>274</v>
      </c>
      <c r="AB304" s="127">
        <v>12</v>
      </c>
      <c r="AC304" s="210">
        <f>PBL_OT_2025!$F$12/POWER(1.02,7)</f>
        <v>1.678021968721171E-2</v>
      </c>
      <c r="AD304" s="210">
        <f t="shared" si="51"/>
        <v>1.44E-2</v>
      </c>
      <c r="AE304" s="210" t="str">
        <f t="shared" si="54"/>
        <v/>
      </c>
      <c r="AF304" s="210" t="s">
        <v>556</v>
      </c>
      <c r="AG304" s="232">
        <v>17</v>
      </c>
      <c r="AH304" s="127"/>
    </row>
    <row r="305" spans="1:34" ht="15" x14ac:dyDescent="0.25">
      <c r="A305" s="127"/>
      <c r="B305" s="210"/>
      <c r="C305" s="203"/>
      <c r="D305" s="210"/>
      <c r="E305" s="203"/>
      <c r="F305" s="203"/>
      <c r="G305" s="238"/>
      <c r="H305" s="210"/>
      <c r="I305" s="210"/>
      <c r="J305" s="210"/>
      <c r="K305" s="210"/>
      <c r="L305" s="127"/>
      <c r="M305" s="127"/>
      <c r="N305" s="201"/>
      <c r="O305" s="201"/>
      <c r="P305" s="201"/>
      <c r="Q305" s="201"/>
      <c r="R305" s="127"/>
      <c r="S305" s="127"/>
      <c r="T305" s="127"/>
      <c r="U305" s="127"/>
      <c r="V305" s="127"/>
      <c r="W305" s="127"/>
      <c r="X305" s="127"/>
      <c r="Y305" s="127"/>
      <c r="Z305" s="127"/>
      <c r="AA305" s="127"/>
      <c r="AB305" s="127"/>
      <c r="AC305" s="237"/>
      <c r="AD305" s="210"/>
      <c r="AE305" s="210"/>
      <c r="AF305" s="210"/>
      <c r="AG305" s="233"/>
      <c r="AH305" s="127"/>
    </row>
    <row r="306" spans="1:34" ht="15" x14ac:dyDescent="0.25">
      <c r="A306" s="204" t="s">
        <v>158</v>
      </c>
      <c r="B306" s="210"/>
      <c r="C306" s="203"/>
      <c r="D306" s="210"/>
      <c r="E306" s="203"/>
      <c r="F306" s="203"/>
      <c r="G306" s="238"/>
      <c r="H306" s="210"/>
      <c r="I306" s="210"/>
      <c r="J306" s="210"/>
      <c r="K306" s="210"/>
      <c r="L306" s="127"/>
      <c r="M306" s="127"/>
      <c r="N306" s="201"/>
      <c r="O306" s="201"/>
      <c r="P306" s="201"/>
      <c r="Q306" s="201"/>
      <c r="R306" s="127"/>
      <c r="S306" s="127"/>
      <c r="T306" s="127"/>
      <c r="U306" s="127"/>
      <c r="V306" s="127"/>
      <c r="W306" s="127"/>
      <c r="X306" s="127"/>
      <c r="Y306" s="127"/>
      <c r="Z306" s="127"/>
      <c r="AA306" s="127"/>
      <c r="AB306" s="127"/>
      <c r="AC306" s="237"/>
      <c r="AD306" s="210"/>
      <c r="AE306" s="210"/>
      <c r="AF306" s="210"/>
      <c r="AG306" s="233"/>
      <c r="AH306" s="127"/>
    </row>
    <row r="307" spans="1:34" ht="15" x14ac:dyDescent="0.25">
      <c r="A307" s="127" t="s">
        <v>768</v>
      </c>
      <c r="B307" s="210">
        <v>1.9599999999999999E-2</v>
      </c>
      <c r="C307" s="203">
        <v>1.29E-2</v>
      </c>
      <c r="D307" s="210"/>
      <c r="E307" s="203">
        <v>2.7799999999999998E-2</v>
      </c>
      <c r="F307" s="203">
        <v>0.2248</v>
      </c>
      <c r="G307" s="238">
        <f t="shared" si="52"/>
        <v>-36.47686832740213</v>
      </c>
      <c r="H307" s="210">
        <v>2.9399999999999999E-2</v>
      </c>
      <c r="I307" s="210"/>
      <c r="J307" s="210"/>
      <c r="K307" s="210">
        <v>4.5999999999999999E-3</v>
      </c>
      <c r="L307" s="127">
        <v>5500</v>
      </c>
      <c r="M307" s="127">
        <v>15</v>
      </c>
      <c r="N307" s="201">
        <f>MIN($B307,(75*$F307/1000)+$E307)</f>
        <v>1.9599999999999999E-2</v>
      </c>
      <c r="O307" s="201">
        <f>MIN($B307,(150*$F307/1000)+$E307)</f>
        <v>1.9599999999999999E-2</v>
      </c>
      <c r="P307" s="201">
        <f>MIN($B307,(225*$F307/1000)+$E307)</f>
        <v>1.9599999999999999E-2</v>
      </c>
      <c r="Q307" s="201">
        <f t="shared" si="53"/>
        <v>1.9599999999999999E-2</v>
      </c>
      <c r="R307" s="127" t="s">
        <v>180</v>
      </c>
      <c r="S307" s="127"/>
      <c r="T307" s="127" t="s">
        <v>181</v>
      </c>
      <c r="U307" s="127" t="s">
        <v>182</v>
      </c>
      <c r="V307" s="127" t="s">
        <v>183</v>
      </c>
      <c r="W307" s="127" t="s">
        <v>279</v>
      </c>
      <c r="X307" s="127" t="s">
        <v>191</v>
      </c>
      <c r="Y307" s="127" t="s">
        <v>280</v>
      </c>
      <c r="Z307" s="127" t="s">
        <v>187</v>
      </c>
      <c r="AA307" s="127"/>
      <c r="AB307" s="127">
        <v>15</v>
      </c>
      <c r="AC307" s="210">
        <f>PBL_OT_2025!$F$12/POWER(1.02,7)</f>
        <v>1.678021968721171E-2</v>
      </c>
      <c r="AD307" s="210">
        <f t="shared" si="51"/>
        <v>4.5999999999999999E-3</v>
      </c>
      <c r="AE307" s="210" t="str">
        <f t="shared" si="54"/>
        <v/>
      </c>
      <c r="AF307" s="210" t="s">
        <v>556</v>
      </c>
      <c r="AG307" s="262">
        <v>17</v>
      </c>
      <c r="AH307" s="127"/>
    </row>
    <row r="308" spans="1:34" ht="15" x14ac:dyDescent="0.25">
      <c r="A308" s="127" t="s">
        <v>281</v>
      </c>
      <c r="B308" s="210">
        <v>2.69E-2</v>
      </c>
      <c r="C308" s="203">
        <v>1.29E-2</v>
      </c>
      <c r="D308" s="210"/>
      <c r="E308" s="203">
        <v>2.7799999999999998E-2</v>
      </c>
      <c r="F308" s="203">
        <v>0.22470000000000001</v>
      </c>
      <c r="G308" s="238">
        <f t="shared" si="52"/>
        <v>-4.005340453938576</v>
      </c>
      <c r="H308" s="210">
        <v>2.9399999999999999E-2</v>
      </c>
      <c r="I308" s="210" t="str">
        <f>""</f>
        <v/>
      </c>
      <c r="J308" s="210"/>
      <c r="K308" s="210">
        <v>4.5999999999999999E-3</v>
      </c>
      <c r="L308" s="127">
        <v>5500</v>
      </c>
      <c r="M308" s="127">
        <v>15</v>
      </c>
      <c r="N308" s="201">
        <f>MIN($B308,(75*$F308/1000)+$E308)</f>
        <v>2.69E-2</v>
      </c>
      <c r="O308" s="201">
        <f>MIN($B308,(150*$F308/1000)+$E308)</f>
        <v>2.69E-2</v>
      </c>
      <c r="P308" s="201">
        <f>MIN($B308,(225*$F308/1000)+$E308)</f>
        <v>2.69E-2</v>
      </c>
      <c r="Q308" s="201">
        <f t="shared" si="53"/>
        <v>2.69E-2</v>
      </c>
      <c r="R308" s="127" t="s">
        <v>180</v>
      </c>
      <c r="S308" s="127" t="str">
        <f>""</f>
        <v/>
      </c>
      <c r="T308" s="127" t="s">
        <v>181</v>
      </c>
      <c r="U308" s="127" t="s">
        <v>182</v>
      </c>
      <c r="V308" s="127" t="s">
        <v>183</v>
      </c>
      <c r="W308" s="127" t="s">
        <v>279</v>
      </c>
      <c r="X308" s="127" t="s">
        <v>191</v>
      </c>
      <c r="Y308" s="127" t="s">
        <v>280</v>
      </c>
      <c r="Z308" s="127" t="s">
        <v>187</v>
      </c>
      <c r="AA308" s="127" t="str">
        <f>""</f>
        <v/>
      </c>
      <c r="AB308" s="127">
        <v>15</v>
      </c>
      <c r="AC308" s="210">
        <f>PBL_OT_2025!$F$12/POWER(1.02,7)</f>
        <v>1.678021968721171E-2</v>
      </c>
      <c r="AD308" s="210">
        <f t="shared" si="51"/>
        <v>4.5999999999999999E-3</v>
      </c>
      <c r="AE308" s="210" t="str">
        <f t="shared" si="54"/>
        <v/>
      </c>
      <c r="AF308" s="210" t="s">
        <v>556</v>
      </c>
      <c r="AG308" s="232">
        <v>17</v>
      </c>
      <c r="AH308" s="127"/>
    </row>
    <row r="309" spans="1:34" ht="15" x14ac:dyDescent="0.25">
      <c r="A309" s="127" t="s">
        <v>282</v>
      </c>
      <c r="B309" s="210">
        <v>3.4099999999999998E-2</v>
      </c>
      <c r="C309" s="203">
        <v>1.29E-2</v>
      </c>
      <c r="D309" s="210"/>
      <c r="E309" s="203">
        <v>2.7799999999999998E-2</v>
      </c>
      <c r="F309" s="203">
        <v>0.22450000000000001</v>
      </c>
      <c r="G309" s="238">
        <f t="shared" si="52"/>
        <v>28.062360801781736</v>
      </c>
      <c r="H309" s="210">
        <v>2.9399999999999999E-2</v>
      </c>
      <c r="I309" s="210" t="str">
        <f>""</f>
        <v/>
      </c>
      <c r="J309" s="210"/>
      <c r="K309" s="210">
        <v>4.5999999999999999E-3</v>
      </c>
      <c r="L309" s="127">
        <v>5500</v>
      </c>
      <c r="M309" s="127">
        <v>15</v>
      </c>
      <c r="N309" s="201">
        <f t="shared" ref="N309:N315" si="58">MIN($B309,(75*$F309/1000)+$E309)</f>
        <v>3.4099999999999998E-2</v>
      </c>
      <c r="O309" s="201">
        <f t="shared" ref="O309:O315" si="59">MIN($B309,(150*$F309/1000)+$E309)</f>
        <v>3.4099999999999998E-2</v>
      </c>
      <c r="P309" s="201">
        <f t="shared" ref="P309:P315" si="60">MIN($B309,(225*$F309/1000)+$E309)</f>
        <v>3.4099999999999998E-2</v>
      </c>
      <c r="Q309" s="201">
        <f t="shared" si="53"/>
        <v>3.4099999999999998E-2</v>
      </c>
      <c r="R309" s="127" t="s">
        <v>180</v>
      </c>
      <c r="S309" s="127" t="str">
        <f>""</f>
        <v/>
      </c>
      <c r="T309" s="127" t="s">
        <v>181</v>
      </c>
      <c r="U309" s="127" t="s">
        <v>182</v>
      </c>
      <c r="V309" s="127" t="s">
        <v>183</v>
      </c>
      <c r="W309" s="127" t="s">
        <v>279</v>
      </c>
      <c r="X309" s="127" t="s">
        <v>191</v>
      </c>
      <c r="Y309" s="127" t="s">
        <v>280</v>
      </c>
      <c r="Z309" s="127" t="s">
        <v>187</v>
      </c>
      <c r="AA309" s="127" t="str">
        <f>""</f>
        <v/>
      </c>
      <c r="AB309" s="127">
        <v>15</v>
      </c>
      <c r="AC309" s="210">
        <f>PBL_OT_2025!$F$12/POWER(1.02,7)</f>
        <v>1.678021968721171E-2</v>
      </c>
      <c r="AD309" s="210">
        <f t="shared" si="51"/>
        <v>4.5999999999999999E-3</v>
      </c>
      <c r="AE309" s="210" t="str">
        <f t="shared" si="54"/>
        <v/>
      </c>
      <c r="AF309" s="210" t="s">
        <v>556</v>
      </c>
      <c r="AG309" s="232">
        <v>17</v>
      </c>
      <c r="AH309" s="127"/>
    </row>
    <row r="310" spans="1:34" ht="15" x14ac:dyDescent="0.25">
      <c r="A310" s="127" t="s">
        <v>767</v>
      </c>
      <c r="B310" s="210">
        <v>4.1300000000000003E-2</v>
      </c>
      <c r="C310" s="203">
        <v>1.29E-2</v>
      </c>
      <c r="D310" s="210"/>
      <c r="E310" s="203">
        <v>2.7799999999999998E-2</v>
      </c>
      <c r="F310" s="203">
        <v>0.22439999999999999</v>
      </c>
      <c r="G310" s="238">
        <f t="shared" si="52"/>
        <v>60.160427807486656</v>
      </c>
      <c r="H310" s="210">
        <v>2.9399999999999999E-2</v>
      </c>
      <c r="I310" s="210" t="str">
        <f>""</f>
        <v/>
      </c>
      <c r="J310" s="210"/>
      <c r="K310" s="210">
        <v>4.5999999999999999E-3</v>
      </c>
      <c r="L310" s="127">
        <v>5500</v>
      </c>
      <c r="M310" s="127">
        <v>15</v>
      </c>
      <c r="N310" s="201">
        <f t="shared" si="58"/>
        <v>4.1300000000000003E-2</v>
      </c>
      <c r="O310" s="201">
        <f t="shared" si="59"/>
        <v>4.1300000000000003E-2</v>
      </c>
      <c r="P310" s="201">
        <f t="shared" si="60"/>
        <v>4.1300000000000003E-2</v>
      </c>
      <c r="Q310" s="201">
        <f t="shared" si="53"/>
        <v>4.1300000000000003E-2</v>
      </c>
      <c r="R310" s="127" t="s">
        <v>180</v>
      </c>
      <c r="S310" s="127" t="str">
        <f>""</f>
        <v/>
      </c>
      <c r="T310" s="127" t="s">
        <v>181</v>
      </c>
      <c r="U310" s="127" t="s">
        <v>182</v>
      </c>
      <c r="V310" s="127" t="s">
        <v>183</v>
      </c>
      <c r="W310" s="127" t="s">
        <v>279</v>
      </c>
      <c r="X310" s="127" t="s">
        <v>191</v>
      </c>
      <c r="Y310" s="127" t="s">
        <v>280</v>
      </c>
      <c r="Z310" s="127" t="s">
        <v>187</v>
      </c>
      <c r="AA310" s="127" t="str">
        <f>""</f>
        <v/>
      </c>
      <c r="AB310" s="127">
        <v>15</v>
      </c>
      <c r="AC310" s="210">
        <f>PBL_OT_2025!$F$12/POWER(1.02,7)</f>
        <v>1.678021968721171E-2</v>
      </c>
      <c r="AD310" s="210">
        <f t="shared" si="51"/>
        <v>4.5999999999999999E-3</v>
      </c>
      <c r="AE310" s="210" t="str">
        <f t="shared" si="54"/>
        <v/>
      </c>
      <c r="AF310" s="210" t="s">
        <v>556</v>
      </c>
      <c r="AG310" s="232">
        <v>17</v>
      </c>
      <c r="AH310" s="127"/>
    </row>
    <row r="311" spans="1:34" ht="15" x14ac:dyDescent="0.25">
      <c r="A311" s="127" t="s">
        <v>573</v>
      </c>
      <c r="B311" s="210">
        <v>5.9299999999999999E-2</v>
      </c>
      <c r="C311" s="203">
        <v>1.29E-2</v>
      </c>
      <c r="D311" s="210"/>
      <c r="E311" s="203">
        <v>2.5399999999999999E-2</v>
      </c>
      <c r="F311" s="203">
        <v>0.18779999999999999</v>
      </c>
      <c r="G311" s="238">
        <f t="shared" si="52"/>
        <v>180.5111821086262</v>
      </c>
      <c r="H311" s="210">
        <v>2.9399999999999999E-2</v>
      </c>
      <c r="I311" s="210"/>
      <c r="J311" s="210"/>
      <c r="K311" s="210">
        <v>3.3E-3</v>
      </c>
      <c r="L311" s="127">
        <v>5500</v>
      </c>
      <c r="M311" s="127">
        <v>15</v>
      </c>
      <c r="N311" s="201">
        <f t="shared" si="58"/>
        <v>3.9484999999999999E-2</v>
      </c>
      <c r="O311" s="201">
        <f t="shared" si="59"/>
        <v>5.3569999999999993E-2</v>
      </c>
      <c r="P311" s="201">
        <f t="shared" si="60"/>
        <v>5.9299999999999999E-2</v>
      </c>
      <c r="Q311" s="201">
        <f t="shared" si="53"/>
        <v>5.9299999999999999E-2</v>
      </c>
      <c r="R311" s="127" t="s">
        <v>180</v>
      </c>
      <c r="S311" s="127"/>
      <c r="T311" s="127" t="s">
        <v>181</v>
      </c>
      <c r="U311" s="127" t="s">
        <v>182</v>
      </c>
      <c r="V311" s="127" t="s">
        <v>183</v>
      </c>
      <c r="W311" s="127" t="s">
        <v>284</v>
      </c>
      <c r="X311" s="127" t="s">
        <v>191</v>
      </c>
      <c r="Y311" s="127" t="s">
        <v>1011</v>
      </c>
      <c r="Z311" s="127" t="s">
        <v>187</v>
      </c>
      <c r="AA311" s="127" t="s">
        <v>274</v>
      </c>
      <c r="AB311" s="127">
        <v>15</v>
      </c>
      <c r="AC311" s="210">
        <f>PBL_OT_2025!$F$12/POWER(1.02,7)</f>
        <v>1.678021968721171E-2</v>
      </c>
      <c r="AD311" s="210">
        <f t="shared" si="51"/>
        <v>3.3E-3</v>
      </c>
      <c r="AE311" s="210" t="str">
        <f t="shared" si="54"/>
        <v/>
      </c>
      <c r="AF311" s="210" t="s">
        <v>556</v>
      </c>
      <c r="AG311" s="232">
        <v>17</v>
      </c>
      <c r="AH311" s="127"/>
    </row>
    <row r="312" spans="1:34" ht="15" x14ac:dyDescent="0.25">
      <c r="A312" s="127" t="s">
        <v>283</v>
      </c>
      <c r="B312" s="210">
        <v>6.6500000000000004E-2</v>
      </c>
      <c r="C312" s="203">
        <v>1.29E-2</v>
      </c>
      <c r="D312" s="210"/>
      <c r="E312" s="203">
        <v>2.5399999999999999E-2</v>
      </c>
      <c r="F312" s="203">
        <v>0.18770000000000001</v>
      </c>
      <c r="G312" s="238">
        <f t="shared" si="52"/>
        <v>218.9664358018114</v>
      </c>
      <c r="H312" s="210">
        <v>2.9399999999999999E-2</v>
      </c>
      <c r="I312" s="210" t="str">
        <f>""</f>
        <v/>
      </c>
      <c r="J312" s="210"/>
      <c r="K312" s="210">
        <v>3.3E-3</v>
      </c>
      <c r="L312" s="127">
        <v>5500</v>
      </c>
      <c r="M312" s="127">
        <v>15</v>
      </c>
      <c r="N312" s="201">
        <f t="shared" si="58"/>
        <v>3.9477499999999999E-2</v>
      </c>
      <c r="O312" s="201">
        <f t="shared" si="59"/>
        <v>5.3554999999999998E-2</v>
      </c>
      <c r="P312" s="201">
        <f t="shared" si="60"/>
        <v>6.6500000000000004E-2</v>
      </c>
      <c r="Q312" s="201">
        <f t="shared" si="53"/>
        <v>6.6500000000000004E-2</v>
      </c>
      <c r="R312" s="127" t="s">
        <v>180</v>
      </c>
      <c r="S312" s="127" t="str">
        <f>""</f>
        <v/>
      </c>
      <c r="T312" s="127" t="s">
        <v>181</v>
      </c>
      <c r="U312" s="127" t="s">
        <v>182</v>
      </c>
      <c r="V312" s="127" t="s">
        <v>183</v>
      </c>
      <c r="W312" s="127" t="s">
        <v>284</v>
      </c>
      <c r="X312" s="127" t="s">
        <v>191</v>
      </c>
      <c r="Y312" s="127" t="s">
        <v>1011</v>
      </c>
      <c r="Z312" s="127" t="s">
        <v>187</v>
      </c>
      <c r="AA312" s="127" t="s">
        <v>274</v>
      </c>
      <c r="AB312" s="127">
        <v>15</v>
      </c>
      <c r="AC312" s="210">
        <f>PBL_OT_2025!$F$12/POWER(1.02,7)</f>
        <v>1.678021968721171E-2</v>
      </c>
      <c r="AD312" s="210">
        <f t="shared" si="51"/>
        <v>3.3E-3</v>
      </c>
      <c r="AE312" s="210" t="str">
        <f t="shared" si="54"/>
        <v/>
      </c>
      <c r="AF312" s="210" t="s">
        <v>556</v>
      </c>
      <c r="AG312" s="232">
        <v>17</v>
      </c>
      <c r="AH312" s="127"/>
    </row>
    <row r="313" spans="1:34" ht="15" x14ac:dyDescent="0.25">
      <c r="A313" s="127" t="s">
        <v>285</v>
      </c>
      <c r="B313" s="210">
        <v>7.3599999999999999E-2</v>
      </c>
      <c r="C313" s="203">
        <v>1.29E-2</v>
      </c>
      <c r="D313" s="210"/>
      <c r="E313" s="203">
        <v>2.5399999999999999E-2</v>
      </c>
      <c r="F313" s="203">
        <v>0.18770000000000001</v>
      </c>
      <c r="G313" s="238">
        <f t="shared" si="52"/>
        <v>256.79275439531165</v>
      </c>
      <c r="H313" s="210">
        <v>2.9399999999999999E-2</v>
      </c>
      <c r="I313" s="210" t="str">
        <f>""</f>
        <v/>
      </c>
      <c r="J313" s="210"/>
      <c r="K313" s="210">
        <v>3.3E-3</v>
      </c>
      <c r="L313" s="127">
        <v>5500</v>
      </c>
      <c r="M313" s="127">
        <v>15</v>
      </c>
      <c r="N313" s="201">
        <f t="shared" si="58"/>
        <v>3.9477499999999999E-2</v>
      </c>
      <c r="O313" s="201">
        <f t="shared" si="59"/>
        <v>5.3554999999999998E-2</v>
      </c>
      <c r="P313" s="201">
        <f t="shared" si="60"/>
        <v>6.7632499999999998E-2</v>
      </c>
      <c r="Q313" s="201">
        <f t="shared" si="53"/>
        <v>7.3599999999999999E-2</v>
      </c>
      <c r="R313" s="127" t="s">
        <v>180</v>
      </c>
      <c r="S313" s="127" t="str">
        <f>""</f>
        <v/>
      </c>
      <c r="T313" s="127" t="s">
        <v>181</v>
      </c>
      <c r="U313" s="127" t="s">
        <v>182</v>
      </c>
      <c r="V313" s="127" t="s">
        <v>183</v>
      </c>
      <c r="W313" s="127" t="s">
        <v>284</v>
      </c>
      <c r="X313" s="127" t="s">
        <v>191</v>
      </c>
      <c r="Y313" s="127" t="s">
        <v>1011</v>
      </c>
      <c r="Z313" s="127" t="s">
        <v>187</v>
      </c>
      <c r="AA313" s="127" t="s">
        <v>274</v>
      </c>
      <c r="AB313" s="127">
        <v>15</v>
      </c>
      <c r="AC313" s="210">
        <f>PBL_OT_2025!$F$12/POWER(1.02,7)</f>
        <v>1.678021968721171E-2</v>
      </c>
      <c r="AD313" s="210">
        <f t="shared" si="51"/>
        <v>3.3E-3</v>
      </c>
      <c r="AE313" s="210" t="str">
        <f t="shared" si="54"/>
        <v/>
      </c>
      <c r="AF313" s="210" t="s">
        <v>556</v>
      </c>
      <c r="AG313" s="232">
        <v>17</v>
      </c>
      <c r="AH313" s="127"/>
    </row>
    <row r="314" spans="1:34" ht="15" x14ac:dyDescent="0.25">
      <c r="A314" s="127" t="s">
        <v>286</v>
      </c>
      <c r="B314" s="210">
        <v>8.09E-2</v>
      </c>
      <c r="C314" s="203">
        <v>1.29E-2</v>
      </c>
      <c r="D314" s="210"/>
      <c r="E314" s="203">
        <v>2.5399999999999999E-2</v>
      </c>
      <c r="F314" s="203">
        <v>0.18740000000000001</v>
      </c>
      <c r="G314" s="238">
        <f t="shared" si="52"/>
        <v>296.15795090715045</v>
      </c>
      <c r="H314" s="210">
        <v>2.9399999999999999E-2</v>
      </c>
      <c r="I314" s="210" t="str">
        <f>""</f>
        <v/>
      </c>
      <c r="J314" s="210"/>
      <c r="K314" s="210">
        <v>3.3E-3</v>
      </c>
      <c r="L314" s="127">
        <v>5500</v>
      </c>
      <c r="M314" s="127">
        <v>15</v>
      </c>
      <c r="N314" s="201">
        <f t="shared" si="58"/>
        <v>3.9455000000000004E-2</v>
      </c>
      <c r="O314" s="201">
        <f t="shared" si="59"/>
        <v>5.3510000000000002E-2</v>
      </c>
      <c r="P314" s="201">
        <f t="shared" si="60"/>
        <v>6.7565E-2</v>
      </c>
      <c r="Q314" s="201">
        <f t="shared" ref="Q314:Q315" si="61">MIN($B314,(300*$F314/1000)+$E314)</f>
        <v>8.09E-2</v>
      </c>
      <c r="R314" s="127" t="s">
        <v>180</v>
      </c>
      <c r="S314" s="127" t="str">
        <f>""</f>
        <v/>
      </c>
      <c r="T314" s="127" t="s">
        <v>181</v>
      </c>
      <c r="U314" s="127" t="s">
        <v>182</v>
      </c>
      <c r="V314" s="127" t="s">
        <v>183</v>
      </c>
      <c r="W314" s="127" t="s">
        <v>284</v>
      </c>
      <c r="X314" s="127" t="s">
        <v>191</v>
      </c>
      <c r="Y314" s="127" t="s">
        <v>1011</v>
      </c>
      <c r="Z314" s="127" t="s">
        <v>187</v>
      </c>
      <c r="AA314" s="127" t="s">
        <v>274</v>
      </c>
      <c r="AB314" s="127">
        <v>15</v>
      </c>
      <c r="AC314" s="210">
        <f>PBL_OT_2025!$F$12/POWER(1.02,7)</f>
        <v>1.678021968721171E-2</v>
      </c>
      <c r="AD314" s="210">
        <f t="shared" si="51"/>
        <v>3.3E-3</v>
      </c>
      <c r="AE314" s="210" t="str">
        <f t="shared" si="54"/>
        <v/>
      </c>
      <c r="AF314" s="210" t="s">
        <v>556</v>
      </c>
      <c r="AG314" s="232">
        <v>17</v>
      </c>
      <c r="AH314" s="127"/>
    </row>
    <row r="315" spans="1:34" ht="15" x14ac:dyDescent="0.25">
      <c r="A315" s="127" t="s">
        <v>287</v>
      </c>
      <c r="B315" s="210">
        <v>8.8200000000000001E-2</v>
      </c>
      <c r="C315" s="203">
        <v>1.29E-2</v>
      </c>
      <c r="D315" s="210"/>
      <c r="E315" s="203">
        <v>2.5399999999999999E-2</v>
      </c>
      <c r="F315" s="203">
        <v>0.18720000000000001</v>
      </c>
      <c r="G315" s="238">
        <f t="shared" si="52"/>
        <v>335.47008547008545</v>
      </c>
      <c r="H315" s="210">
        <v>2.9399999999999999E-2</v>
      </c>
      <c r="I315" s="210" t="str">
        <f>""</f>
        <v/>
      </c>
      <c r="J315" s="210"/>
      <c r="K315" s="210">
        <v>3.3E-3</v>
      </c>
      <c r="L315" s="127">
        <v>5500</v>
      </c>
      <c r="M315" s="127">
        <v>15</v>
      </c>
      <c r="N315" s="201">
        <f t="shared" si="58"/>
        <v>3.9440000000000003E-2</v>
      </c>
      <c r="O315" s="201">
        <f t="shared" si="59"/>
        <v>5.348E-2</v>
      </c>
      <c r="P315" s="201">
        <f t="shared" si="60"/>
        <v>6.7519999999999997E-2</v>
      </c>
      <c r="Q315" s="201">
        <f t="shared" si="61"/>
        <v>8.1559999999999994E-2</v>
      </c>
      <c r="R315" s="127" t="s">
        <v>180</v>
      </c>
      <c r="S315" s="127" t="str">
        <f>""</f>
        <v/>
      </c>
      <c r="T315" s="127" t="s">
        <v>181</v>
      </c>
      <c r="U315" s="127" t="s">
        <v>182</v>
      </c>
      <c r="V315" s="127" t="s">
        <v>183</v>
      </c>
      <c r="W315" s="127" t="s">
        <v>284</v>
      </c>
      <c r="X315" s="127" t="s">
        <v>191</v>
      </c>
      <c r="Y315" s="127" t="s">
        <v>1011</v>
      </c>
      <c r="Z315" s="127" t="s">
        <v>187</v>
      </c>
      <c r="AA315" s="127" t="s">
        <v>274</v>
      </c>
      <c r="AB315" s="127">
        <v>15</v>
      </c>
      <c r="AC315" s="210">
        <f>PBL_OT_2025!$F$12/POWER(1.02,7)</f>
        <v>1.678021968721171E-2</v>
      </c>
      <c r="AD315" s="210">
        <f t="shared" si="51"/>
        <v>3.3E-3</v>
      </c>
      <c r="AE315" s="210" t="str">
        <f t="shared" si="54"/>
        <v/>
      </c>
      <c r="AF315" s="210" t="s">
        <v>556</v>
      </c>
      <c r="AG315" s="232">
        <v>17</v>
      </c>
      <c r="AH315" s="127"/>
    </row>
    <row r="316" spans="1:34" ht="15" x14ac:dyDescent="0.25">
      <c r="A316" s="127"/>
      <c r="B316" s="210"/>
      <c r="C316" s="203"/>
      <c r="D316" s="210"/>
      <c r="E316" s="203"/>
      <c r="F316" s="203"/>
      <c r="G316" s="238"/>
      <c r="H316" s="210"/>
      <c r="I316" s="210"/>
      <c r="J316" s="210"/>
      <c r="K316" s="210"/>
      <c r="L316" s="127"/>
      <c r="M316" s="127"/>
      <c r="N316" s="201"/>
      <c r="O316" s="201"/>
      <c r="P316" s="201"/>
      <c r="Q316" s="201"/>
      <c r="R316" s="127"/>
      <c r="S316" s="127"/>
      <c r="T316" s="127"/>
      <c r="U316" s="127"/>
      <c r="V316" s="127"/>
      <c r="W316" s="127"/>
      <c r="X316" s="127"/>
      <c r="Y316" s="127"/>
      <c r="Z316" s="127"/>
      <c r="AA316" s="127"/>
      <c r="AB316" s="127"/>
      <c r="AC316" s="237"/>
      <c r="AD316" s="210"/>
      <c r="AE316" s="210"/>
      <c r="AF316" s="210"/>
      <c r="AG316" s="233"/>
      <c r="AH316" s="127"/>
    </row>
    <row r="317" spans="1:34" ht="15" x14ac:dyDescent="0.25">
      <c r="A317" s="204" t="s">
        <v>288</v>
      </c>
      <c r="B317" s="210"/>
      <c r="C317" s="203"/>
      <c r="D317" s="210"/>
      <c r="E317" s="203"/>
      <c r="F317" s="203"/>
      <c r="G317" s="238"/>
      <c r="H317" s="210"/>
      <c r="I317" s="210"/>
      <c r="J317" s="210"/>
      <c r="K317" s="210"/>
      <c r="L317" s="127"/>
      <c r="M317" s="127"/>
      <c r="N317" s="201"/>
      <c r="O317" s="201"/>
      <c r="P317" s="201"/>
      <c r="Q317" s="201"/>
      <c r="R317" s="127"/>
      <c r="S317" s="127"/>
      <c r="T317" s="127"/>
      <c r="U317" s="127"/>
      <c r="V317" s="127"/>
      <c r="W317" s="127"/>
      <c r="X317" s="127"/>
      <c r="Y317" s="127"/>
      <c r="Z317" s="127"/>
      <c r="AA317" s="127"/>
      <c r="AB317" s="127"/>
      <c r="AC317" s="237"/>
      <c r="AD317" s="210"/>
      <c r="AE317" s="210"/>
      <c r="AF317" s="210"/>
      <c r="AG317" s="233"/>
      <c r="AH317" s="127"/>
    </row>
    <row r="318" spans="1:34" ht="15" x14ac:dyDescent="0.25">
      <c r="A318" s="127" t="s">
        <v>775</v>
      </c>
      <c r="B318" s="210">
        <v>7.8E-2</v>
      </c>
      <c r="C318" s="203">
        <v>1.6500000000000001E-2</v>
      </c>
      <c r="D318" s="210"/>
      <c r="E318" s="203">
        <v>3.4700000000000002E-2</v>
      </c>
      <c r="F318" s="203">
        <v>0.22500000000000001</v>
      </c>
      <c r="G318" s="238">
        <f t="shared" si="52"/>
        <v>192.44444444444443</v>
      </c>
      <c r="H318" s="210">
        <v>3.7900000000000003E-2</v>
      </c>
      <c r="I318" s="210" t="str">
        <f>""</f>
        <v/>
      </c>
      <c r="J318" s="210"/>
      <c r="K318" s="210">
        <v>5.4000000000000003E-3</v>
      </c>
      <c r="L318" s="127">
        <v>4700</v>
      </c>
      <c r="M318" s="127">
        <v>15</v>
      </c>
      <c r="N318" s="201">
        <f>MIN($B318,(75*$F318/1000)+$E318)</f>
        <v>5.1575000000000003E-2</v>
      </c>
      <c r="O318" s="201">
        <f>MIN($B318,(150*$F318/1000)+$E318)</f>
        <v>6.8450000000000011E-2</v>
      </c>
      <c r="P318" s="201">
        <f>MIN($B318,(225*$F318/1000)+$E318)</f>
        <v>7.8E-2</v>
      </c>
      <c r="Q318" s="201">
        <f t="shared" ref="Q318:Q332" si="62">MIN($B318,(300*$F318/1000)+$E318)</f>
        <v>7.8E-2</v>
      </c>
      <c r="R318" s="127" t="s">
        <v>180</v>
      </c>
      <c r="S318" s="127" t="str">
        <f>""</f>
        <v/>
      </c>
      <c r="T318" s="127" t="s">
        <v>181</v>
      </c>
      <c r="U318" s="127" t="s">
        <v>182</v>
      </c>
      <c r="V318" s="127" t="s">
        <v>183</v>
      </c>
      <c r="W318" s="127" t="s">
        <v>289</v>
      </c>
      <c r="X318" s="127" t="s">
        <v>191</v>
      </c>
      <c r="Y318" s="127" t="s">
        <v>233</v>
      </c>
      <c r="Z318" s="127" t="s">
        <v>187</v>
      </c>
      <c r="AA318" s="127" t="str">
        <f>"Voor deze categorie geldt naast een maximum aantal van  "&amp;L318&amp;" subsidiabele vollasturen per jaar een beperking in toegestane productie-uren (bedrijfsuren) per jaar t/m het jaar 2028!"</f>
        <v>Voor deze categorie geldt naast een maximum aantal van  4700 subsidiabele vollasturen per jaar een beperking in toegestane productie-uren (bedrijfsuren) per jaar t/m het jaar 2028!</v>
      </c>
      <c r="AB318" s="127">
        <v>15</v>
      </c>
      <c r="AC318" s="210">
        <f>PBL_OT_2025!$F$13/POWER(1.02,7)</f>
        <v>2.1574568169272196E-2</v>
      </c>
      <c r="AD318" s="210">
        <f t="shared" si="51"/>
        <v>5.4000000000000003E-3</v>
      </c>
      <c r="AE318" s="210" t="str">
        <f t="shared" si="54"/>
        <v/>
      </c>
      <c r="AF318" s="210" t="s">
        <v>559</v>
      </c>
      <c r="AG318" s="232">
        <v>18</v>
      </c>
      <c r="AH318" s="127"/>
    </row>
    <row r="319" spans="1:34" ht="15" x14ac:dyDescent="0.25">
      <c r="A319" s="127" t="s">
        <v>777</v>
      </c>
      <c r="B319" s="210">
        <v>7.8E-2</v>
      </c>
      <c r="C319" s="203">
        <v>1.6500000000000001E-2</v>
      </c>
      <c r="D319" s="210"/>
      <c r="E319" s="203">
        <v>2.4799999999999999E-2</v>
      </c>
      <c r="F319" s="203">
        <v>0.22500000000000001</v>
      </c>
      <c r="G319" s="238">
        <f t="shared" si="52"/>
        <v>236.44444444444443</v>
      </c>
      <c r="H319" s="210">
        <v>3.7900000000000003E-2</v>
      </c>
      <c r="I319" s="210"/>
      <c r="J319" s="210"/>
      <c r="K319" s="210">
        <v>0</v>
      </c>
      <c r="L319" s="127">
        <v>4700</v>
      </c>
      <c r="M319" s="127">
        <v>15</v>
      </c>
      <c r="N319" s="201">
        <f t="shared" ref="N319:N325" si="63">MIN($B319,(75*$F319/1000)+$E319)</f>
        <v>4.1675000000000004E-2</v>
      </c>
      <c r="O319" s="201">
        <f t="shared" ref="O319:O325" si="64">MIN($B319,(150*$F319/1000)+$E319)</f>
        <v>5.8550000000000005E-2</v>
      </c>
      <c r="P319" s="201">
        <f t="shared" ref="P319:P325" si="65">MIN($B319,(225*$F319/1000)+$E319)</f>
        <v>7.5425000000000006E-2</v>
      </c>
      <c r="Q319" s="201">
        <f t="shared" si="62"/>
        <v>7.8E-2</v>
      </c>
      <c r="R319" s="127" t="s">
        <v>180</v>
      </c>
      <c r="S319" s="127" t="str">
        <f>""</f>
        <v/>
      </c>
      <c r="T319" s="127" t="s">
        <v>181</v>
      </c>
      <c r="U319" s="127" t="s">
        <v>182</v>
      </c>
      <c r="V319" s="127" t="s">
        <v>183</v>
      </c>
      <c r="W319" s="127" t="s">
        <v>289</v>
      </c>
      <c r="X319" s="127" t="s">
        <v>191</v>
      </c>
      <c r="Y319" s="127" t="s">
        <v>233</v>
      </c>
      <c r="Z319" s="127" t="s">
        <v>187</v>
      </c>
      <c r="AA319" s="127" t="str">
        <f t="shared" ref="AA319:AA322" si="66">"Voor deze categorie geldt naast een maximum aantal van  "&amp;L319&amp;" subsidiabele vollasturen per jaar een beperking in toegestane productie-uren (bedrijfsuren) per jaar t/m het jaar 2028!"</f>
        <v>Voor deze categorie geldt naast een maximum aantal van  4700 subsidiabele vollasturen per jaar een beperking in toegestane productie-uren (bedrijfsuren) per jaar t/m het jaar 2028!</v>
      </c>
      <c r="AB319" s="127">
        <v>15</v>
      </c>
      <c r="AC319" s="210">
        <f>PBL_OT_2025!$F$13/POWER(1.02,7)</f>
        <v>2.1574568169272196E-2</v>
      </c>
      <c r="AD319" s="210">
        <f t="shared" si="51"/>
        <v>0</v>
      </c>
      <c r="AE319" s="210" t="str">
        <f t="shared" si="54"/>
        <v/>
      </c>
      <c r="AF319" s="210" t="s">
        <v>559</v>
      </c>
      <c r="AG319" s="232">
        <v>18</v>
      </c>
      <c r="AH319" s="127"/>
    </row>
    <row r="320" spans="1:34" ht="15" x14ac:dyDescent="0.25">
      <c r="A320" s="127" t="s">
        <v>778</v>
      </c>
      <c r="B320" s="210">
        <v>9.2999999999999999E-2</v>
      </c>
      <c r="C320" s="203">
        <v>1.6500000000000001E-2</v>
      </c>
      <c r="D320" s="210"/>
      <c r="E320" s="203">
        <v>2.4799999999999999E-2</v>
      </c>
      <c r="F320" s="203">
        <v>0.22500000000000001</v>
      </c>
      <c r="G320" s="238">
        <f t="shared" si="52"/>
        <v>303.11111111111114</v>
      </c>
      <c r="H320" s="210">
        <v>3.7900000000000003E-2</v>
      </c>
      <c r="I320" s="210"/>
      <c r="J320" s="210"/>
      <c r="K320" s="210">
        <v>0</v>
      </c>
      <c r="L320" s="127">
        <v>7000</v>
      </c>
      <c r="M320" s="127">
        <v>15</v>
      </c>
      <c r="N320" s="201">
        <f t="shared" si="63"/>
        <v>4.1675000000000004E-2</v>
      </c>
      <c r="O320" s="201">
        <f t="shared" si="64"/>
        <v>5.8550000000000005E-2</v>
      </c>
      <c r="P320" s="201">
        <f t="shared" si="65"/>
        <v>7.5425000000000006E-2</v>
      </c>
      <c r="Q320" s="201">
        <f t="shared" si="62"/>
        <v>9.2300000000000007E-2</v>
      </c>
      <c r="R320" s="127" t="s">
        <v>180</v>
      </c>
      <c r="S320" s="127"/>
      <c r="T320" s="127" t="s">
        <v>181</v>
      </c>
      <c r="U320" s="127" t="s">
        <v>182</v>
      </c>
      <c r="V320" s="127" t="s">
        <v>183</v>
      </c>
      <c r="W320" s="127" t="s">
        <v>706</v>
      </c>
      <c r="X320" s="127" t="s">
        <v>191</v>
      </c>
      <c r="Y320" s="127" t="s">
        <v>233</v>
      </c>
      <c r="Z320" s="127" t="s">
        <v>187</v>
      </c>
      <c r="AA320" s="127"/>
      <c r="AB320" s="127">
        <v>15</v>
      </c>
      <c r="AC320" s="210">
        <f>PBL_OT_2025!$F$13/POWER(1.02,7)</f>
        <v>2.1574568169272196E-2</v>
      </c>
      <c r="AD320" s="210">
        <f t="shared" si="51"/>
        <v>0</v>
      </c>
      <c r="AE320" s="210" t="str">
        <f t="shared" si="54"/>
        <v/>
      </c>
      <c r="AF320" s="210" t="s">
        <v>577</v>
      </c>
      <c r="AG320" s="232">
        <v>18</v>
      </c>
      <c r="AH320" s="127"/>
    </row>
    <row r="321" spans="1:34" ht="15" x14ac:dyDescent="0.25">
      <c r="A321" s="127" t="s">
        <v>776</v>
      </c>
      <c r="B321" s="210">
        <v>6.6000000000000003E-2</v>
      </c>
      <c r="C321" s="203">
        <v>1.6500000000000001E-2</v>
      </c>
      <c r="D321" s="210"/>
      <c r="E321" s="203">
        <v>3.4700000000000002E-2</v>
      </c>
      <c r="F321" s="203">
        <v>0.22500000000000001</v>
      </c>
      <c r="G321" s="238">
        <f t="shared" si="52"/>
        <v>139.11111111111111</v>
      </c>
      <c r="H321" s="210">
        <v>3.7900000000000003E-2</v>
      </c>
      <c r="I321" s="210"/>
      <c r="J321" s="210"/>
      <c r="K321" s="210">
        <v>5.4000000000000003E-3</v>
      </c>
      <c r="L321" s="127">
        <v>2000</v>
      </c>
      <c r="M321" s="127">
        <v>5</v>
      </c>
      <c r="N321" s="201">
        <f t="shared" si="63"/>
        <v>5.1575000000000003E-2</v>
      </c>
      <c r="O321" s="201">
        <f t="shared" si="64"/>
        <v>6.6000000000000003E-2</v>
      </c>
      <c r="P321" s="201">
        <f t="shared" si="65"/>
        <v>6.6000000000000003E-2</v>
      </c>
      <c r="Q321" s="201">
        <f t="shared" si="62"/>
        <v>6.6000000000000003E-2</v>
      </c>
      <c r="R321" s="127" t="s">
        <v>180</v>
      </c>
      <c r="S321" s="127"/>
      <c r="T321" s="127" t="s">
        <v>181</v>
      </c>
      <c r="U321" s="127" t="s">
        <v>182</v>
      </c>
      <c r="V321" s="127" t="s">
        <v>183</v>
      </c>
      <c r="W321" s="127" t="s">
        <v>1004</v>
      </c>
      <c r="X321" s="127" t="s">
        <v>191</v>
      </c>
      <c r="Y321" s="127" t="s">
        <v>233</v>
      </c>
      <c r="Z321" s="127" t="s">
        <v>187</v>
      </c>
      <c r="AA321" s="127" t="str">
        <f t="shared" si="66"/>
        <v>Voor deze categorie geldt naast een maximum aantal van  2000 subsidiabele vollasturen per jaar een beperking in toegestane productie-uren (bedrijfsuren) per jaar t/m het jaar 2028!</v>
      </c>
      <c r="AB321" s="127">
        <v>5</v>
      </c>
      <c r="AC321" s="210">
        <f>PBL_OT_2025!$F$13/POWER(1.02,7)</f>
        <v>2.1574568169272196E-2</v>
      </c>
      <c r="AD321" s="210">
        <f t="shared" si="51"/>
        <v>5.4000000000000003E-3</v>
      </c>
      <c r="AE321" s="210" t="str">
        <f t="shared" si="54"/>
        <v/>
      </c>
      <c r="AF321" s="210" t="s">
        <v>577</v>
      </c>
      <c r="AG321" s="232">
        <v>18</v>
      </c>
      <c r="AH321" s="127"/>
    </row>
    <row r="322" spans="1:34" ht="15" x14ac:dyDescent="0.25">
      <c r="A322" s="127" t="s">
        <v>779</v>
      </c>
      <c r="B322" s="210">
        <v>6.6000000000000003E-2</v>
      </c>
      <c r="C322" s="203">
        <v>1.6500000000000001E-2</v>
      </c>
      <c r="D322" s="210"/>
      <c r="E322" s="203">
        <v>2.4799999999999999E-2</v>
      </c>
      <c r="F322" s="203">
        <v>0.22500000000000001</v>
      </c>
      <c r="G322" s="238">
        <f t="shared" si="52"/>
        <v>183.11111111111111</v>
      </c>
      <c r="H322" s="210">
        <v>3.7900000000000003E-2</v>
      </c>
      <c r="I322" s="210"/>
      <c r="J322" s="210"/>
      <c r="K322" s="210">
        <v>0</v>
      </c>
      <c r="L322" s="127">
        <v>2000</v>
      </c>
      <c r="M322" s="127">
        <v>5</v>
      </c>
      <c r="N322" s="201">
        <f t="shared" si="63"/>
        <v>4.1675000000000004E-2</v>
      </c>
      <c r="O322" s="201">
        <f t="shared" si="64"/>
        <v>5.8550000000000005E-2</v>
      </c>
      <c r="P322" s="201">
        <f t="shared" si="65"/>
        <v>6.6000000000000003E-2</v>
      </c>
      <c r="Q322" s="201">
        <f t="shared" si="62"/>
        <v>6.6000000000000003E-2</v>
      </c>
      <c r="R322" s="127" t="s">
        <v>180</v>
      </c>
      <c r="S322" s="127"/>
      <c r="T322" s="127" t="s">
        <v>181</v>
      </c>
      <c r="U322" s="127" t="s">
        <v>182</v>
      </c>
      <c r="V322" s="127" t="s">
        <v>183</v>
      </c>
      <c r="W322" s="127" t="s">
        <v>1004</v>
      </c>
      <c r="X322" s="127" t="s">
        <v>191</v>
      </c>
      <c r="Y322" s="127" t="s">
        <v>233</v>
      </c>
      <c r="Z322" s="127" t="s">
        <v>187</v>
      </c>
      <c r="AA322" s="127" t="str">
        <f t="shared" si="66"/>
        <v>Voor deze categorie geldt naast een maximum aantal van  2000 subsidiabele vollasturen per jaar een beperking in toegestane productie-uren (bedrijfsuren) per jaar t/m het jaar 2028!</v>
      </c>
      <c r="AB322" s="127">
        <v>5</v>
      </c>
      <c r="AC322" s="210">
        <f>PBL_OT_2025!$F$13/POWER(1.02,7)</f>
        <v>2.1574568169272196E-2</v>
      </c>
      <c r="AD322" s="210">
        <f t="shared" si="51"/>
        <v>0</v>
      </c>
      <c r="AE322" s="210" t="str">
        <f t="shared" si="54"/>
        <v/>
      </c>
      <c r="AF322" s="210" t="s">
        <v>577</v>
      </c>
      <c r="AG322" s="232">
        <v>18</v>
      </c>
      <c r="AH322" s="127"/>
    </row>
    <row r="323" spans="1:34" ht="15" x14ac:dyDescent="0.25">
      <c r="A323" s="127" t="s">
        <v>574</v>
      </c>
      <c r="B323" s="210">
        <v>0.15870000000000001</v>
      </c>
      <c r="C323" s="203">
        <v>2.8000000000000001E-2</v>
      </c>
      <c r="D323" s="210"/>
      <c r="E323" s="203">
        <v>6.7100000000000007E-2</v>
      </c>
      <c r="F323" s="203">
        <v>0.22900000000000001</v>
      </c>
      <c r="G323" s="238">
        <f t="shared" si="52"/>
        <v>399.99999999999994</v>
      </c>
      <c r="H323" s="210">
        <v>5.4600000000000003E-2</v>
      </c>
      <c r="I323" s="210" t="str">
        <f>""</f>
        <v/>
      </c>
      <c r="J323" s="210"/>
      <c r="K323" s="210">
        <v>0</v>
      </c>
      <c r="L323" s="127">
        <v>3683</v>
      </c>
      <c r="M323" s="127">
        <v>15</v>
      </c>
      <c r="N323" s="201">
        <f t="shared" si="63"/>
        <v>8.4275000000000003E-2</v>
      </c>
      <c r="O323" s="201">
        <f t="shared" si="64"/>
        <v>0.10145000000000001</v>
      </c>
      <c r="P323" s="201">
        <f t="shared" si="65"/>
        <v>0.11862500000000001</v>
      </c>
      <c r="Q323" s="201">
        <f t="shared" si="62"/>
        <v>0.1358</v>
      </c>
      <c r="R323" s="127" t="s">
        <v>290</v>
      </c>
      <c r="S323" s="127" t="str">
        <f>""</f>
        <v/>
      </c>
      <c r="T323" s="127" t="s">
        <v>181</v>
      </c>
      <c r="U323" s="127" t="s">
        <v>182</v>
      </c>
      <c r="V323" s="127" t="s">
        <v>183</v>
      </c>
      <c r="W323" s="127" t="s">
        <v>291</v>
      </c>
      <c r="X323" s="127" t="s">
        <v>292</v>
      </c>
      <c r="Y323" s="127" t="s">
        <v>742</v>
      </c>
      <c r="Z323" s="127" t="s">
        <v>187</v>
      </c>
      <c r="AA323" s="127" t="str">
        <f>"Voor deze categorie geldt dat alleen subsidie wordt verstrekt voor productie van volledig hernieuwbare waterstof en dat ingeval ook niet volledig hernieuwbare waterstof wordt geproduceerd de totale broeikasgasemissiereductie tenminste 70% bedraagt!"</f>
        <v>Voor deze categorie geldt dat alleen subsidie wordt verstrekt voor productie van volledig hernieuwbare waterstof en dat ingeval ook niet volledig hernieuwbare waterstof wordt geproduceerd de totale broeikasgasemissiereductie tenminste 70% bedraagt!</v>
      </c>
      <c r="AB323" s="127">
        <v>15</v>
      </c>
      <c r="AC323" s="210">
        <f>(0.29+49*PBL_OT_2025!$F$8/POWER(1.02,7))/39.32</f>
        <v>3.4258739716072822E-2</v>
      </c>
      <c r="AD323" s="210">
        <f t="shared" si="51"/>
        <v>0</v>
      </c>
      <c r="AE323" s="210" t="str">
        <f t="shared" si="54"/>
        <v/>
      </c>
      <c r="AF323" s="210" t="s">
        <v>560</v>
      </c>
      <c r="AG323" s="232">
        <v>30</v>
      </c>
      <c r="AH323" s="127"/>
    </row>
    <row r="324" spans="1:34" ht="15" x14ac:dyDescent="0.25">
      <c r="A324" s="127" t="s">
        <v>575</v>
      </c>
      <c r="B324" s="210">
        <v>0.15870000000000001</v>
      </c>
      <c r="C324" s="203">
        <v>2.8000000000000001E-2</v>
      </c>
      <c r="D324" s="210"/>
      <c r="E324" s="203">
        <v>6.7100000000000007E-2</v>
      </c>
      <c r="F324" s="203">
        <v>0.22900000000000001</v>
      </c>
      <c r="G324" s="238">
        <f t="shared" si="52"/>
        <v>399.99999999999994</v>
      </c>
      <c r="H324" s="210">
        <v>5.4600000000000003E-2</v>
      </c>
      <c r="I324" s="210" t="str">
        <f>""</f>
        <v/>
      </c>
      <c r="J324" s="210"/>
      <c r="K324" s="210">
        <v>0</v>
      </c>
      <c r="L324" s="127">
        <v>5840</v>
      </c>
      <c r="M324" s="127">
        <v>15</v>
      </c>
      <c r="N324" s="201">
        <f t="shared" si="63"/>
        <v>8.4275000000000003E-2</v>
      </c>
      <c r="O324" s="201">
        <f t="shared" si="64"/>
        <v>0.10145000000000001</v>
      </c>
      <c r="P324" s="201">
        <f t="shared" si="65"/>
        <v>0.11862500000000001</v>
      </c>
      <c r="Q324" s="201">
        <f t="shared" si="62"/>
        <v>0.1358</v>
      </c>
      <c r="R324" s="127" t="s">
        <v>290</v>
      </c>
      <c r="S324" s="127" t="str">
        <f>""</f>
        <v/>
      </c>
      <c r="T324" s="127" t="s">
        <v>181</v>
      </c>
      <c r="U324" s="127" t="s">
        <v>182</v>
      </c>
      <c r="V324" s="127" t="s">
        <v>183</v>
      </c>
      <c r="W324" s="127" t="s">
        <v>293</v>
      </c>
      <c r="X324" s="127" t="s">
        <v>292</v>
      </c>
      <c r="Y324" s="127" t="s">
        <v>742</v>
      </c>
      <c r="Z324" s="127" t="s">
        <v>187</v>
      </c>
      <c r="AA324" s="127"/>
      <c r="AB324" s="127">
        <v>15</v>
      </c>
      <c r="AC324" s="210">
        <f>(0.29+49*PBL_OT_2025!$F$8/POWER(1.02,7))/39.32</f>
        <v>3.4258739716072822E-2</v>
      </c>
      <c r="AD324" s="210">
        <f t="shared" si="51"/>
        <v>0</v>
      </c>
      <c r="AE324" s="210" t="str">
        <f t="shared" si="54"/>
        <v/>
      </c>
      <c r="AF324" s="210" t="s">
        <v>560</v>
      </c>
      <c r="AG324" s="232">
        <v>30</v>
      </c>
      <c r="AH324" s="127"/>
    </row>
    <row r="325" spans="1:34" ht="15" x14ac:dyDescent="0.25">
      <c r="A325" s="127" t="s">
        <v>783</v>
      </c>
      <c r="B325" s="210">
        <v>6.5199999999999994E-2</v>
      </c>
      <c r="C325" s="203">
        <v>2.8000000000000001E-2</v>
      </c>
      <c r="D325" s="210"/>
      <c r="E325" s="203">
        <v>5.6800000000000003E-2</v>
      </c>
      <c r="F325" s="203">
        <v>0.12959999999999999</v>
      </c>
      <c r="G325" s="238">
        <f t="shared" si="52"/>
        <v>64.814814814814753</v>
      </c>
      <c r="H325" s="210">
        <v>5.4600000000000003E-2</v>
      </c>
      <c r="I325" s="210"/>
      <c r="J325" s="210"/>
      <c r="K325" s="210">
        <v>1.01E-2</v>
      </c>
      <c r="L325" s="127">
        <v>7500</v>
      </c>
      <c r="M325" s="127">
        <v>15</v>
      </c>
      <c r="N325" s="201">
        <f t="shared" si="63"/>
        <v>6.5199999999999994E-2</v>
      </c>
      <c r="O325" s="201">
        <f t="shared" si="64"/>
        <v>6.5199999999999994E-2</v>
      </c>
      <c r="P325" s="201">
        <f t="shared" si="65"/>
        <v>6.5199999999999994E-2</v>
      </c>
      <c r="Q325" s="201">
        <f t="shared" si="62"/>
        <v>6.5199999999999994E-2</v>
      </c>
      <c r="R325" s="127" t="s">
        <v>290</v>
      </c>
      <c r="S325" s="127"/>
      <c r="T325" s="127" t="s">
        <v>181</v>
      </c>
      <c r="U325" s="127" t="s">
        <v>182</v>
      </c>
      <c r="V325" s="127" t="s">
        <v>183</v>
      </c>
      <c r="W325" s="127" t="s">
        <v>783</v>
      </c>
      <c r="X325" s="127" t="s">
        <v>292</v>
      </c>
      <c r="Y325" s="127" t="s">
        <v>742</v>
      </c>
      <c r="Z325" s="127" t="s">
        <v>187</v>
      </c>
      <c r="AA325" s="127"/>
      <c r="AB325" s="127">
        <v>15</v>
      </c>
      <c r="AC325" s="210">
        <f>(0.29+49*PBL_OT_2025!$F$8/POWER(1.02,7))/39.32</f>
        <v>3.4258739716072822E-2</v>
      </c>
      <c r="AD325" s="210">
        <f t="shared" si="51"/>
        <v>1.01E-2</v>
      </c>
      <c r="AE325" s="210" t="str">
        <f t="shared" si="54"/>
        <v/>
      </c>
      <c r="AF325" s="210" t="s">
        <v>560</v>
      </c>
      <c r="AG325" s="232">
        <v>30</v>
      </c>
      <c r="AH325" s="127"/>
    </row>
    <row r="326" spans="1:34" ht="15" x14ac:dyDescent="0.25">
      <c r="A326" s="127"/>
      <c r="B326" s="210"/>
      <c r="C326" s="203"/>
      <c r="D326" s="210"/>
      <c r="E326" s="203"/>
      <c r="F326" s="203"/>
      <c r="G326" s="238"/>
      <c r="H326" s="210"/>
      <c r="I326" s="210"/>
      <c r="J326" s="210"/>
      <c r="K326" s="210"/>
      <c r="L326" s="127"/>
      <c r="M326" s="127"/>
      <c r="N326" s="201"/>
      <c r="O326" s="201"/>
      <c r="P326" s="201"/>
      <c r="Q326" s="201"/>
      <c r="R326" s="127"/>
      <c r="S326" s="127"/>
      <c r="T326" s="127"/>
      <c r="U326" s="127"/>
      <c r="V326" s="127"/>
      <c r="W326" s="127"/>
      <c r="X326" s="127"/>
      <c r="Y326" s="127"/>
      <c r="Z326" s="127"/>
      <c r="AA326" s="127"/>
      <c r="AB326" s="127"/>
      <c r="AC326" s="237"/>
      <c r="AD326" s="210"/>
      <c r="AE326" s="210"/>
      <c r="AF326" s="210"/>
      <c r="AG326" s="233"/>
      <c r="AH326" s="127"/>
    </row>
    <row r="327" spans="1:34" ht="15" x14ac:dyDescent="0.25">
      <c r="A327" s="204" t="s">
        <v>294</v>
      </c>
      <c r="B327" s="127"/>
      <c r="C327" s="203"/>
      <c r="D327" s="127"/>
      <c r="E327" s="203"/>
      <c r="F327" s="203"/>
      <c r="G327" s="238"/>
      <c r="H327" s="210"/>
      <c r="I327" s="210"/>
      <c r="J327" s="210"/>
      <c r="K327" s="210"/>
      <c r="L327" s="127"/>
      <c r="M327" s="127"/>
      <c r="N327" s="201"/>
      <c r="O327" s="201"/>
      <c r="P327" s="201"/>
      <c r="Q327" s="201"/>
      <c r="R327" s="127"/>
      <c r="S327" s="127"/>
      <c r="T327" s="127"/>
      <c r="U327" s="127"/>
      <c r="V327" s="127"/>
      <c r="W327" s="127"/>
      <c r="X327" s="127"/>
      <c r="Y327" s="127"/>
      <c r="Z327" s="127"/>
      <c r="AA327" s="127"/>
      <c r="AB327" s="127"/>
      <c r="AC327" s="237"/>
      <c r="AD327" s="210"/>
      <c r="AE327" s="210"/>
      <c r="AF327" s="210"/>
      <c r="AG327" s="233"/>
      <c r="AH327" s="127"/>
    </row>
    <row r="328" spans="1:34" ht="15" x14ac:dyDescent="0.25">
      <c r="A328" s="127" t="s">
        <v>295</v>
      </c>
      <c r="B328" s="210">
        <v>0.1648</v>
      </c>
      <c r="C328" s="203">
        <v>6.2399999999999997E-2</v>
      </c>
      <c r="D328" s="210"/>
      <c r="E328" s="203">
        <v>0.17760000000000001</v>
      </c>
      <c r="F328" s="203">
        <v>0.28299999999999997</v>
      </c>
      <c r="G328" s="238">
        <f t="shared" si="52"/>
        <v>-45.22968197879861</v>
      </c>
      <c r="H328" s="201">
        <f>0.0976+J328</f>
        <v>0.18149999999999999</v>
      </c>
      <c r="I328" s="210" t="str">
        <f>""</f>
        <v/>
      </c>
      <c r="J328" s="201">
        <v>8.3900000000000002E-2</v>
      </c>
      <c r="K328" s="201">
        <v>0</v>
      </c>
      <c r="L328" s="127">
        <v>8000</v>
      </c>
      <c r="M328" s="127">
        <v>15</v>
      </c>
      <c r="N328" s="201">
        <f>MIN($B328,(75*$F328/1000)+$E328)</f>
        <v>0.1648</v>
      </c>
      <c r="O328" s="201">
        <f>MIN($B328,(150*$F328/1000)+$E328)</f>
        <v>0.1648</v>
      </c>
      <c r="P328" s="201">
        <f>MIN($B328,(225*$F328/1000)+$E328)</f>
        <v>0.1648</v>
      </c>
      <c r="Q328" s="201">
        <f t="shared" si="62"/>
        <v>0.1648</v>
      </c>
      <c r="R328" s="127" t="s">
        <v>296</v>
      </c>
      <c r="S328" s="127" t="str">
        <f>""</f>
        <v/>
      </c>
      <c r="T328" s="127" t="s">
        <v>181</v>
      </c>
      <c r="U328" s="127" t="s">
        <v>182</v>
      </c>
      <c r="V328" s="127" t="s">
        <v>183</v>
      </c>
      <c r="W328" s="127" t="s">
        <v>184</v>
      </c>
      <c r="X328" s="127" t="s">
        <v>297</v>
      </c>
      <c r="Y328" s="127" t="s">
        <v>186</v>
      </c>
      <c r="Z328" s="127" t="s">
        <v>187</v>
      </c>
      <c r="AA328" s="127" t="str">
        <f>""</f>
        <v/>
      </c>
      <c r="AB328" s="127">
        <v>15</v>
      </c>
      <c r="AC328" s="201">
        <f>PBL_OT_2025!$F$27/POWER(1.02,7)+PBL_OT_2025!$D$45</f>
        <v>0.16543794673026241</v>
      </c>
      <c r="AD328" s="210">
        <f t="shared" si="51"/>
        <v>0</v>
      </c>
      <c r="AE328" s="210" t="b">
        <f t="shared" si="54"/>
        <v>0</v>
      </c>
      <c r="AF328" s="201" t="s">
        <v>564</v>
      </c>
      <c r="AG328" s="232">
        <v>36</v>
      </c>
      <c r="AH328" s="127"/>
    </row>
    <row r="329" spans="1:34" ht="15" x14ac:dyDescent="0.25">
      <c r="A329" s="127" t="s">
        <v>298</v>
      </c>
      <c r="B329" s="210">
        <v>0.1653</v>
      </c>
      <c r="C329" s="203">
        <v>6.2399999999999997E-2</v>
      </c>
      <c r="D329" s="210"/>
      <c r="E329" s="203">
        <v>0.17760000000000001</v>
      </c>
      <c r="F329" s="203">
        <v>0.247</v>
      </c>
      <c r="G329" s="238">
        <f t="shared" si="52"/>
        <v>-49.797570850202455</v>
      </c>
      <c r="H329" s="201">
        <f>0.0976+J329</f>
        <v>0.18149999999999999</v>
      </c>
      <c r="I329" s="210" t="str">
        <f>""</f>
        <v/>
      </c>
      <c r="J329" s="201">
        <v>8.3900000000000002E-2</v>
      </c>
      <c r="K329" s="201">
        <v>0</v>
      </c>
      <c r="L329" s="127">
        <v>8000</v>
      </c>
      <c r="M329" s="127">
        <v>15</v>
      </c>
      <c r="N329" s="201">
        <f t="shared" ref="N329:N332" si="67">MIN($B329,(75*$F329/1000)+$E329)</f>
        <v>0.1653</v>
      </c>
      <c r="O329" s="201">
        <f t="shared" ref="O329:O332" si="68">MIN($B329,(150*$F329/1000)+$E329)</f>
        <v>0.1653</v>
      </c>
      <c r="P329" s="201">
        <f t="shared" ref="P329:P332" si="69">MIN($B329,(225*$F329/1000)+$E329)</f>
        <v>0.1653</v>
      </c>
      <c r="Q329" s="201">
        <f t="shared" si="62"/>
        <v>0.1653</v>
      </c>
      <c r="R329" s="127" t="s">
        <v>299</v>
      </c>
      <c r="S329" s="127" t="str">
        <f>""</f>
        <v/>
      </c>
      <c r="T329" s="127" t="s">
        <v>181</v>
      </c>
      <c r="U329" s="127" t="s">
        <v>182</v>
      </c>
      <c r="V329" s="127" t="s">
        <v>183</v>
      </c>
      <c r="W329" s="127" t="s">
        <v>184</v>
      </c>
      <c r="X329" s="127" t="s">
        <v>300</v>
      </c>
      <c r="Y329" s="127" t="s">
        <v>186</v>
      </c>
      <c r="Z329" s="127" t="s">
        <v>187</v>
      </c>
      <c r="AA329" s="127" t="str">
        <f>""</f>
        <v/>
      </c>
      <c r="AB329" s="127">
        <v>15</v>
      </c>
      <c r="AC329" s="201">
        <f>PBL_OT_2025!$F$27/POWER(1.02,7)+PBL_OT_2025!$D$45</f>
        <v>0.16543794673026241</v>
      </c>
      <c r="AD329" s="210">
        <f t="shared" si="51"/>
        <v>0</v>
      </c>
      <c r="AE329" s="210" t="b">
        <f t="shared" si="54"/>
        <v>0</v>
      </c>
      <c r="AF329" s="201" t="s">
        <v>564</v>
      </c>
      <c r="AG329" s="232">
        <v>36</v>
      </c>
      <c r="AH329" s="127"/>
    </row>
    <row r="330" spans="1:34" ht="12.75" customHeight="1" x14ac:dyDescent="0.25">
      <c r="A330" s="128" t="s">
        <v>301</v>
      </c>
      <c r="B330" s="210">
        <v>0.11650000000000001</v>
      </c>
      <c r="C330" s="203">
        <v>2.1499999999999998E-2</v>
      </c>
      <c r="D330" s="210"/>
      <c r="E330" s="203">
        <v>0.11459999999999999</v>
      </c>
      <c r="F330" s="203">
        <v>0.38479999999999998</v>
      </c>
      <c r="G330" s="238">
        <f t="shared" si="52"/>
        <v>4.9376299376299713</v>
      </c>
      <c r="H330" s="201">
        <f>0.0453+J330</f>
        <v>0.12920000000000001</v>
      </c>
      <c r="I330" s="210" t="str">
        <f>""</f>
        <v/>
      </c>
      <c r="J330" s="201">
        <v>8.3900000000000002E-2</v>
      </c>
      <c r="K330" s="201">
        <v>0</v>
      </c>
      <c r="L330" s="127">
        <v>8000</v>
      </c>
      <c r="M330" s="127">
        <v>12</v>
      </c>
      <c r="N330" s="201">
        <f t="shared" si="67"/>
        <v>0.11650000000000001</v>
      </c>
      <c r="O330" s="201">
        <f t="shared" si="68"/>
        <v>0.11650000000000001</v>
      </c>
      <c r="P330" s="201">
        <f t="shared" si="69"/>
        <v>0.11650000000000001</v>
      </c>
      <c r="Q330" s="201">
        <f t="shared" si="62"/>
        <v>0.11650000000000001</v>
      </c>
      <c r="R330" s="127" t="s">
        <v>302</v>
      </c>
      <c r="S330" s="127" t="str">
        <f>""</f>
        <v/>
      </c>
      <c r="T330" s="127" t="s">
        <v>181</v>
      </c>
      <c r="U330" s="127" t="s">
        <v>182</v>
      </c>
      <c r="V330" s="127" t="s">
        <v>183</v>
      </c>
      <c r="W330" s="127" t="s">
        <v>184</v>
      </c>
      <c r="X330" s="127" t="s">
        <v>303</v>
      </c>
      <c r="Y330" s="127" t="s">
        <v>186</v>
      </c>
      <c r="Z330" s="127" t="s">
        <v>187</v>
      </c>
      <c r="AA330" s="127" t="str">
        <f>""</f>
        <v/>
      </c>
      <c r="AB330" s="127">
        <v>12</v>
      </c>
      <c r="AC330" s="201">
        <f>PBL_OT_2025!$F$30/POWER(1.02,7)+0.00319+PBL_OT_2025!$D$47</f>
        <v>0.11106174241030245</v>
      </c>
      <c r="AD330" s="210">
        <f t="shared" si="51"/>
        <v>0</v>
      </c>
      <c r="AE330" s="210" t="str">
        <f t="shared" si="54"/>
        <v/>
      </c>
      <c r="AF330" s="369" t="s">
        <v>565</v>
      </c>
      <c r="AG330" s="232">
        <v>40</v>
      </c>
      <c r="AH330" s="127"/>
    </row>
    <row r="331" spans="1:34" ht="15" customHeight="1" x14ac:dyDescent="0.25">
      <c r="A331" s="127" t="s">
        <v>304</v>
      </c>
      <c r="B331" s="210">
        <v>0.12470000000000001</v>
      </c>
      <c r="C331" s="203">
        <v>2.1499999999999998E-2</v>
      </c>
      <c r="D331" s="210"/>
      <c r="E331" s="203">
        <v>0.11459999999999999</v>
      </c>
      <c r="F331" s="203">
        <v>0.23830000000000001</v>
      </c>
      <c r="G331" s="238">
        <f t="shared" si="52"/>
        <v>42.383550146873738</v>
      </c>
      <c r="H331" s="201">
        <f>0.0453+J331</f>
        <v>0.12920000000000001</v>
      </c>
      <c r="I331" s="210" t="str">
        <f>""</f>
        <v/>
      </c>
      <c r="J331" s="201">
        <v>8.3900000000000002E-2</v>
      </c>
      <c r="K331" s="201">
        <v>0</v>
      </c>
      <c r="L331" s="127">
        <v>8000</v>
      </c>
      <c r="M331" s="127">
        <v>12</v>
      </c>
      <c r="N331" s="201">
        <f t="shared" si="67"/>
        <v>0.12470000000000001</v>
      </c>
      <c r="O331" s="201">
        <f t="shared" si="68"/>
        <v>0.12470000000000001</v>
      </c>
      <c r="P331" s="201">
        <f t="shared" si="69"/>
        <v>0.12470000000000001</v>
      </c>
      <c r="Q331" s="201">
        <f t="shared" si="62"/>
        <v>0.12470000000000001</v>
      </c>
      <c r="R331" s="127" t="s">
        <v>302</v>
      </c>
      <c r="S331" s="127" t="str">
        <f>""</f>
        <v/>
      </c>
      <c r="T331" s="127" t="s">
        <v>181</v>
      </c>
      <c r="U331" s="127" t="s">
        <v>182</v>
      </c>
      <c r="V331" s="127" t="s">
        <v>183</v>
      </c>
      <c r="W331" s="127" t="s">
        <v>184</v>
      </c>
      <c r="X331" s="127" t="s">
        <v>303</v>
      </c>
      <c r="Y331" s="127" t="s">
        <v>186</v>
      </c>
      <c r="Z331" s="127" t="s">
        <v>187</v>
      </c>
      <c r="AA331" s="127" t="str">
        <f>""</f>
        <v/>
      </c>
      <c r="AB331" s="127">
        <v>12</v>
      </c>
      <c r="AC331" s="201">
        <f>PBL_OT_2025!$F$30/POWER(1.02,7)+0.00319+PBL_OT_2025!$D$47</f>
        <v>0.11106174241030245</v>
      </c>
      <c r="AD331" s="210">
        <f t="shared" si="51"/>
        <v>0</v>
      </c>
      <c r="AE331" s="210" t="str">
        <f t="shared" si="54"/>
        <v/>
      </c>
      <c r="AF331" s="369" t="s">
        <v>565</v>
      </c>
      <c r="AG331" s="232">
        <v>40</v>
      </c>
      <c r="AH331" s="127"/>
    </row>
    <row r="332" spans="1:34" ht="15" x14ac:dyDescent="0.25">
      <c r="A332" s="127" t="s">
        <v>305</v>
      </c>
      <c r="B332" s="210">
        <v>0.16259999999999999</v>
      </c>
      <c r="C332" s="203">
        <v>5.9900000000000002E-2</v>
      </c>
      <c r="D332" s="210"/>
      <c r="E332" s="203">
        <v>0.17369999999999999</v>
      </c>
      <c r="F332" s="203">
        <v>0.26069999999999999</v>
      </c>
      <c r="G332" s="238">
        <f t="shared" si="52"/>
        <v>-42.577675489067886</v>
      </c>
      <c r="H332" s="201">
        <f>0.0994+J332</f>
        <v>0.18330000000000002</v>
      </c>
      <c r="I332" s="210" t="str">
        <f>""</f>
        <v/>
      </c>
      <c r="J332" s="201">
        <v>8.3900000000000002E-2</v>
      </c>
      <c r="K332" s="201">
        <v>0</v>
      </c>
      <c r="L332" s="127">
        <v>8000</v>
      </c>
      <c r="M332" s="127">
        <v>15</v>
      </c>
      <c r="N332" s="201">
        <f t="shared" si="67"/>
        <v>0.16259999999999999</v>
      </c>
      <c r="O332" s="201">
        <f t="shared" si="68"/>
        <v>0.16259999999999999</v>
      </c>
      <c r="P332" s="201">
        <f t="shared" si="69"/>
        <v>0.16259999999999999</v>
      </c>
      <c r="Q332" s="201">
        <f t="shared" si="62"/>
        <v>0.16259999999999999</v>
      </c>
      <c r="R332" s="127" t="s">
        <v>306</v>
      </c>
      <c r="S332" s="127" t="str">
        <f>""</f>
        <v/>
      </c>
      <c r="T332" s="127" t="s">
        <v>181</v>
      </c>
      <c r="U332" s="127" t="s">
        <v>182</v>
      </c>
      <c r="V332" s="127" t="s">
        <v>183</v>
      </c>
      <c r="W332" s="127" t="s">
        <v>184</v>
      </c>
      <c r="X332" s="127" t="s">
        <v>307</v>
      </c>
      <c r="Y332" s="127" t="s">
        <v>186</v>
      </c>
      <c r="Z332" s="127" t="s">
        <v>187</v>
      </c>
      <c r="AA332" s="127" t="str">
        <f>""</f>
        <v/>
      </c>
      <c r="AB332" s="127">
        <v>15</v>
      </c>
      <c r="AC332" s="201">
        <f>PBL_OT_2025!$F$32/POWER(1.02,7)+PBL_OT_2025!D48</f>
        <v>0.16211959895532177</v>
      </c>
      <c r="AD332" s="210">
        <f t="shared" si="51"/>
        <v>0</v>
      </c>
      <c r="AE332" s="210" t="str">
        <f t="shared" si="54"/>
        <v/>
      </c>
      <c r="AF332" s="201" t="s">
        <v>566</v>
      </c>
      <c r="AG332" s="232">
        <v>42</v>
      </c>
      <c r="AH332" s="127"/>
    </row>
    <row r="333" spans="1:34" x14ac:dyDescent="0.2">
      <c r="A333" s="127"/>
      <c r="B333" s="127"/>
      <c r="C333" s="127"/>
      <c r="D333" s="127"/>
      <c r="E333" s="127"/>
      <c r="F333" s="127"/>
      <c r="G333" s="127"/>
      <c r="H333" s="127"/>
      <c r="I333" s="127"/>
      <c r="J333" s="127"/>
      <c r="K333" s="127"/>
      <c r="L333" s="127"/>
      <c r="M333" s="127"/>
      <c r="N333" s="127"/>
      <c r="O333" s="127"/>
      <c r="P333" s="127"/>
      <c r="Q333" s="127"/>
      <c r="R333" s="127"/>
      <c r="S333" s="127"/>
      <c r="T333" s="127"/>
      <c r="U333" s="127"/>
      <c r="V333" s="127"/>
      <c r="W333" s="127"/>
      <c r="X333" s="127"/>
      <c r="Y333" s="127"/>
      <c r="Z333" s="127"/>
      <c r="AA333" s="127"/>
      <c r="AB333" s="127"/>
      <c r="AC333" s="127"/>
      <c r="AD333" s="127"/>
      <c r="AE333" s="127"/>
      <c r="AF333" s="127"/>
      <c r="AG333" s="127"/>
      <c r="AH333" s="127"/>
    </row>
  </sheetData>
  <mergeCells count="8">
    <mergeCell ref="Y84:Y85"/>
    <mergeCell ref="Z84:Z85"/>
    <mergeCell ref="X84:X85"/>
    <mergeCell ref="C84:D84"/>
    <mergeCell ref="H84:K84"/>
    <mergeCell ref="N84:Q84"/>
    <mergeCell ref="R84:V84"/>
    <mergeCell ref="W84:W85"/>
  </mergeCells>
  <phoneticPr fontId="44" type="noConversion"/>
  <pageMargins left="0.7" right="0.7" top="0.75" bottom="0.75" header="0.3" footer="0.3"/>
  <pageSetup paperSize="9" orientation="portrait" r:id="rId1"/>
  <ignoredErrors>
    <ignoredError sqref="AA89 AA111" 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86C0-CE30-4ADD-A9E1-E3545D2E8A26}">
  <dimension ref="A1:Q133"/>
  <sheetViews>
    <sheetView topLeftCell="A91" zoomScale="75" zoomScaleNormal="75" workbookViewId="0">
      <selection activeCell="H1" sqref="H1:I1"/>
    </sheetView>
  </sheetViews>
  <sheetFormatPr defaultColWidth="9.42578125" defaultRowHeight="14.25" x14ac:dyDescent="0.2"/>
  <cols>
    <col min="1" max="1" width="36.42578125" style="248" customWidth="1"/>
    <col min="2" max="2" width="79.42578125" style="249" customWidth="1"/>
    <col min="3" max="3" width="22.5703125" style="249" customWidth="1"/>
    <col min="4" max="4" width="19.5703125" style="248" bestFit="1" customWidth="1"/>
    <col min="5" max="5" width="91.5703125" style="249" bestFit="1" customWidth="1"/>
    <col min="6" max="6" width="33.42578125" style="248" customWidth="1"/>
    <col min="7" max="7" width="99.5703125" style="249" bestFit="1" customWidth="1"/>
    <col min="8" max="8" width="19.5703125" style="248" bestFit="1" customWidth="1"/>
    <col min="9" max="9" width="97.5703125" style="249" customWidth="1"/>
    <col min="10" max="16384" width="9.42578125" style="249"/>
  </cols>
  <sheetData>
    <row r="1" spans="1:11" s="240" customFormat="1" ht="18.75" customHeight="1" x14ac:dyDescent="0.25">
      <c r="A1" s="273" t="s">
        <v>872</v>
      </c>
      <c r="B1" s="274"/>
      <c r="C1" s="275"/>
      <c r="D1" s="569" t="s">
        <v>762</v>
      </c>
      <c r="E1" s="570"/>
      <c r="F1" s="569" t="s">
        <v>1057</v>
      </c>
      <c r="G1" s="570"/>
      <c r="H1" s="567" t="s">
        <v>1058</v>
      </c>
      <c r="I1" s="568"/>
    </row>
    <row r="2" spans="1:11" s="241" customFormat="1" ht="18.75" customHeight="1" x14ac:dyDescent="0.2">
      <c r="A2" s="276" t="s">
        <v>431</v>
      </c>
      <c r="B2" s="277" t="s">
        <v>432</v>
      </c>
      <c r="C2" s="278" t="s">
        <v>433</v>
      </c>
      <c r="D2" s="279" t="s">
        <v>434</v>
      </c>
      <c r="E2" s="280" t="s">
        <v>435</v>
      </c>
      <c r="F2" s="279" t="s">
        <v>434</v>
      </c>
      <c r="G2" s="280" t="s">
        <v>435</v>
      </c>
      <c r="H2" s="279" t="s">
        <v>434</v>
      </c>
      <c r="I2" s="281" t="s">
        <v>435</v>
      </c>
    </row>
    <row r="3" spans="1:11" s="242" customFormat="1" ht="18.75" customHeight="1" x14ac:dyDescent="0.2">
      <c r="A3" s="282" t="s">
        <v>873</v>
      </c>
      <c r="B3" s="283" t="s">
        <v>874</v>
      </c>
      <c r="C3" s="284" t="s">
        <v>230</v>
      </c>
      <c r="D3" s="285">
        <f>D86</f>
        <v>8.0220529809000005E-2</v>
      </c>
      <c r="E3" s="286" t="s">
        <v>875</v>
      </c>
      <c r="F3" s="287">
        <f>$H$86</f>
        <v>6.9937103524956398E-2</v>
      </c>
      <c r="G3" s="286" t="s">
        <v>437</v>
      </c>
      <c r="H3" s="287">
        <f>2/3*$H$86</f>
        <v>4.6624735683304261E-2</v>
      </c>
      <c r="I3" s="288" t="s">
        <v>436</v>
      </c>
    </row>
    <row r="4" spans="1:11" s="242" customFormat="1" ht="18.75" customHeight="1" x14ac:dyDescent="0.2">
      <c r="A4" s="282" t="s">
        <v>876</v>
      </c>
      <c r="B4" s="283" t="s">
        <v>438</v>
      </c>
      <c r="C4" s="284" t="s">
        <v>230</v>
      </c>
      <c r="D4" s="285">
        <f>D86*D87+0.004</f>
        <v>6.9379731794335001E-2</v>
      </c>
      <c r="E4" s="286" t="s">
        <v>877</v>
      </c>
      <c r="F4" s="287">
        <f>$H$86*$H$87</f>
        <v>5.1473708194367911E-2</v>
      </c>
      <c r="G4" s="286" t="s">
        <v>440</v>
      </c>
      <c r="H4" s="287">
        <f>2/3*$H$86*$H$87</f>
        <v>3.4315805462911936E-2</v>
      </c>
      <c r="I4" s="288" t="s">
        <v>439</v>
      </c>
    </row>
    <row r="5" spans="1:11" s="242" customFormat="1" ht="18.75" customHeight="1" x14ac:dyDescent="0.2">
      <c r="A5" s="282" t="s">
        <v>878</v>
      </c>
      <c r="B5" s="283" t="s">
        <v>442</v>
      </c>
      <c r="C5" s="284" t="s">
        <v>230</v>
      </c>
      <c r="D5" s="285">
        <f>D86*D88+0.0181</f>
        <v>7.1446652322985013E-2</v>
      </c>
      <c r="E5" s="286" t="s">
        <v>879</v>
      </c>
      <c r="F5" s="287">
        <f>$H$86*$H$88</f>
        <v>5.8887041168013285E-2</v>
      </c>
      <c r="G5" s="286" t="s">
        <v>444</v>
      </c>
      <c r="H5" s="287">
        <f>2/3*$H$86*$H$88</f>
        <v>3.9258027445342188E-2</v>
      </c>
      <c r="I5" s="288" t="s">
        <v>443</v>
      </c>
      <c r="K5" s="243"/>
    </row>
    <row r="6" spans="1:11" s="242" customFormat="1" ht="18.75" customHeight="1" x14ac:dyDescent="0.2">
      <c r="A6" s="282" t="s">
        <v>880</v>
      </c>
      <c r="B6" s="283" t="s">
        <v>445</v>
      </c>
      <c r="C6" s="284" t="s">
        <v>230</v>
      </c>
      <c r="D6" s="285">
        <f>D86*D88+D97+D95+0.0181</f>
        <v>0.12837665232298501</v>
      </c>
      <c r="E6" s="286" t="s">
        <v>881</v>
      </c>
      <c r="F6" s="287">
        <f>$H$86*$H$88+$D$97+$H$95</f>
        <v>0.11581704116801329</v>
      </c>
      <c r="G6" s="286" t="s">
        <v>584</v>
      </c>
      <c r="H6" s="287">
        <f>2/3*$H$86*$H$88+$D$97+$H$95</f>
        <v>9.6188027445342189E-2</v>
      </c>
      <c r="I6" s="288" t="s">
        <v>585</v>
      </c>
    </row>
    <row r="7" spans="1:11" s="242" customFormat="1" ht="18.75" customHeight="1" x14ac:dyDescent="0.2">
      <c r="A7" s="282" t="s">
        <v>882</v>
      </c>
      <c r="B7" s="283" t="s">
        <v>446</v>
      </c>
      <c r="C7" s="284" t="s">
        <v>230</v>
      </c>
      <c r="D7" s="285">
        <f>D86*D88+D97+0.0181</f>
        <v>0.11087665232298502</v>
      </c>
      <c r="E7" s="286" t="s">
        <v>883</v>
      </c>
      <c r="F7" s="287">
        <f>$H$86*$H$88+$D$97</f>
        <v>9.8317041168013292E-2</v>
      </c>
      <c r="G7" s="286" t="s">
        <v>586</v>
      </c>
      <c r="H7" s="287">
        <f>2/3*$H$86*$H$88+$D$97</f>
        <v>7.8688027445342187E-2</v>
      </c>
      <c r="I7" s="288" t="s">
        <v>587</v>
      </c>
    </row>
    <row r="8" spans="1:11" s="242" customFormat="1" ht="18.75" customHeight="1" x14ac:dyDescent="0.2">
      <c r="A8" s="282">
        <v>13</v>
      </c>
      <c r="B8" s="283" t="s">
        <v>447</v>
      </c>
      <c r="C8" s="284" t="s">
        <v>141</v>
      </c>
      <c r="D8" s="285">
        <f>D89</f>
        <v>3.7857261718749993E-2</v>
      </c>
      <c r="E8" s="286" t="s">
        <v>448</v>
      </c>
      <c r="F8" s="287">
        <f>$H$89</f>
        <v>2.478004842200969E-2</v>
      </c>
      <c r="G8" s="286" t="s">
        <v>450</v>
      </c>
      <c r="H8" s="287">
        <f>2/3*$H$89</f>
        <v>1.6520032281339792E-2</v>
      </c>
      <c r="I8" s="288" t="s">
        <v>449</v>
      </c>
    </row>
    <row r="9" spans="1:11" s="242" customFormat="1" ht="18.75" customHeight="1" x14ac:dyDescent="0.2">
      <c r="A9" s="282">
        <v>14</v>
      </c>
      <c r="B9" s="283" t="s">
        <v>451</v>
      </c>
      <c r="C9" s="284" t="s">
        <v>191</v>
      </c>
      <c r="D9" s="285">
        <f>(D90+D98)/90%</f>
        <v>0.12042393872734553</v>
      </c>
      <c r="E9" s="289" t="s">
        <v>588</v>
      </c>
      <c r="F9" s="285">
        <f>($H$90+$D$98)/90%</f>
        <v>0.10427770064953769</v>
      </c>
      <c r="G9" s="289" t="s">
        <v>589</v>
      </c>
      <c r="H9" s="285">
        <f>(2/3*$H$90+$D$98)/90%</f>
        <v>9.407918326609517E-2</v>
      </c>
      <c r="I9" s="290" t="s">
        <v>590</v>
      </c>
    </row>
    <row r="10" spans="1:11" s="242" customFormat="1" ht="18.75" customHeight="1" x14ac:dyDescent="0.2">
      <c r="A10" s="282">
        <v>15</v>
      </c>
      <c r="B10" s="283" t="s">
        <v>452</v>
      </c>
      <c r="C10" s="284" t="s">
        <v>191</v>
      </c>
      <c r="D10" s="285">
        <f>(D90+D99)/90%</f>
        <v>7.5023622771579312E-2</v>
      </c>
      <c r="E10" s="289" t="s">
        <v>591</v>
      </c>
      <c r="F10" s="285">
        <f>($H$90+$D$99)/90%</f>
        <v>5.8877384693771462E-2</v>
      </c>
      <c r="G10" s="289" t="s">
        <v>592</v>
      </c>
      <c r="H10" s="285">
        <f>(2/3*$H$90+$D$99)/90%</f>
        <v>4.867886731032893E-2</v>
      </c>
      <c r="I10" s="290" t="s">
        <v>593</v>
      </c>
    </row>
    <row r="11" spans="1:11" s="242" customFormat="1" ht="18.75" customHeight="1" x14ac:dyDescent="0.2">
      <c r="A11" s="282">
        <v>16</v>
      </c>
      <c r="B11" s="283" t="s">
        <v>453</v>
      </c>
      <c r="C11" s="284" t="s">
        <v>191</v>
      </c>
      <c r="D11" s="285">
        <f>(D90+D100)/90%</f>
        <v>6.2988235725765757E-2</v>
      </c>
      <c r="E11" s="289" t="s">
        <v>594</v>
      </c>
      <c r="F11" s="285">
        <f>($H$90+$D$100)/90%</f>
        <v>4.6841997647957906E-2</v>
      </c>
      <c r="G11" s="289" t="s">
        <v>595</v>
      </c>
      <c r="H11" s="285">
        <f>(2/3*$H$90+$D$100)/90%</f>
        <v>3.6643480264515381E-2</v>
      </c>
      <c r="I11" s="290" t="s">
        <v>596</v>
      </c>
    </row>
    <row r="12" spans="1:11" s="242" customFormat="1" ht="18.75" customHeight="1" x14ac:dyDescent="0.2">
      <c r="A12" s="282">
        <v>17</v>
      </c>
      <c r="B12" s="283" t="s">
        <v>454</v>
      </c>
      <c r="C12" s="284" t="s">
        <v>191</v>
      </c>
      <c r="D12" s="285">
        <f>70%*D90</f>
        <v>2.9447327843725311E-2</v>
      </c>
      <c r="E12" s="289" t="s">
        <v>455</v>
      </c>
      <c r="F12" s="285">
        <f>70%*$H$90</f>
        <v>1.9275197854706373E-2</v>
      </c>
      <c r="G12" s="286" t="s">
        <v>457</v>
      </c>
      <c r="H12" s="285">
        <f>70%*2/3*$H$90</f>
        <v>1.2850131903137579E-2</v>
      </c>
      <c r="I12" s="288" t="s">
        <v>456</v>
      </c>
    </row>
    <row r="13" spans="1:11" s="242" customFormat="1" ht="18.75" customHeight="1" x14ac:dyDescent="0.2">
      <c r="A13" s="282">
        <v>18</v>
      </c>
      <c r="B13" s="291" t="s">
        <v>458</v>
      </c>
      <c r="C13" s="284" t="s">
        <v>191</v>
      </c>
      <c r="D13" s="285">
        <f>90%*D90</f>
        <v>3.7860850084789691E-2</v>
      </c>
      <c r="E13" s="286" t="s">
        <v>459</v>
      </c>
      <c r="F13" s="287">
        <f>90%*$H$90</f>
        <v>2.4782397241765335E-2</v>
      </c>
      <c r="G13" s="286" t="s">
        <v>461</v>
      </c>
      <c r="H13" s="287">
        <f>90%*2/3*$H$90</f>
        <v>1.652159816117689E-2</v>
      </c>
      <c r="I13" s="288" t="s">
        <v>460</v>
      </c>
    </row>
    <row r="14" spans="1:11" s="242" customFormat="1" ht="18.75" customHeight="1" x14ac:dyDescent="0.2">
      <c r="A14" s="282" t="s">
        <v>884</v>
      </c>
      <c r="B14" s="291" t="s">
        <v>885</v>
      </c>
      <c r="C14" s="284" t="s">
        <v>191</v>
      </c>
      <c r="D14" s="285">
        <f>90%*D90</f>
        <v>3.7860850084789691E-2</v>
      </c>
      <c r="E14" s="286" t="s">
        <v>459</v>
      </c>
      <c r="F14" s="285">
        <f>90%*$H$92</f>
        <v>2.6513497877263197E-2</v>
      </c>
      <c r="G14" s="286" t="s">
        <v>886</v>
      </c>
      <c r="H14" s="285">
        <f>90%*2/3*$H$92</f>
        <v>1.7675665251508797E-2</v>
      </c>
      <c r="I14" s="288" t="s">
        <v>887</v>
      </c>
    </row>
    <row r="15" spans="1:11" s="242" customFormat="1" ht="18.75" customHeight="1" x14ac:dyDescent="0.2">
      <c r="A15" s="282">
        <v>20</v>
      </c>
      <c r="B15" s="283" t="s">
        <v>462</v>
      </c>
      <c r="C15" s="284" t="s">
        <v>191</v>
      </c>
      <c r="D15" s="285">
        <f>D90+D100</f>
        <v>5.6689412153189178E-2</v>
      </c>
      <c r="E15" s="289" t="s">
        <v>597</v>
      </c>
      <c r="F15" s="285">
        <f>$H$90+$D$100</f>
        <v>4.2157797883162117E-2</v>
      </c>
      <c r="G15" s="289" t="s">
        <v>598</v>
      </c>
      <c r="H15" s="285">
        <f>2/3*$H$90+$D$100</f>
        <v>3.2979132238063841E-2</v>
      </c>
      <c r="I15" s="290" t="s">
        <v>599</v>
      </c>
    </row>
    <row r="16" spans="1:11" s="242" customFormat="1" ht="18.75" customHeight="1" x14ac:dyDescent="0.2">
      <c r="A16" s="282" t="s">
        <v>888</v>
      </c>
      <c r="B16" s="283" t="s">
        <v>889</v>
      </c>
      <c r="C16" s="284" t="s">
        <v>463</v>
      </c>
      <c r="D16" s="285">
        <f>(D86+0.62*(D90+D98)/90%)/(1+0.62)</f>
        <v>9.5607019641947052E-2</v>
      </c>
      <c r="E16" s="289" t="s">
        <v>890</v>
      </c>
      <c r="F16" s="285">
        <f>(H86+0.62*(H90+H98)/90%)/(1+0.62)</f>
        <v>8.3079801189919616E-2</v>
      </c>
      <c r="G16" s="286" t="s">
        <v>600</v>
      </c>
      <c r="H16" s="285">
        <f>(2/3*H86+0.62*(2/3*H90+H98)/90%)/(1+0.62)</f>
        <v>6.4786314387829169E-2</v>
      </c>
      <c r="I16" s="288" t="s">
        <v>601</v>
      </c>
    </row>
    <row r="17" spans="1:9" s="242" customFormat="1" ht="18.75" customHeight="1" x14ac:dyDescent="0.2">
      <c r="A17" s="282" t="s">
        <v>891</v>
      </c>
      <c r="B17" s="283" t="s">
        <v>889</v>
      </c>
      <c r="C17" s="284" t="s">
        <v>463</v>
      </c>
      <c r="D17" s="285">
        <f>(D86+0.76*(D90+D98)/90%)/(1+0.76)</f>
        <v>9.7581092751012843E-2</v>
      </c>
      <c r="E17" s="289" t="s">
        <v>890</v>
      </c>
      <c r="F17" s="285">
        <f>(H86+0.76*(H90+H98)/90%)/(1+0.76)</f>
        <v>8.4765997737843768E-2</v>
      </c>
      <c r="G17" s="286" t="s">
        <v>600</v>
      </c>
      <c r="H17" s="285">
        <f>(2/3*H86+0.76*(2/3*H90+H98)/90%)/(1+0.76)</f>
        <v>6.7116428957691252E-2</v>
      </c>
      <c r="I17" s="288" t="s">
        <v>601</v>
      </c>
    </row>
    <row r="18" spans="1:9" s="242" customFormat="1" ht="18.75" customHeight="1" x14ac:dyDescent="0.2">
      <c r="A18" s="282" t="s">
        <v>892</v>
      </c>
      <c r="B18" s="283" t="s">
        <v>893</v>
      </c>
      <c r="C18" s="284" t="s">
        <v>463</v>
      </c>
      <c r="D18" s="285">
        <f>(D86+0.62*(D90+D99)/90%)/(1+0.62)</f>
        <v>7.8231590078629121E-2</v>
      </c>
      <c r="E18" s="289" t="s">
        <v>894</v>
      </c>
      <c r="F18" s="285">
        <f>(H86+0.62*(H90+H99)/90%)/(1+0.62)</f>
        <v>6.5704371626601657E-2</v>
      </c>
      <c r="G18" s="286" t="s">
        <v>602</v>
      </c>
      <c r="H18" s="285">
        <f>(2/3*H86+0.62*(2/3*H90+H99)/90%)/(1+0.62)</f>
        <v>4.741088482451123E-2</v>
      </c>
      <c r="I18" s="288" t="s">
        <v>601</v>
      </c>
    </row>
    <row r="19" spans="1:9" s="242" customFormat="1" ht="18.75" customHeight="1" x14ac:dyDescent="0.2">
      <c r="A19" s="282" t="s">
        <v>895</v>
      </c>
      <c r="B19" s="283" t="s">
        <v>896</v>
      </c>
      <c r="C19" s="284" t="s">
        <v>463</v>
      </c>
      <c r="D19" s="285">
        <f>(D$86+0.29*(D$90+D$100)/90%)/(1+0.29)</f>
        <v>7.6346603232148896E-2</v>
      </c>
      <c r="E19" s="286" t="s">
        <v>897</v>
      </c>
      <c r="F19" s="285">
        <f>(H$86+0.29*(H$90+H$100)/90%)/(1+0.29)</f>
        <v>6.4745180498344337E-2</v>
      </c>
      <c r="G19" s="286" t="s">
        <v>602</v>
      </c>
      <c r="H19" s="285">
        <f>(2/3*H$86+0.29*(2/3*H$90+H$100)/90%)/(1+0.29)</f>
        <v>4.4380887565902104E-2</v>
      </c>
      <c r="I19" s="288" t="s">
        <v>601</v>
      </c>
    </row>
    <row r="20" spans="1:9" s="242" customFormat="1" ht="18.75" customHeight="1" x14ac:dyDescent="0.2">
      <c r="A20" s="282" t="s">
        <v>898</v>
      </c>
      <c r="B20" s="283" t="s">
        <v>896</v>
      </c>
      <c r="C20" s="284" t="s">
        <v>463</v>
      </c>
      <c r="D20" s="285">
        <f>(D$86+0.62*(D$90+D$100)/90%)/(1+0.62)</f>
        <v>7.3625454295663431E-2</v>
      </c>
      <c r="E20" s="286" t="s">
        <v>897</v>
      </c>
      <c r="F20" s="285">
        <f>(H$86+0.62*(H$90+H$100)/90%)/(1+0.62)</f>
        <v>6.1098235843635981E-2</v>
      </c>
      <c r="G20" s="286" t="s">
        <v>602</v>
      </c>
      <c r="H20" s="285">
        <f>(2/3*H$86+0.62*(2/3*H$90+H$100)/90%)/(1+0.62)</f>
        <v>4.2804749041545548E-2</v>
      </c>
      <c r="I20" s="288" t="s">
        <v>601</v>
      </c>
    </row>
    <row r="21" spans="1:9" s="242" customFormat="1" ht="18.75" customHeight="1" x14ac:dyDescent="0.2">
      <c r="A21" s="282" t="s">
        <v>899</v>
      </c>
      <c r="B21" s="283" t="s">
        <v>896</v>
      </c>
      <c r="C21" s="284" t="s">
        <v>463</v>
      </c>
      <c r="D21" s="285">
        <f>(D$86+0.64*(D$90+D$100)/90%)/(1+0.64)</f>
        <v>7.3495732117981757E-2</v>
      </c>
      <c r="E21" s="286" t="s">
        <v>897</v>
      </c>
      <c r="F21" s="285">
        <f>(H$86+0.64*(H$90+H$100)/90%)/(1+0.64)</f>
        <v>6.0924379280274062E-2</v>
      </c>
      <c r="G21" s="286" t="s">
        <v>602</v>
      </c>
      <c r="H21" s="285">
        <f>(2/3*H$86+0.64*(2/3*H$90+H$100)/90%)/(1+0.64)</f>
        <v>4.2729611617435423E-2</v>
      </c>
      <c r="I21" s="288" t="s">
        <v>601</v>
      </c>
    </row>
    <row r="22" spans="1:9" s="242" customFormat="1" ht="18.75" customHeight="1" x14ac:dyDescent="0.2">
      <c r="A22" s="282" t="s">
        <v>900</v>
      </c>
      <c r="B22" s="283" t="s">
        <v>896</v>
      </c>
      <c r="C22" s="284" t="s">
        <v>463</v>
      </c>
      <c r="D22" s="285">
        <f>(D$86+1.13*(D$90+D$100)/90%)/(1+1.13)</f>
        <v>7.1078514638082305E-2</v>
      </c>
      <c r="E22" s="286" t="s">
        <v>897</v>
      </c>
      <c r="F22" s="285">
        <f>(H$86+1.13*(H$90+H$100)/90%)/(1+1.13)</f>
        <v>5.768477036016377E-2</v>
      </c>
      <c r="G22" s="286" t="s">
        <v>602</v>
      </c>
      <c r="H22" s="285">
        <f>(2/3*H$86+1.13*(2/3*H$90+H$100)/90%)/(1+1.13)</f>
        <v>4.1329515672397489E-2</v>
      </c>
      <c r="I22" s="288" t="s">
        <v>601</v>
      </c>
    </row>
    <row r="23" spans="1:9" s="242" customFormat="1" ht="18.600000000000001" customHeight="1" x14ac:dyDescent="0.2">
      <c r="A23" s="282">
        <v>30</v>
      </c>
      <c r="B23" s="283" t="s">
        <v>292</v>
      </c>
      <c r="C23" s="284" t="s">
        <v>292</v>
      </c>
      <c r="D23" s="285">
        <f>(0.29+49*D89)/39.32</f>
        <v>5.4552538764464635E-2</v>
      </c>
      <c r="E23" s="286" t="s">
        <v>464</v>
      </c>
      <c r="F23" s="287">
        <f>(0.29+49*$H$89)/39.32</f>
        <v>3.8255909783277593E-2</v>
      </c>
      <c r="G23" s="286" t="s">
        <v>466</v>
      </c>
      <c r="H23" s="287">
        <f>(0.29+2/3*49*$H$89)/39.32</f>
        <v>2.796240035060147E-2</v>
      </c>
      <c r="I23" s="288" t="s">
        <v>465</v>
      </c>
    </row>
    <row r="24" spans="1:9" s="242" customFormat="1" ht="18.75" customHeight="1" x14ac:dyDescent="0.2">
      <c r="A24" s="282">
        <v>31</v>
      </c>
      <c r="B24" s="283" t="s">
        <v>467</v>
      </c>
      <c r="C24" s="284" t="s">
        <v>467</v>
      </c>
      <c r="D24" s="285">
        <f>D94</f>
        <v>68.852599999999995</v>
      </c>
      <c r="E24" s="286" t="s">
        <v>468</v>
      </c>
      <c r="F24" s="287">
        <f>$H$94</f>
        <v>125.9254062019143</v>
      </c>
      <c r="G24" s="286" t="s">
        <v>470</v>
      </c>
      <c r="H24" s="287">
        <f>2/3*$H$94</f>
        <v>83.95027080127619</v>
      </c>
      <c r="I24" s="288" t="s">
        <v>469</v>
      </c>
    </row>
    <row r="25" spans="1:9" s="242" customFormat="1" ht="18.75" customHeight="1" x14ac:dyDescent="0.2">
      <c r="A25" s="282">
        <v>32</v>
      </c>
      <c r="B25" s="283" t="s">
        <v>603</v>
      </c>
      <c r="C25" s="284" t="s">
        <v>467</v>
      </c>
      <c r="D25" s="285">
        <f>D94*D93</f>
        <v>24.786935999999997</v>
      </c>
      <c r="E25" s="286" t="s">
        <v>604</v>
      </c>
      <c r="F25" s="287">
        <f>F53*H93</f>
        <v>45.333146232689145</v>
      </c>
      <c r="G25" s="286" t="s">
        <v>605</v>
      </c>
      <c r="H25" s="287">
        <f>2/3*F53*H93</f>
        <v>30.222097488459426</v>
      </c>
      <c r="I25" s="286" t="s">
        <v>606</v>
      </c>
    </row>
    <row r="26" spans="1:9" s="242" customFormat="1" ht="18.75" customHeight="1" x14ac:dyDescent="0.2">
      <c r="A26" s="282">
        <v>35</v>
      </c>
      <c r="B26" s="283" t="s">
        <v>471</v>
      </c>
      <c r="C26" s="284" t="s">
        <v>472</v>
      </c>
      <c r="D26" s="285">
        <f>D90/D103*1000 - 2/3 * 1000*D85/D104</f>
        <v>107.52074672956867</v>
      </c>
      <c r="E26" s="292" t="s">
        <v>901</v>
      </c>
      <c r="F26" s="287">
        <f>H90/D103*1000 - 2/3 * 1000*H86/D104</f>
        <v>46.204530349307134</v>
      </c>
      <c r="G26" s="292" t="s">
        <v>474</v>
      </c>
      <c r="H26" s="287">
        <f>(2/3 * H90)/D103*1000 - 2/3 * 1000*(2/3 * H86)/D104</f>
        <v>30.803020232871411</v>
      </c>
      <c r="I26" s="293" t="s">
        <v>473</v>
      </c>
    </row>
    <row r="27" spans="1:9" s="242" customFormat="1" ht="18.75" customHeight="1" x14ac:dyDescent="0.2">
      <c r="A27" s="282">
        <v>36</v>
      </c>
      <c r="B27" s="283" t="s">
        <v>475</v>
      </c>
      <c r="C27" s="284" t="s">
        <v>476</v>
      </c>
      <c r="D27" s="285">
        <f>D101</f>
        <v>9.7600000000000006E-2</v>
      </c>
      <c r="E27" s="292" t="s">
        <v>477</v>
      </c>
      <c r="F27" s="285">
        <f>H101</f>
        <v>9.3661470778602887E-2</v>
      </c>
      <c r="G27" s="292" t="s">
        <v>479</v>
      </c>
      <c r="H27" s="287">
        <f>2/3 * H101</f>
        <v>6.2440980519068587E-2</v>
      </c>
      <c r="I27" s="293" t="s">
        <v>478</v>
      </c>
    </row>
    <row r="28" spans="1:9" s="242" customFormat="1" ht="18.75" customHeight="1" x14ac:dyDescent="0.2">
      <c r="A28" s="282">
        <v>37</v>
      </c>
      <c r="B28" s="283" t="s">
        <v>481</v>
      </c>
      <c r="C28" s="284" t="s">
        <v>476</v>
      </c>
      <c r="D28" s="285">
        <f>0.57*D101+0.43*D102</f>
        <v>9.8718E-2</v>
      </c>
      <c r="E28" s="292" t="s">
        <v>482</v>
      </c>
      <c r="F28" s="285">
        <f>0.57*H101+0.43*H102</f>
        <v>9.1319974253430622E-2</v>
      </c>
      <c r="G28" s="292" t="s">
        <v>484</v>
      </c>
      <c r="H28" s="287">
        <f>2/3*(0.57*H101+0.43*H102)</f>
        <v>6.0879982835620412E-2</v>
      </c>
      <c r="I28" s="293" t="s">
        <v>483</v>
      </c>
    </row>
    <row r="29" spans="1:9" s="242" customFormat="1" ht="18.75" customHeight="1" x14ac:dyDescent="0.2">
      <c r="A29" s="282">
        <v>38</v>
      </c>
      <c r="B29" s="283" t="s">
        <v>485</v>
      </c>
      <c r="C29" s="284" t="s">
        <v>230</v>
      </c>
      <c r="D29" s="287">
        <f>3.48*D90</f>
        <v>0.14639528699452012</v>
      </c>
      <c r="E29" s="292" t="s">
        <v>486</v>
      </c>
      <c r="F29" s="287">
        <f>3.48*H90</f>
        <v>9.5825269334825963E-2</v>
      </c>
      <c r="G29" s="292" t="s">
        <v>488</v>
      </c>
      <c r="H29" s="287">
        <f>3.48*2/3*H90</f>
        <v>6.3883512889883975E-2</v>
      </c>
      <c r="I29" s="293" t="s">
        <v>487</v>
      </c>
    </row>
    <row r="30" spans="1:9" s="242" customFormat="1" ht="18.75" customHeight="1" x14ac:dyDescent="0.2">
      <c r="A30" s="282">
        <v>39</v>
      </c>
      <c r="B30" s="283" t="s">
        <v>489</v>
      </c>
      <c r="C30" s="284" t="s">
        <v>141</v>
      </c>
      <c r="D30" s="287">
        <f>D90</f>
        <v>4.2067611205321875E-2</v>
      </c>
      <c r="E30" s="292" t="s">
        <v>490</v>
      </c>
      <c r="F30" s="287">
        <f>H90</f>
        <v>2.7535996935294817E-2</v>
      </c>
      <c r="G30" s="292" t="s">
        <v>492</v>
      </c>
      <c r="H30" s="287">
        <f>2/3*H90</f>
        <v>1.8357331290196545E-2</v>
      </c>
      <c r="I30" s="293" t="s">
        <v>491</v>
      </c>
    </row>
    <row r="31" spans="1:9" s="242" customFormat="1" ht="18.75" customHeight="1" x14ac:dyDescent="0.2">
      <c r="A31" s="282">
        <v>40</v>
      </c>
      <c r="B31" s="283" t="s">
        <v>493</v>
      </c>
      <c r="C31" s="284" t="s">
        <v>476</v>
      </c>
      <c r="D31" s="285">
        <f>D90+0.00319</f>
        <v>4.5257611205321874E-2</v>
      </c>
      <c r="E31" s="286" t="s">
        <v>494</v>
      </c>
      <c r="F31" s="287">
        <f>H90+0.00319</f>
        <v>3.0725996935294819E-2</v>
      </c>
      <c r="G31" s="286" t="s">
        <v>496</v>
      </c>
      <c r="H31" s="287">
        <f>2/3*H90+0.00319</f>
        <v>2.1547331290196543E-2</v>
      </c>
      <c r="I31" s="288" t="s">
        <v>495</v>
      </c>
    </row>
    <row r="32" spans="1:9" s="242" customFormat="1" ht="18.75" customHeight="1" x14ac:dyDescent="0.2">
      <c r="A32" s="282">
        <v>42</v>
      </c>
      <c r="B32" s="283" t="s">
        <v>497</v>
      </c>
      <c r="C32" s="284" t="s">
        <v>476</v>
      </c>
      <c r="D32" s="285">
        <f>0.3*D101+0.7*D102</f>
        <v>9.9419999999999994E-2</v>
      </c>
      <c r="E32" s="286" t="s">
        <v>498</v>
      </c>
      <c r="F32" s="285">
        <f>0.3*H101+0.7*H102</f>
        <v>8.984973224925269E-2</v>
      </c>
      <c r="G32" s="286" t="s">
        <v>500</v>
      </c>
      <c r="H32" s="285">
        <f>2/3*(0.3*H101+0.7*H102)</f>
        <v>5.9899821499501793E-2</v>
      </c>
      <c r="I32" s="288" t="s">
        <v>499</v>
      </c>
    </row>
    <row r="33" spans="1:9" s="242" customFormat="1" ht="18.75" customHeight="1" x14ac:dyDescent="0.2">
      <c r="A33" s="282">
        <v>43</v>
      </c>
      <c r="B33" s="291" t="s">
        <v>607</v>
      </c>
      <c r="C33" s="294" t="s">
        <v>467</v>
      </c>
      <c r="D33" s="285">
        <v>0</v>
      </c>
      <c r="E33" s="295" t="s">
        <v>608</v>
      </c>
      <c r="F33" s="285">
        <v>0</v>
      </c>
      <c r="G33" s="295" t="s">
        <v>608</v>
      </c>
      <c r="H33" s="287">
        <v>0</v>
      </c>
      <c r="I33" s="296" t="s">
        <v>608</v>
      </c>
    </row>
    <row r="34" spans="1:9" s="242" customFormat="1" ht="18.75" customHeight="1" x14ac:dyDescent="0.2">
      <c r="A34" s="282">
        <v>44</v>
      </c>
      <c r="B34" s="291" t="s">
        <v>609</v>
      </c>
      <c r="C34" s="284" t="s">
        <v>472</v>
      </c>
      <c r="D34" s="285">
        <f>D90/D103*1000 - 2/3 * 1000*D85/D104 + D108</f>
        <v>122.52074672956867</v>
      </c>
      <c r="E34" s="292" t="s">
        <v>902</v>
      </c>
      <c r="F34" s="287">
        <f>H90/D103*1000 - 2/3 * 1000*H86/D104 + D108</f>
        <v>61.204530349307134</v>
      </c>
      <c r="G34" s="292" t="s">
        <v>503</v>
      </c>
      <c r="H34" s="287">
        <f>(2/3 * H90)/D103*1000 - 2/3 * 1000*(2/3 * H86)/D104 + D108</f>
        <v>45.803020232871411</v>
      </c>
      <c r="I34" s="293" t="s">
        <v>502</v>
      </c>
    </row>
    <row r="35" spans="1:9" s="242" customFormat="1" ht="18.75" customHeight="1" thickBot="1" x14ac:dyDescent="0.25">
      <c r="A35" s="297">
        <v>45</v>
      </c>
      <c r="B35" s="298" t="s">
        <v>610</v>
      </c>
      <c r="C35" s="299" t="s">
        <v>472</v>
      </c>
      <c r="D35" s="300">
        <f>D90/D103*1000 - 0.9 * 1000*D85/D104 + D109</f>
        <v>89.473058266154013</v>
      </c>
      <c r="E35" s="301" t="s">
        <v>903</v>
      </c>
      <c r="F35" s="302">
        <f>H90/D103*1000 - 0.9 * 1000*H86/D104 + H109</f>
        <v>33.07517191048089</v>
      </c>
      <c r="G35" s="301" t="s">
        <v>505</v>
      </c>
      <c r="H35" s="302">
        <f>(2/3 * H90)/D103*1000 - 0.9 * 1000*(2/3 * H86)/D104 + (2/3 * H109)</f>
        <v>22.05011460698725</v>
      </c>
      <c r="I35" s="303" t="s">
        <v>504</v>
      </c>
    </row>
    <row r="36" spans="1:9" s="242" customFormat="1" ht="18.75" customHeight="1" thickBot="1" x14ac:dyDescent="0.25">
      <c r="A36" s="244"/>
      <c r="D36" s="245"/>
      <c r="E36" s="246"/>
      <c r="F36" s="245"/>
      <c r="G36" s="246"/>
      <c r="H36" s="247"/>
      <c r="I36" s="246"/>
    </row>
    <row r="37" spans="1:9" s="242" customFormat="1" ht="18.75" customHeight="1" x14ac:dyDescent="0.25">
      <c r="A37" s="273" t="s">
        <v>904</v>
      </c>
      <c r="B37" s="304"/>
      <c r="C37" s="305"/>
      <c r="D37" s="275" t="s">
        <v>611</v>
      </c>
      <c r="E37" s="306"/>
      <c r="F37" s="567" t="s">
        <v>1057</v>
      </c>
      <c r="G37" s="568"/>
    </row>
    <row r="38" spans="1:9" s="242" customFormat="1" ht="18.75" customHeight="1" x14ac:dyDescent="0.2">
      <c r="A38" s="276" t="s">
        <v>431</v>
      </c>
      <c r="B38" s="277" t="s">
        <v>432</v>
      </c>
      <c r="C38" s="307" t="s">
        <v>612</v>
      </c>
      <c r="D38" s="277" t="s">
        <v>434</v>
      </c>
      <c r="E38" s="308" t="s">
        <v>613</v>
      </c>
      <c r="F38" s="279" t="s">
        <v>434</v>
      </c>
      <c r="G38" s="281" t="s">
        <v>435</v>
      </c>
    </row>
    <row r="39" spans="1:9" s="242" customFormat="1" ht="18.75" customHeight="1" x14ac:dyDescent="0.2">
      <c r="A39" s="282" t="s">
        <v>876</v>
      </c>
      <c r="B39" s="283" t="s">
        <v>438</v>
      </c>
      <c r="C39" s="309" t="s">
        <v>614</v>
      </c>
      <c r="D39" s="285">
        <f>$D$105</f>
        <v>4.0000000000000001E-3</v>
      </c>
      <c r="E39" s="310" t="s">
        <v>441</v>
      </c>
      <c r="F39" s="285">
        <f>$D$105</f>
        <v>4.0000000000000001E-3</v>
      </c>
      <c r="G39" s="311" t="s">
        <v>615</v>
      </c>
    </row>
    <row r="40" spans="1:9" s="242" customFormat="1" ht="18.75" customHeight="1" x14ac:dyDescent="0.2">
      <c r="A40" s="282" t="s">
        <v>878</v>
      </c>
      <c r="B40" s="283" t="s">
        <v>442</v>
      </c>
      <c r="C40" s="309" t="s">
        <v>614</v>
      </c>
      <c r="D40" s="285">
        <f>$D$105</f>
        <v>4.0000000000000001E-3</v>
      </c>
      <c r="E40" s="310" t="s">
        <v>441</v>
      </c>
      <c r="F40" s="285">
        <f>$D$105</f>
        <v>4.0000000000000001E-3</v>
      </c>
      <c r="G40" s="311" t="s">
        <v>615</v>
      </c>
    </row>
    <row r="41" spans="1:9" s="242" customFormat="1" ht="18.75" customHeight="1" thickBot="1" x14ac:dyDescent="0.25">
      <c r="A41" s="297">
        <v>13</v>
      </c>
      <c r="B41" s="312" t="s">
        <v>447</v>
      </c>
      <c r="C41" s="313" t="s">
        <v>614</v>
      </c>
      <c r="D41" s="300">
        <f>$D$111</f>
        <v>1.5478064480000001E-2</v>
      </c>
      <c r="E41" s="314" t="s">
        <v>620</v>
      </c>
      <c r="F41" s="300">
        <f>$D$111</f>
        <v>1.5478064480000001E-2</v>
      </c>
      <c r="G41" s="315" t="s">
        <v>615</v>
      </c>
    </row>
    <row r="42" spans="1:9" ht="18.75" customHeight="1" thickBot="1" x14ac:dyDescent="0.25"/>
    <row r="43" spans="1:9" s="242" customFormat="1" ht="18.75" customHeight="1" x14ac:dyDescent="0.25">
      <c r="A43" s="273" t="s">
        <v>905</v>
      </c>
      <c r="B43" s="304"/>
      <c r="C43" s="305"/>
      <c r="D43" s="275" t="s">
        <v>611</v>
      </c>
      <c r="E43" s="316"/>
      <c r="F43" s="567" t="s">
        <v>1057</v>
      </c>
      <c r="G43" s="568"/>
    </row>
    <row r="44" spans="1:9" s="242" customFormat="1" ht="18.75" customHeight="1" x14ac:dyDescent="0.2">
      <c r="A44" s="276" t="s">
        <v>431</v>
      </c>
      <c r="B44" s="277" t="s">
        <v>432</v>
      </c>
      <c r="C44" s="307" t="s">
        <v>612</v>
      </c>
      <c r="D44" s="277" t="s">
        <v>434</v>
      </c>
      <c r="E44" s="317" t="s">
        <v>613</v>
      </c>
      <c r="F44" s="279" t="s">
        <v>434</v>
      </c>
      <c r="G44" s="281" t="s">
        <v>435</v>
      </c>
    </row>
    <row r="45" spans="1:9" s="242" customFormat="1" ht="18.75" customHeight="1" x14ac:dyDescent="0.2">
      <c r="A45" s="282">
        <v>36</v>
      </c>
      <c r="B45" s="283" t="s">
        <v>475</v>
      </c>
      <c r="C45" s="294" t="s">
        <v>480</v>
      </c>
      <c r="D45" s="285">
        <f>$D$106</f>
        <v>8.3900000000000002E-2</v>
      </c>
      <c r="E45" s="318" t="s">
        <v>480</v>
      </c>
      <c r="F45" s="285">
        <f>$D$106</f>
        <v>8.3900000000000002E-2</v>
      </c>
      <c r="G45" s="311" t="s">
        <v>615</v>
      </c>
    </row>
    <row r="46" spans="1:9" s="242" customFormat="1" ht="18.75" customHeight="1" x14ac:dyDescent="0.2">
      <c r="A46" s="282">
        <v>37</v>
      </c>
      <c r="B46" s="283" t="s">
        <v>481</v>
      </c>
      <c r="C46" s="294" t="s">
        <v>480</v>
      </c>
      <c r="D46" s="285">
        <f>$D$106</f>
        <v>8.3900000000000002E-2</v>
      </c>
      <c r="E46" s="318" t="s">
        <v>480</v>
      </c>
      <c r="F46" s="285">
        <f>$D$106</f>
        <v>8.3900000000000002E-2</v>
      </c>
      <c r="G46" s="311" t="s">
        <v>615</v>
      </c>
    </row>
    <row r="47" spans="1:9" s="242" customFormat="1" ht="18.75" customHeight="1" x14ac:dyDescent="0.2">
      <c r="A47" s="282">
        <v>40</v>
      </c>
      <c r="B47" s="283" t="s">
        <v>493</v>
      </c>
      <c r="C47" s="294" t="s">
        <v>480</v>
      </c>
      <c r="D47" s="285">
        <f>$D$106</f>
        <v>8.3900000000000002E-2</v>
      </c>
      <c r="E47" s="318" t="s">
        <v>480</v>
      </c>
      <c r="F47" s="285">
        <f>$D$106</f>
        <v>8.3900000000000002E-2</v>
      </c>
      <c r="G47" s="311" t="s">
        <v>615</v>
      </c>
    </row>
    <row r="48" spans="1:9" s="242" customFormat="1" ht="18.75" customHeight="1" thickBot="1" x14ac:dyDescent="0.25">
      <c r="A48" s="297">
        <v>42</v>
      </c>
      <c r="B48" s="312" t="s">
        <v>497</v>
      </c>
      <c r="C48" s="319" t="s">
        <v>480</v>
      </c>
      <c r="D48" s="300">
        <f>$D$106</f>
        <v>8.3900000000000002E-2</v>
      </c>
      <c r="E48" s="320" t="s">
        <v>480</v>
      </c>
      <c r="F48" s="300">
        <f>$D$106</f>
        <v>8.3900000000000002E-2</v>
      </c>
      <c r="G48" s="315" t="s">
        <v>615</v>
      </c>
    </row>
    <row r="49" spans="1:17" s="242" customFormat="1" ht="18.75" customHeight="1" thickBot="1" x14ac:dyDescent="0.25">
      <c r="A49" s="250"/>
      <c r="B49" s="251"/>
      <c r="C49" s="250"/>
      <c r="D49" s="252"/>
      <c r="E49" s="253"/>
      <c r="F49" s="252"/>
      <c r="I49" s="246"/>
    </row>
    <row r="50" spans="1:17" s="242" customFormat="1" ht="18.75" customHeight="1" x14ac:dyDescent="0.25">
      <c r="A50" s="273" t="s">
        <v>906</v>
      </c>
      <c r="B50" s="304"/>
      <c r="C50" s="305"/>
      <c r="D50" s="275" t="s">
        <v>611</v>
      </c>
      <c r="E50" s="306"/>
      <c r="F50" s="567" t="s">
        <v>1057</v>
      </c>
      <c r="G50" s="568"/>
    </row>
    <row r="51" spans="1:17" s="242" customFormat="1" ht="18.75" customHeight="1" x14ac:dyDescent="0.2">
      <c r="A51" s="276" t="s">
        <v>616</v>
      </c>
      <c r="B51" s="277" t="s">
        <v>432</v>
      </c>
      <c r="C51" s="307" t="s">
        <v>506</v>
      </c>
      <c r="D51" s="277" t="s">
        <v>434</v>
      </c>
      <c r="E51" s="308" t="s">
        <v>613</v>
      </c>
      <c r="F51" s="279" t="s">
        <v>434</v>
      </c>
      <c r="G51" s="281" t="s">
        <v>435</v>
      </c>
    </row>
    <row r="52" spans="1:17" s="242" customFormat="1" ht="18.75" customHeight="1" x14ac:dyDescent="0.2">
      <c r="A52" s="321">
        <v>0</v>
      </c>
      <c r="B52" s="283" t="s">
        <v>617</v>
      </c>
      <c r="C52" s="294"/>
      <c r="D52" s="285">
        <v>0</v>
      </c>
      <c r="E52" s="322">
        <v>0</v>
      </c>
      <c r="F52" s="285">
        <v>0</v>
      </c>
      <c r="G52" s="323">
        <v>0</v>
      </c>
      <c r="Q52" s="246"/>
    </row>
    <row r="53" spans="1:17" s="242" customFormat="1" ht="18.75" customHeight="1" x14ac:dyDescent="0.2">
      <c r="A53" s="282">
        <v>1</v>
      </c>
      <c r="B53" s="283" t="s">
        <v>618</v>
      </c>
      <c r="C53" s="294" t="s">
        <v>907</v>
      </c>
      <c r="D53" s="285">
        <f>D94</f>
        <v>68.852599999999995</v>
      </c>
      <c r="E53" s="322" t="s">
        <v>468</v>
      </c>
      <c r="F53" s="285">
        <f>H94</f>
        <v>125.9254062019143</v>
      </c>
      <c r="G53" s="323" t="s">
        <v>470</v>
      </c>
      <c r="Q53" s="246"/>
    </row>
    <row r="54" spans="1:17" s="242" customFormat="1" ht="18.75" customHeight="1" x14ac:dyDescent="0.2">
      <c r="A54" s="282" t="s">
        <v>908</v>
      </c>
      <c r="B54" s="283" t="s">
        <v>619</v>
      </c>
      <c r="C54" s="294" t="s">
        <v>909</v>
      </c>
      <c r="D54" s="285">
        <f>D111</f>
        <v>1.5478064480000001E-2</v>
      </c>
      <c r="E54" s="322" t="s">
        <v>620</v>
      </c>
      <c r="F54" s="285">
        <f>H111</f>
        <v>2.8308031314190334E-2</v>
      </c>
      <c r="G54" s="323" t="s">
        <v>621</v>
      </c>
      <c r="Q54" s="246"/>
    </row>
    <row r="55" spans="1:17" s="242" customFormat="1" ht="18.75" customHeight="1" x14ac:dyDescent="0.2">
      <c r="A55" s="282" t="s">
        <v>910</v>
      </c>
      <c r="B55" s="283" t="s">
        <v>911</v>
      </c>
      <c r="C55" s="294" t="s">
        <v>909</v>
      </c>
      <c r="D55" s="285">
        <f>($D$111*0.29)/(1+0.29)</f>
        <v>3.4795648831007749E-3</v>
      </c>
      <c r="E55" s="322" t="s">
        <v>912</v>
      </c>
      <c r="F55" s="285">
        <f>($H$111*0.29)/(1+0.29)</f>
        <v>6.3638209931125549E-3</v>
      </c>
      <c r="G55" s="323" t="s">
        <v>913</v>
      </c>
      <c r="M55" s="251"/>
      <c r="Q55" s="324"/>
    </row>
    <row r="56" spans="1:17" s="242" customFormat="1" ht="18.75" customHeight="1" x14ac:dyDescent="0.2">
      <c r="A56" s="282" t="s">
        <v>914</v>
      </c>
      <c r="B56" s="283" t="s">
        <v>911</v>
      </c>
      <c r="C56" s="294" t="s">
        <v>909</v>
      </c>
      <c r="D56" s="285">
        <f>($D$111*0.62)/(1+0.62)</f>
        <v>5.9237036898765437E-3</v>
      </c>
      <c r="E56" s="322" t="s">
        <v>912</v>
      </c>
      <c r="F56" s="285">
        <f>($H$111*0.62)/(1+0.62)</f>
        <v>1.083393791036914E-2</v>
      </c>
      <c r="G56" s="323" t="s">
        <v>913</v>
      </c>
      <c r="M56" s="251"/>
      <c r="Q56" s="324"/>
    </row>
    <row r="57" spans="1:17" s="242" customFormat="1" ht="18.75" customHeight="1" x14ac:dyDescent="0.2">
      <c r="A57" s="282" t="s">
        <v>915</v>
      </c>
      <c r="B57" s="283" t="s">
        <v>911</v>
      </c>
      <c r="C57" s="294" t="s">
        <v>909</v>
      </c>
      <c r="D57" s="285">
        <f>($D$111*0.64)/(1+0.64)</f>
        <v>6.0402202848780489E-3</v>
      </c>
      <c r="E57" s="322" t="s">
        <v>912</v>
      </c>
      <c r="F57" s="285">
        <f>($H$111*0.64)/(1+0.64)</f>
        <v>1.104703661041574E-2</v>
      </c>
      <c r="G57" s="323" t="s">
        <v>913</v>
      </c>
      <c r="M57" s="251"/>
      <c r="Q57" s="324"/>
    </row>
    <row r="58" spans="1:17" s="242" customFormat="1" ht="18.75" customHeight="1" x14ac:dyDescent="0.2">
      <c r="A58" s="282" t="s">
        <v>916</v>
      </c>
      <c r="B58" s="283" t="s">
        <v>911</v>
      </c>
      <c r="C58" s="294" t="s">
        <v>909</v>
      </c>
      <c r="D58" s="285">
        <f>($D$111*0.76)/(1+0.76)</f>
        <v>6.6837096618181831E-3</v>
      </c>
      <c r="E58" s="322" t="s">
        <v>912</v>
      </c>
      <c r="F58" s="285">
        <f>($H$111*0.76)/(1+0.76)</f>
        <v>1.2223922612945826E-2</v>
      </c>
      <c r="G58" s="323" t="s">
        <v>913</v>
      </c>
      <c r="M58" s="251"/>
      <c r="Q58" s="324"/>
    </row>
    <row r="59" spans="1:17" s="242" customFormat="1" ht="18.75" customHeight="1" x14ac:dyDescent="0.2">
      <c r="A59" s="282" t="s">
        <v>917</v>
      </c>
      <c r="B59" s="283" t="s">
        <v>911</v>
      </c>
      <c r="C59" s="294" t="s">
        <v>909</v>
      </c>
      <c r="D59" s="285">
        <f>($D$111*1.13)/(1+1.13)</f>
        <v>8.211367541032865E-3</v>
      </c>
      <c r="E59" s="322" t="s">
        <v>912</v>
      </c>
      <c r="F59" s="285">
        <f>($H$111*1.13)/(1+1.13)</f>
        <v>1.5017875767622103E-2</v>
      </c>
      <c r="G59" s="323" t="s">
        <v>913</v>
      </c>
      <c r="M59" s="251"/>
      <c r="Q59" s="324"/>
    </row>
    <row r="60" spans="1:17" s="242" customFormat="1" ht="18.75" customHeight="1" x14ac:dyDescent="0.2">
      <c r="A60" s="282">
        <v>4</v>
      </c>
      <c r="B60" s="283" t="s">
        <v>622</v>
      </c>
      <c r="C60" s="294" t="s">
        <v>918</v>
      </c>
      <c r="D60" s="285">
        <f>D117*3.6/1000*D107/1000*D94*(1-D115)</f>
        <v>4.847729795136E-2</v>
      </c>
      <c r="E60" s="322" t="s">
        <v>623</v>
      </c>
      <c r="F60" s="285">
        <f>H117*3.6/1000*D107/1000*H94*(1-H115)</f>
        <v>8.8660754076044138E-2</v>
      </c>
      <c r="G60" s="323" t="s">
        <v>624</v>
      </c>
      <c r="Q60" s="246"/>
    </row>
    <row r="61" spans="1:17" s="242" customFormat="1" ht="18.75" customHeight="1" x14ac:dyDescent="0.2">
      <c r="A61" s="282">
        <v>5</v>
      </c>
      <c r="B61" s="283" t="s">
        <v>625</v>
      </c>
      <c r="C61" s="294" t="s">
        <v>909</v>
      </c>
      <c r="D61" s="285">
        <f>D111*D112</f>
        <v>4.6434193440000006E-3</v>
      </c>
      <c r="E61" s="322" t="s">
        <v>626</v>
      </c>
      <c r="F61" s="285">
        <f>H111*H112</f>
        <v>8.4924093942571003E-3</v>
      </c>
      <c r="G61" s="323" t="s">
        <v>627</v>
      </c>
      <c r="Q61" s="246"/>
    </row>
    <row r="62" spans="1:17" s="242" customFormat="1" ht="18.75" customHeight="1" x14ac:dyDescent="0.2">
      <c r="A62" s="282" t="s">
        <v>919</v>
      </c>
      <c r="B62" s="283" t="s">
        <v>628</v>
      </c>
      <c r="C62" s="294" t="s">
        <v>909</v>
      </c>
      <c r="D62" s="285">
        <f>D$111*D$112*(2.75-1)/2.75</f>
        <v>2.9549032189090914E-3</v>
      </c>
      <c r="E62" s="322" t="s">
        <v>629</v>
      </c>
      <c r="F62" s="285">
        <f>H$111*H$112*(2.75-1)/2.75</f>
        <v>5.4042605236181551E-3</v>
      </c>
      <c r="G62" s="323" t="s">
        <v>630</v>
      </c>
      <c r="M62" s="251"/>
      <c r="Q62" s="324"/>
    </row>
    <row r="63" spans="1:17" s="242" customFormat="1" ht="18.75" customHeight="1" x14ac:dyDescent="0.2">
      <c r="A63" s="282" t="s">
        <v>920</v>
      </c>
      <c r="B63" s="283" t="s">
        <v>628</v>
      </c>
      <c r="C63" s="294" t="s">
        <v>909</v>
      </c>
      <c r="D63" s="285">
        <f>D$111*D$112*(3.5-1)/3.5</f>
        <v>3.3167281028571435E-3</v>
      </c>
      <c r="E63" s="322" t="s">
        <v>629</v>
      </c>
      <c r="F63" s="285">
        <f>H$111*H$112*(3.5-1)/3.5</f>
        <v>6.0660067101836425E-3</v>
      </c>
      <c r="G63" s="323" t="s">
        <v>630</v>
      </c>
      <c r="M63" s="251"/>
      <c r="Q63" s="324"/>
    </row>
    <row r="64" spans="1:17" s="242" customFormat="1" ht="18.75" customHeight="1" x14ac:dyDescent="0.2">
      <c r="A64" s="282" t="s">
        <v>921</v>
      </c>
      <c r="B64" s="283" t="s">
        <v>631</v>
      </c>
      <c r="C64" s="294" t="s">
        <v>909</v>
      </c>
      <c r="D64" s="285">
        <f>D111*(3-1)/3</f>
        <v>1.0318709653333334E-2</v>
      </c>
      <c r="E64" s="322" t="s">
        <v>632</v>
      </c>
      <c r="F64" s="285">
        <f>H111*(3-1)/3</f>
        <v>1.887202087612689E-2</v>
      </c>
      <c r="G64" s="323" t="s">
        <v>633</v>
      </c>
      <c r="M64" s="251"/>
      <c r="Q64" s="324"/>
    </row>
    <row r="65" spans="1:17" s="242" customFormat="1" ht="18.75" customHeight="1" x14ac:dyDescent="0.2">
      <c r="A65" s="282" t="s">
        <v>922</v>
      </c>
      <c r="B65" s="283" t="s">
        <v>631</v>
      </c>
      <c r="C65" s="294" t="s">
        <v>909</v>
      </c>
      <c r="D65" s="285">
        <f>D111*(3.5-1)/3.5</f>
        <v>1.1055760342857143E-2</v>
      </c>
      <c r="E65" s="322" t="s">
        <v>632</v>
      </c>
      <c r="F65" s="285">
        <f>H111*(3.5-1)/3.5</f>
        <v>2.0220022367278812E-2</v>
      </c>
      <c r="G65" s="323" t="s">
        <v>633</v>
      </c>
      <c r="M65" s="251"/>
      <c r="Q65" s="324"/>
    </row>
    <row r="66" spans="1:17" s="242" customFormat="1" ht="18.75" customHeight="1" x14ac:dyDescent="0.2">
      <c r="A66" s="282" t="s">
        <v>923</v>
      </c>
      <c r="B66" s="283" t="s">
        <v>631</v>
      </c>
      <c r="C66" s="294" t="s">
        <v>909</v>
      </c>
      <c r="D66" s="285">
        <f>D111*(5-1)/5</f>
        <v>1.2382451584E-2</v>
      </c>
      <c r="E66" s="322" t="s">
        <v>632</v>
      </c>
      <c r="F66" s="285">
        <f>H111*(5-1)/5</f>
        <v>2.2646425051352267E-2</v>
      </c>
      <c r="G66" s="323" t="s">
        <v>633</v>
      </c>
      <c r="M66" s="251"/>
      <c r="Q66" s="324"/>
    </row>
    <row r="67" spans="1:17" s="242" customFormat="1" ht="18.75" customHeight="1" x14ac:dyDescent="0.2">
      <c r="A67" s="282" t="s">
        <v>924</v>
      </c>
      <c r="B67" s="283" t="s">
        <v>631</v>
      </c>
      <c r="C67" s="294" t="s">
        <v>909</v>
      </c>
      <c r="D67" s="285">
        <f>D111*(14-1)/14</f>
        <v>1.4372488445714288E-2</v>
      </c>
      <c r="E67" s="322" t="s">
        <v>632</v>
      </c>
      <c r="F67" s="285">
        <f>H111*(14-1)/14</f>
        <v>2.6286029077462452E-2</v>
      </c>
      <c r="G67" s="323" t="s">
        <v>633</v>
      </c>
      <c r="M67" s="251"/>
      <c r="Q67" s="324"/>
    </row>
    <row r="68" spans="1:17" s="242" customFormat="1" ht="18.75" customHeight="1" x14ac:dyDescent="0.2">
      <c r="A68" s="282">
        <v>8</v>
      </c>
      <c r="B68" s="283" t="s">
        <v>634</v>
      </c>
      <c r="C68" s="294" t="s">
        <v>909</v>
      </c>
      <c r="D68" s="285">
        <f>D111*D113</f>
        <v>1.5478064480000003E-3</v>
      </c>
      <c r="E68" s="322" t="s">
        <v>635</v>
      </c>
      <c r="F68" s="285">
        <f>H111*H113</f>
        <v>2.8308031314190334E-3</v>
      </c>
      <c r="G68" s="323" t="s">
        <v>636</v>
      </c>
      <c r="Q68" s="246"/>
    </row>
    <row r="69" spans="1:17" s="242" customFormat="1" ht="18.75" customHeight="1" x14ac:dyDescent="0.2">
      <c r="A69" s="282" t="s">
        <v>925</v>
      </c>
      <c r="B69" s="283" t="s">
        <v>637</v>
      </c>
      <c r="C69" s="294" t="s">
        <v>909</v>
      </c>
      <c r="D69" s="285">
        <f>D$111*D$113*D$112*(2.3-1)/2.3</f>
        <v>2.6245413683478262E-4</v>
      </c>
      <c r="E69" s="322" t="s">
        <v>638</v>
      </c>
      <c r="F69" s="285">
        <f>H$111*H$113*H$112*(2.3-1)/2.3</f>
        <v>4.8000574837105342E-4</v>
      </c>
      <c r="G69" s="323" t="s">
        <v>639</v>
      </c>
      <c r="Q69" s="246"/>
    </row>
    <row r="70" spans="1:17" s="242" customFormat="1" ht="18.75" customHeight="1" x14ac:dyDescent="0.2">
      <c r="A70" s="282" t="s">
        <v>926</v>
      </c>
      <c r="B70" s="283" t="s">
        <v>637</v>
      </c>
      <c r="C70" s="294" t="s">
        <v>909</v>
      </c>
      <c r="D70" s="285">
        <f>D$111*D$113*D$112*(2.5-1)/2.5</f>
        <v>2.7860516064000002E-4</v>
      </c>
      <c r="E70" s="322" t="s">
        <v>638</v>
      </c>
      <c r="F70" s="285">
        <f>H$111*H$113*H$112*(2.5-1)/2.5</f>
        <v>5.0954456365542595E-4</v>
      </c>
      <c r="G70" s="323" t="s">
        <v>639</v>
      </c>
      <c r="Q70" s="246"/>
    </row>
    <row r="71" spans="1:17" s="242" customFormat="1" ht="18.75" customHeight="1" x14ac:dyDescent="0.2">
      <c r="A71" s="282" t="s">
        <v>927</v>
      </c>
      <c r="B71" s="283" t="s">
        <v>637</v>
      </c>
      <c r="C71" s="294" t="s">
        <v>909</v>
      </c>
      <c r="D71" s="285">
        <f>D$111*D$113*D$112*(2.9-1)/2.9</f>
        <v>3.0422402598620691E-4</v>
      </c>
      <c r="E71" s="322" t="s">
        <v>638</v>
      </c>
      <c r="F71" s="285">
        <f>H$111*H$113*H$112*(2.9-1)/2.9</f>
        <v>5.5639923617546521E-4</v>
      </c>
      <c r="G71" s="323" t="s">
        <v>639</v>
      </c>
      <c r="Q71" s="246"/>
    </row>
    <row r="72" spans="1:17" s="242" customFormat="1" ht="18.75" customHeight="1" x14ac:dyDescent="0.2">
      <c r="A72" s="282" t="s">
        <v>928</v>
      </c>
      <c r="B72" s="283" t="s">
        <v>637</v>
      </c>
      <c r="C72" s="294" t="s">
        <v>909</v>
      </c>
      <c r="D72" s="285">
        <f>D$111*D$113*D$112*(3-1)/3</f>
        <v>3.0956128960000004E-4</v>
      </c>
      <c r="E72" s="322" t="s">
        <v>638</v>
      </c>
      <c r="F72" s="285">
        <f>H$111*H$113*H$112*(3-1)/3</f>
        <v>5.6616062628380662E-4</v>
      </c>
      <c r="G72" s="323" t="s">
        <v>639</v>
      </c>
      <c r="Q72" s="246"/>
    </row>
    <row r="73" spans="1:17" s="242" customFormat="1" ht="18.75" customHeight="1" x14ac:dyDescent="0.2">
      <c r="A73" s="282" t="s">
        <v>929</v>
      </c>
      <c r="B73" s="283" t="s">
        <v>637</v>
      </c>
      <c r="C73" s="294" t="s">
        <v>909</v>
      </c>
      <c r="D73" s="285">
        <f>D$111*D$113*D$112*(3.1-1)/3.1</f>
        <v>3.1455421362580648E-4</v>
      </c>
      <c r="E73" s="322" t="s">
        <v>638</v>
      </c>
      <c r="F73" s="285">
        <f>H$111*H$113*H$112*(3.1-1)/3.1</f>
        <v>5.7529224928838424E-4</v>
      </c>
      <c r="G73" s="323" t="s">
        <v>639</v>
      </c>
      <c r="Q73" s="246"/>
    </row>
    <row r="74" spans="1:17" s="242" customFormat="1" ht="18.75" customHeight="1" x14ac:dyDescent="0.2">
      <c r="A74" s="282" t="s">
        <v>930</v>
      </c>
      <c r="B74" s="283" t="s">
        <v>637</v>
      </c>
      <c r="C74" s="294" t="s">
        <v>909</v>
      </c>
      <c r="D74" s="285">
        <f>D$111*D$113*D$112*(3.2-1)/3.2</f>
        <v>3.1923507990000004E-4</v>
      </c>
      <c r="E74" s="322" t="s">
        <v>638</v>
      </c>
      <c r="F74" s="285">
        <f>H$111*H$113*H$112*(3.2-1)/3.2</f>
        <v>5.8385314585517566E-4</v>
      </c>
      <c r="G74" s="323" t="s">
        <v>639</v>
      </c>
      <c r="Q74" s="246"/>
    </row>
    <row r="75" spans="1:17" s="242" customFormat="1" ht="18.75" customHeight="1" x14ac:dyDescent="0.2">
      <c r="A75" s="282" t="s">
        <v>931</v>
      </c>
      <c r="B75" s="283" t="s">
        <v>637</v>
      </c>
      <c r="C75" s="294" t="s">
        <v>909</v>
      </c>
      <c r="D75" s="285">
        <f>D$111*D$113*D$112*(3.3-1)/3.3</f>
        <v>3.2363225730909094E-4</v>
      </c>
      <c r="E75" s="322" t="s">
        <v>638</v>
      </c>
      <c r="F75" s="285">
        <f>H$111*H$113*H$112*(3.3-1)/3.3</f>
        <v>5.9189520020579785E-4</v>
      </c>
      <c r="G75" s="323" t="s">
        <v>639</v>
      </c>
      <c r="Q75" s="246"/>
    </row>
    <row r="76" spans="1:17" s="242" customFormat="1" ht="18.75" customHeight="1" x14ac:dyDescent="0.2">
      <c r="A76" s="282" t="s">
        <v>932</v>
      </c>
      <c r="B76" s="283" t="s">
        <v>637</v>
      </c>
      <c r="C76" s="294" t="s">
        <v>909</v>
      </c>
      <c r="D76" s="285">
        <f>D$111*D$113*D$112*(3.6-1)/3.6</f>
        <v>3.353580637333334E-4</v>
      </c>
      <c r="E76" s="322" t="s">
        <v>638</v>
      </c>
      <c r="F76" s="285">
        <f>H$111*H$113*H$112*(3.6-1)/3.6</f>
        <v>6.1334067847412387E-4</v>
      </c>
      <c r="G76" s="323" t="s">
        <v>639</v>
      </c>
      <c r="M76" s="251"/>
      <c r="Q76" s="324"/>
    </row>
    <row r="77" spans="1:17" s="242" customFormat="1" ht="18.75" customHeight="1" x14ac:dyDescent="0.2">
      <c r="A77" s="282" t="s">
        <v>933</v>
      </c>
      <c r="B77" s="283" t="s">
        <v>637</v>
      </c>
      <c r="C77" s="294" t="s">
        <v>909</v>
      </c>
      <c r="D77" s="285">
        <f>D$111*D$113*D$112*(4-1)/4</f>
        <v>3.482564508E-4</v>
      </c>
      <c r="E77" s="322" t="s">
        <v>638</v>
      </c>
      <c r="F77" s="285">
        <f>H$111*H$113*H$112*(4-1)/4</f>
        <v>6.3693070456928244E-4</v>
      </c>
      <c r="G77" s="323" t="s">
        <v>639</v>
      </c>
      <c r="M77" s="251"/>
      <c r="Q77" s="324"/>
    </row>
    <row r="78" spans="1:17" s="242" customFormat="1" ht="18.75" customHeight="1" x14ac:dyDescent="0.2">
      <c r="A78" s="321">
        <v>10</v>
      </c>
      <c r="B78" s="283" t="s">
        <v>640</v>
      </c>
      <c r="C78" s="294" t="s">
        <v>909</v>
      </c>
      <c r="D78" s="285">
        <f>D111*D114*(1-D112)</f>
        <v>5.4173225679999999E-3</v>
      </c>
      <c r="E78" s="322" t="s">
        <v>641</v>
      </c>
      <c r="F78" s="285">
        <f>H111*H114*(1-H112)</f>
        <v>9.9078109599666161E-3</v>
      </c>
      <c r="G78" s="323" t="s">
        <v>642</v>
      </c>
      <c r="Q78" s="246"/>
    </row>
    <row r="79" spans="1:17" s="242" customFormat="1" ht="18.75" customHeight="1" x14ac:dyDescent="0.2">
      <c r="A79" s="282">
        <v>11</v>
      </c>
      <c r="B79" s="283" t="s">
        <v>643</v>
      </c>
      <c r="C79" s="294" t="s">
        <v>934</v>
      </c>
      <c r="D79" s="285">
        <f>D94*D118/1000</f>
        <v>1.5767245400000001E-2</v>
      </c>
      <c r="E79" s="322" t="s">
        <v>644</v>
      </c>
      <c r="F79" s="285">
        <f>H94*H118/1000</f>
        <v>2.8836918020238377E-2</v>
      </c>
      <c r="G79" s="323" t="s">
        <v>935</v>
      </c>
      <c r="Q79" s="246"/>
    </row>
    <row r="80" spans="1:17" s="242" customFormat="1" ht="18.75" customHeight="1" x14ac:dyDescent="0.2">
      <c r="A80" s="282" t="s">
        <v>936</v>
      </c>
      <c r="B80" s="283" t="s">
        <v>937</v>
      </c>
      <c r="C80" s="294" t="s">
        <v>934</v>
      </c>
      <c r="D80" s="285">
        <f>(D94*D118/1000)*(1-D93)</f>
        <v>1.0091037056E-2</v>
      </c>
      <c r="E80" s="322" t="s">
        <v>938</v>
      </c>
      <c r="F80" s="285">
        <f>(H94*H118/1000)*(1-H93)</f>
        <v>1.8455627532952563E-2</v>
      </c>
      <c r="G80" s="318" t="s">
        <v>939</v>
      </c>
      <c r="Q80" s="246"/>
    </row>
    <row r="81" spans="1:17" s="242" customFormat="1" ht="18.75" customHeight="1" thickBot="1" x14ac:dyDescent="0.25">
      <c r="A81" s="297" t="s">
        <v>940</v>
      </c>
      <c r="B81" s="312" t="s">
        <v>941</v>
      </c>
      <c r="C81" s="319" t="s">
        <v>907</v>
      </c>
      <c r="D81" s="300">
        <f>D94*D93</f>
        <v>24.786935999999997</v>
      </c>
      <c r="E81" s="325" t="s">
        <v>942</v>
      </c>
      <c r="F81" s="300">
        <f>F53*H93</f>
        <v>45.333146232689145</v>
      </c>
      <c r="G81" s="326" t="s">
        <v>943</v>
      </c>
      <c r="Q81" s="246"/>
    </row>
    <row r="82" spans="1:17" s="242" customFormat="1" ht="18.75" customHeight="1" thickBot="1" x14ac:dyDescent="0.25">
      <c r="A82" s="244"/>
      <c r="D82" s="245"/>
      <c r="E82" s="246"/>
      <c r="F82" s="247"/>
      <c r="G82" s="246"/>
      <c r="H82" s="245"/>
      <c r="I82" s="246"/>
    </row>
    <row r="83" spans="1:17" s="242" customFormat="1" ht="18.75" customHeight="1" x14ac:dyDescent="0.25">
      <c r="A83" s="327" t="s">
        <v>645</v>
      </c>
      <c r="B83" s="328"/>
      <c r="C83" s="274"/>
      <c r="D83" s="329"/>
      <c r="E83" s="316"/>
      <c r="F83" s="330"/>
      <c r="G83" s="331"/>
      <c r="H83" s="329"/>
      <c r="I83" s="332"/>
    </row>
    <row r="84" spans="1:17" s="242" customFormat="1" ht="18.75" customHeight="1" x14ac:dyDescent="0.2">
      <c r="A84" s="333" t="s">
        <v>646</v>
      </c>
      <c r="B84" s="334" t="s">
        <v>432</v>
      </c>
      <c r="C84" s="335" t="s">
        <v>506</v>
      </c>
      <c r="D84" s="335" t="s">
        <v>647</v>
      </c>
      <c r="E84" s="336" t="s">
        <v>944</v>
      </c>
      <c r="F84" s="337" t="s">
        <v>646</v>
      </c>
      <c r="G84" s="334" t="s">
        <v>432</v>
      </c>
      <c r="H84" s="334" t="s">
        <v>648</v>
      </c>
      <c r="I84" s="338" t="s">
        <v>944</v>
      </c>
    </row>
    <row r="85" spans="1:17" s="242" customFormat="1" ht="18.75" customHeight="1" x14ac:dyDescent="0.2">
      <c r="A85" s="339" t="s">
        <v>945</v>
      </c>
      <c r="B85" s="283" t="s">
        <v>946</v>
      </c>
      <c r="C85" s="340" t="s">
        <v>507</v>
      </c>
      <c r="D85" s="341">
        <v>7.4706584699453807E-2</v>
      </c>
      <c r="E85" s="322" t="s">
        <v>947</v>
      </c>
      <c r="F85" s="291"/>
      <c r="G85" s="283"/>
      <c r="H85" s="341"/>
      <c r="I85" s="323"/>
    </row>
    <row r="86" spans="1:17" s="242" customFormat="1" ht="18.75" customHeight="1" x14ac:dyDescent="0.2">
      <c r="A86" s="339" t="s">
        <v>875</v>
      </c>
      <c r="B86" s="283" t="s">
        <v>948</v>
      </c>
      <c r="C86" s="340" t="s">
        <v>507</v>
      </c>
      <c r="D86" s="341">
        <v>8.0220529809000005E-2</v>
      </c>
      <c r="E86" s="322" t="s">
        <v>1048</v>
      </c>
      <c r="F86" s="291" t="s">
        <v>437</v>
      </c>
      <c r="G86" s="283" t="s">
        <v>508</v>
      </c>
      <c r="H86" s="341">
        <v>6.9937103524956398E-2</v>
      </c>
      <c r="I86" s="323" t="s">
        <v>1045</v>
      </c>
    </row>
    <row r="87" spans="1:17" s="242" customFormat="1" ht="18.75" customHeight="1" x14ac:dyDescent="0.2">
      <c r="A87" s="339" t="s">
        <v>509</v>
      </c>
      <c r="B87" s="291" t="s">
        <v>510</v>
      </c>
      <c r="C87" s="342"/>
      <c r="D87" s="343">
        <v>0.81499999999999995</v>
      </c>
      <c r="E87" s="322" t="s">
        <v>1049</v>
      </c>
      <c r="F87" s="291" t="s">
        <v>511</v>
      </c>
      <c r="G87" s="291" t="s">
        <v>512</v>
      </c>
      <c r="H87" s="344">
        <v>0.73599999999999999</v>
      </c>
      <c r="I87" s="323" t="s">
        <v>1046</v>
      </c>
    </row>
    <row r="88" spans="1:17" s="242" customFormat="1" ht="18.75" customHeight="1" x14ac:dyDescent="0.2">
      <c r="A88" s="339" t="s">
        <v>513</v>
      </c>
      <c r="B88" s="291" t="s">
        <v>514</v>
      </c>
      <c r="C88" s="342"/>
      <c r="D88" s="343">
        <v>0.66500000000000004</v>
      </c>
      <c r="E88" s="322" t="s">
        <v>1049</v>
      </c>
      <c r="F88" s="291" t="s">
        <v>515</v>
      </c>
      <c r="G88" s="291" t="s">
        <v>516</v>
      </c>
      <c r="H88" s="344">
        <v>0.84199999999999997</v>
      </c>
      <c r="I88" s="323" t="s">
        <v>1046</v>
      </c>
    </row>
    <row r="89" spans="1:17" s="242" customFormat="1" ht="18.75" customHeight="1" x14ac:dyDescent="0.2">
      <c r="A89" s="339" t="s">
        <v>448</v>
      </c>
      <c r="B89" s="291" t="s">
        <v>517</v>
      </c>
      <c r="C89" s="340" t="s">
        <v>949</v>
      </c>
      <c r="D89" s="345">
        <v>3.7857261718749993E-2</v>
      </c>
      <c r="E89" s="322" t="s">
        <v>1050</v>
      </c>
      <c r="F89" s="291" t="s">
        <v>450</v>
      </c>
      <c r="G89" s="283" t="s">
        <v>519</v>
      </c>
      <c r="H89" s="341">
        <v>2.478004842200969E-2</v>
      </c>
      <c r="I89" s="323" t="s">
        <v>1044</v>
      </c>
    </row>
    <row r="90" spans="1:17" s="242" customFormat="1" ht="18.75" customHeight="1" x14ac:dyDescent="0.2">
      <c r="A90" s="339" t="s">
        <v>490</v>
      </c>
      <c r="B90" s="291" t="s">
        <v>518</v>
      </c>
      <c r="C90" s="340" t="s">
        <v>950</v>
      </c>
      <c r="D90" s="346">
        <f>D89*35.17/31.65</f>
        <v>4.2067611205321875E-2</v>
      </c>
      <c r="E90" s="322" t="s">
        <v>1050</v>
      </c>
      <c r="F90" s="291" t="s">
        <v>492</v>
      </c>
      <c r="G90" s="283" t="s">
        <v>520</v>
      </c>
      <c r="H90" s="346">
        <f>H89*35.17/31.65</f>
        <v>2.7535996935294817E-2</v>
      </c>
      <c r="I90" s="323" t="s">
        <v>1044</v>
      </c>
    </row>
    <row r="91" spans="1:17" s="242" customFormat="1" ht="18.75" customHeight="1" x14ac:dyDescent="0.2">
      <c r="A91" s="339"/>
      <c r="B91" s="291"/>
      <c r="C91" s="340"/>
      <c r="D91" s="340"/>
      <c r="E91" s="322"/>
      <c r="F91" s="291" t="s">
        <v>951</v>
      </c>
      <c r="G91" s="283" t="s">
        <v>952</v>
      </c>
      <c r="H91" s="341">
        <v>2.6510984987690899E-2</v>
      </c>
      <c r="I91" s="323" t="s">
        <v>1044</v>
      </c>
    </row>
    <row r="92" spans="1:17" s="242" customFormat="1" ht="18.75" customHeight="1" x14ac:dyDescent="0.2">
      <c r="A92" s="339"/>
      <c r="B92" s="291"/>
      <c r="C92" s="340"/>
      <c r="D92" s="340"/>
      <c r="E92" s="322"/>
      <c r="F92" s="291" t="s">
        <v>953</v>
      </c>
      <c r="G92" s="283" t="s">
        <v>954</v>
      </c>
      <c r="H92" s="346">
        <f>H91*35.17/31.65</f>
        <v>2.9459442085847994E-2</v>
      </c>
      <c r="I92" s="323" t="s">
        <v>1044</v>
      </c>
    </row>
    <row r="93" spans="1:17" s="242" customFormat="1" ht="18.75" customHeight="1" x14ac:dyDescent="0.2">
      <c r="A93" s="339" t="s">
        <v>649</v>
      </c>
      <c r="B93" s="291" t="s">
        <v>650</v>
      </c>
      <c r="C93" s="340"/>
      <c r="D93" s="347">
        <v>0.36</v>
      </c>
      <c r="E93" s="322" t="s">
        <v>651</v>
      </c>
      <c r="F93" s="291" t="s">
        <v>649</v>
      </c>
      <c r="G93" s="318" t="s">
        <v>651</v>
      </c>
      <c r="H93" s="348">
        <f>D93</f>
        <v>0.36</v>
      </c>
      <c r="I93" s="311" t="s">
        <v>615</v>
      </c>
    </row>
    <row r="94" spans="1:17" s="242" customFormat="1" ht="18.75" customHeight="1" x14ac:dyDescent="0.2">
      <c r="A94" s="339" t="s">
        <v>468</v>
      </c>
      <c r="B94" s="291" t="s">
        <v>521</v>
      </c>
      <c r="C94" s="340" t="s">
        <v>955</v>
      </c>
      <c r="D94" s="341">
        <v>68.852599999999995</v>
      </c>
      <c r="E94" s="322" t="s">
        <v>1051</v>
      </c>
      <c r="F94" s="291" t="s">
        <v>470</v>
      </c>
      <c r="G94" s="291" t="s">
        <v>522</v>
      </c>
      <c r="H94" s="341">
        <v>125.9254062019143</v>
      </c>
      <c r="I94" s="323" t="s">
        <v>1047</v>
      </c>
    </row>
    <row r="95" spans="1:17" s="242" customFormat="1" ht="18.75" customHeight="1" x14ac:dyDescent="0.2">
      <c r="A95" s="339" t="s">
        <v>523</v>
      </c>
      <c r="B95" s="291" t="s">
        <v>524</v>
      </c>
      <c r="C95" s="340" t="s">
        <v>507</v>
      </c>
      <c r="D95" s="341">
        <v>1.7500000000000002E-2</v>
      </c>
      <c r="E95" s="322" t="s">
        <v>1052</v>
      </c>
      <c r="F95" s="291" t="s">
        <v>523</v>
      </c>
      <c r="G95" s="291" t="s">
        <v>652</v>
      </c>
      <c r="H95" s="349">
        <f>D95</f>
        <v>1.7500000000000002E-2</v>
      </c>
      <c r="I95" s="311" t="s">
        <v>615</v>
      </c>
    </row>
    <row r="96" spans="1:17" s="242" customFormat="1" ht="18.75" customHeight="1" x14ac:dyDescent="0.2">
      <c r="A96" s="339" t="s">
        <v>525</v>
      </c>
      <c r="B96" s="291" t="s">
        <v>526</v>
      </c>
      <c r="C96" s="342"/>
      <c r="D96" s="350"/>
      <c r="E96" s="322" t="s">
        <v>527</v>
      </c>
      <c r="F96" s="291" t="s">
        <v>525</v>
      </c>
      <c r="G96" s="291" t="s">
        <v>526</v>
      </c>
      <c r="H96" s="351"/>
      <c r="I96" s="323" t="s">
        <v>653</v>
      </c>
    </row>
    <row r="97" spans="1:9" s="242" customFormat="1" ht="18.75" customHeight="1" x14ac:dyDescent="0.2">
      <c r="A97" s="339" t="s">
        <v>528</v>
      </c>
      <c r="B97" s="291" t="s">
        <v>529</v>
      </c>
      <c r="C97" s="352" t="s">
        <v>507</v>
      </c>
      <c r="D97" s="353">
        <v>3.943E-2</v>
      </c>
      <c r="E97" s="322" t="s">
        <v>1053</v>
      </c>
      <c r="F97" s="291" t="s">
        <v>528</v>
      </c>
      <c r="G97" s="291" t="s">
        <v>529</v>
      </c>
      <c r="H97" s="349">
        <f>D97</f>
        <v>3.943E-2</v>
      </c>
      <c r="I97" s="311" t="s">
        <v>615</v>
      </c>
    </row>
    <row r="98" spans="1:9" s="242" customFormat="1" ht="18.75" customHeight="1" x14ac:dyDescent="0.2">
      <c r="A98" s="339" t="s">
        <v>530</v>
      </c>
      <c r="B98" s="291" t="s">
        <v>531</v>
      </c>
      <c r="C98" s="352" t="s">
        <v>950</v>
      </c>
      <c r="D98" s="353">
        <v>6.63139336492891E-2</v>
      </c>
      <c r="E98" s="322" t="s">
        <v>1053</v>
      </c>
      <c r="F98" s="291" t="s">
        <v>530</v>
      </c>
      <c r="G98" s="291" t="s">
        <v>531</v>
      </c>
      <c r="H98" s="349">
        <f>D98</f>
        <v>6.63139336492891E-2</v>
      </c>
      <c r="I98" s="311" t="s">
        <v>615</v>
      </c>
    </row>
    <row r="99" spans="1:9" s="242" customFormat="1" ht="18.75" customHeight="1" x14ac:dyDescent="0.2">
      <c r="A99" s="339" t="s">
        <v>532</v>
      </c>
      <c r="B99" s="291" t="s">
        <v>533</v>
      </c>
      <c r="C99" s="352" t="s">
        <v>950</v>
      </c>
      <c r="D99" s="353">
        <v>2.54536492890995E-2</v>
      </c>
      <c r="E99" s="322" t="s">
        <v>1053</v>
      </c>
      <c r="F99" s="291" t="s">
        <v>532</v>
      </c>
      <c r="G99" s="291" t="s">
        <v>533</v>
      </c>
      <c r="H99" s="349">
        <f>D99</f>
        <v>2.54536492890995E-2</v>
      </c>
      <c r="I99" s="311" t="s">
        <v>615</v>
      </c>
    </row>
    <row r="100" spans="1:9" s="242" customFormat="1" ht="18.75" customHeight="1" x14ac:dyDescent="0.2">
      <c r="A100" s="339" t="s">
        <v>534</v>
      </c>
      <c r="B100" s="291" t="s">
        <v>535</v>
      </c>
      <c r="C100" s="352" t="s">
        <v>950</v>
      </c>
      <c r="D100" s="353">
        <v>1.4621800947867299E-2</v>
      </c>
      <c r="E100" s="322" t="s">
        <v>1053</v>
      </c>
      <c r="F100" s="291" t="s">
        <v>534</v>
      </c>
      <c r="G100" s="291" t="s">
        <v>535</v>
      </c>
      <c r="H100" s="349">
        <f>D100</f>
        <v>1.4621800947867299E-2</v>
      </c>
      <c r="I100" s="311" t="s">
        <v>615</v>
      </c>
    </row>
    <row r="101" spans="1:9" s="242" customFormat="1" ht="18.75" customHeight="1" x14ac:dyDescent="0.2">
      <c r="A101" s="339" t="s">
        <v>477</v>
      </c>
      <c r="B101" s="291" t="s">
        <v>956</v>
      </c>
      <c r="C101" s="340" t="s">
        <v>950</v>
      </c>
      <c r="D101" s="345">
        <v>9.7600000000000006E-2</v>
      </c>
      <c r="E101" s="322" t="s">
        <v>1054</v>
      </c>
      <c r="F101" s="291" t="s">
        <v>479</v>
      </c>
      <c r="G101" s="291" t="s">
        <v>537</v>
      </c>
      <c r="H101" s="341">
        <v>9.3661470778602887E-2</v>
      </c>
      <c r="I101" s="323" t="s">
        <v>1046</v>
      </c>
    </row>
    <row r="102" spans="1:9" s="242" customFormat="1" ht="18.75" customHeight="1" x14ac:dyDescent="0.2">
      <c r="A102" s="339" t="s">
        <v>536</v>
      </c>
      <c r="B102" s="291" t="s">
        <v>957</v>
      </c>
      <c r="C102" s="340" t="s">
        <v>950</v>
      </c>
      <c r="D102" s="345">
        <v>0.1002</v>
      </c>
      <c r="E102" s="322" t="s">
        <v>1054</v>
      </c>
      <c r="F102" s="291" t="s">
        <v>538</v>
      </c>
      <c r="G102" s="291" t="s">
        <v>539</v>
      </c>
      <c r="H102" s="341">
        <v>8.8216130022388331E-2</v>
      </c>
      <c r="I102" s="323" t="s">
        <v>1046</v>
      </c>
    </row>
    <row r="103" spans="1:9" s="242" customFormat="1" ht="18.75" customHeight="1" x14ac:dyDescent="0.2">
      <c r="A103" s="339" t="s">
        <v>540</v>
      </c>
      <c r="B103" s="291" t="s">
        <v>958</v>
      </c>
      <c r="C103" s="340" t="s">
        <v>959</v>
      </c>
      <c r="D103" s="354">
        <f>$D$107/0.93/1000*3.6</f>
        <v>0.21754838709677421</v>
      </c>
      <c r="E103" s="322" t="s">
        <v>960</v>
      </c>
      <c r="F103" s="291"/>
      <c r="G103" s="318"/>
      <c r="H103" s="318"/>
      <c r="I103" s="323"/>
    </row>
    <row r="104" spans="1:9" s="242" customFormat="1" ht="18.75" customHeight="1" x14ac:dyDescent="0.2">
      <c r="A104" s="339" t="s">
        <v>541</v>
      </c>
      <c r="B104" s="291" t="s">
        <v>961</v>
      </c>
      <c r="C104" s="340" t="s">
        <v>962</v>
      </c>
      <c r="D104" s="354">
        <f>$D$107/0.93/1000*3.6/0.375</f>
        <v>0.58012903225806456</v>
      </c>
      <c r="E104" s="322" t="s">
        <v>963</v>
      </c>
      <c r="F104" s="291"/>
      <c r="G104" s="318"/>
      <c r="H104" s="318"/>
      <c r="I104" s="323"/>
    </row>
    <row r="105" spans="1:9" s="242" customFormat="1" ht="18.75" customHeight="1" x14ac:dyDescent="0.2">
      <c r="A105" s="355" t="s">
        <v>441</v>
      </c>
      <c r="B105" s="318" t="s">
        <v>654</v>
      </c>
      <c r="C105" s="340" t="s">
        <v>964</v>
      </c>
      <c r="D105" s="341">
        <v>4.0000000000000001E-3</v>
      </c>
      <c r="E105" s="322" t="s">
        <v>1055</v>
      </c>
      <c r="F105" s="318" t="s">
        <v>441</v>
      </c>
      <c r="G105" s="318" t="s">
        <v>654</v>
      </c>
      <c r="H105" s="349">
        <f>D105</f>
        <v>4.0000000000000001E-3</v>
      </c>
      <c r="I105" s="311" t="s">
        <v>615</v>
      </c>
    </row>
    <row r="106" spans="1:9" s="242" customFormat="1" ht="18.75" customHeight="1" x14ac:dyDescent="0.2">
      <c r="A106" s="355" t="s">
        <v>965</v>
      </c>
      <c r="B106" s="318" t="s">
        <v>542</v>
      </c>
      <c r="C106" s="340" t="s">
        <v>950</v>
      </c>
      <c r="D106" s="356">
        <v>8.3900000000000002E-2</v>
      </c>
      <c r="E106" s="322" t="s">
        <v>1056</v>
      </c>
      <c r="F106" s="318" t="s">
        <v>480</v>
      </c>
      <c r="G106" s="318" t="s">
        <v>542</v>
      </c>
      <c r="H106" s="349">
        <f>D106</f>
        <v>8.3900000000000002E-2</v>
      </c>
      <c r="I106" s="311" t="s">
        <v>615</v>
      </c>
    </row>
    <row r="107" spans="1:9" s="242" customFormat="1" ht="18.75" customHeight="1" x14ac:dyDescent="0.2">
      <c r="A107" s="355" t="s">
        <v>543</v>
      </c>
      <c r="B107" s="318" t="s">
        <v>544</v>
      </c>
      <c r="C107" s="340" t="s">
        <v>966</v>
      </c>
      <c r="D107" s="356">
        <v>56.2</v>
      </c>
      <c r="E107" s="322" t="s">
        <v>967</v>
      </c>
      <c r="F107" s="291"/>
      <c r="G107" s="318"/>
      <c r="H107" s="318"/>
      <c r="I107" s="323"/>
    </row>
    <row r="108" spans="1:9" s="242" customFormat="1" ht="18.75" customHeight="1" x14ac:dyDescent="0.2">
      <c r="A108" s="355" t="s">
        <v>545</v>
      </c>
      <c r="B108" s="318" t="s">
        <v>546</v>
      </c>
      <c r="C108" s="340" t="s">
        <v>955</v>
      </c>
      <c r="D108" s="357">
        <v>15</v>
      </c>
      <c r="E108" s="322" t="str">
        <f>+"Marktinformatie 2021"</f>
        <v>Marktinformatie 2021</v>
      </c>
      <c r="F108" s="318" t="s">
        <v>545</v>
      </c>
      <c r="G108" s="318" t="s">
        <v>546</v>
      </c>
      <c r="H108" s="358">
        <f>D108</f>
        <v>15</v>
      </c>
      <c r="I108" s="311" t="s">
        <v>615</v>
      </c>
    </row>
    <row r="109" spans="1:9" s="242" customFormat="1" ht="18.75" customHeight="1" x14ac:dyDescent="0.2">
      <c r="A109" s="355" t="s">
        <v>547</v>
      </c>
      <c r="B109" s="318" t="s">
        <v>655</v>
      </c>
      <c r="C109" s="340" t="s">
        <v>955</v>
      </c>
      <c r="D109" s="357">
        <v>12</v>
      </c>
      <c r="E109" s="322" t="s">
        <v>968</v>
      </c>
      <c r="F109" s="318" t="s">
        <v>548</v>
      </c>
      <c r="G109" s="318" t="s">
        <v>656</v>
      </c>
      <c r="H109" s="357">
        <v>15</v>
      </c>
      <c r="I109" s="323" t="s">
        <v>969</v>
      </c>
    </row>
    <row r="110" spans="1:9" s="242" customFormat="1" ht="18.75" customHeight="1" x14ac:dyDescent="0.2">
      <c r="A110" s="355" t="s">
        <v>657</v>
      </c>
      <c r="B110" s="318" t="s">
        <v>658</v>
      </c>
      <c r="C110" s="340"/>
      <c r="D110" s="359">
        <v>0.9</v>
      </c>
      <c r="E110" s="322"/>
      <c r="F110" s="318" t="s">
        <v>657</v>
      </c>
      <c r="G110" s="318" t="s">
        <v>658</v>
      </c>
      <c r="H110" s="360">
        <v>0.9</v>
      </c>
      <c r="I110" s="311" t="s">
        <v>615</v>
      </c>
    </row>
    <row r="111" spans="1:9" s="242" customFormat="1" ht="18.75" customHeight="1" x14ac:dyDescent="0.2">
      <c r="A111" s="355" t="s">
        <v>620</v>
      </c>
      <c r="B111" s="318" t="s">
        <v>970</v>
      </c>
      <c r="C111" s="340" t="s">
        <v>971</v>
      </c>
      <c r="D111" s="361">
        <f>D94/1000*D107*0.0036/D110</f>
        <v>1.5478064480000001E-2</v>
      </c>
      <c r="E111" s="322"/>
      <c r="F111" s="318" t="s">
        <v>621</v>
      </c>
      <c r="G111" s="318" t="s">
        <v>970</v>
      </c>
      <c r="H111" s="361">
        <f>H94/1000*D107*0.0036/H110</f>
        <v>2.8308031314190334E-2</v>
      </c>
      <c r="I111" s="323"/>
    </row>
    <row r="112" spans="1:9" s="242" customFormat="1" ht="18.75" customHeight="1" x14ac:dyDescent="0.2">
      <c r="A112" s="355" t="s">
        <v>659</v>
      </c>
      <c r="B112" s="318" t="s">
        <v>660</v>
      </c>
      <c r="C112" s="340"/>
      <c r="D112" s="359">
        <v>0.3</v>
      </c>
      <c r="E112" s="322"/>
      <c r="F112" s="318" t="s">
        <v>659</v>
      </c>
      <c r="G112" s="318" t="s">
        <v>660</v>
      </c>
      <c r="H112" s="360">
        <f>D112</f>
        <v>0.3</v>
      </c>
      <c r="I112" s="311" t="s">
        <v>615</v>
      </c>
    </row>
    <row r="113" spans="1:9" s="242" customFormat="1" ht="18.75" customHeight="1" x14ac:dyDescent="0.2">
      <c r="A113" s="355" t="s">
        <v>661</v>
      </c>
      <c r="B113" s="318" t="s">
        <v>662</v>
      </c>
      <c r="C113" s="340"/>
      <c r="D113" s="359">
        <v>0.1</v>
      </c>
      <c r="E113" s="322"/>
      <c r="F113" s="318" t="s">
        <v>661</v>
      </c>
      <c r="G113" s="318" t="s">
        <v>662</v>
      </c>
      <c r="H113" s="360">
        <f>D113</f>
        <v>0.1</v>
      </c>
      <c r="I113" s="311" t="s">
        <v>615</v>
      </c>
    </row>
    <row r="114" spans="1:9" s="242" customFormat="1" ht="18.75" customHeight="1" x14ac:dyDescent="0.2">
      <c r="A114" s="355" t="s">
        <v>663</v>
      </c>
      <c r="B114" s="318" t="s">
        <v>664</v>
      </c>
      <c r="C114" s="340"/>
      <c r="D114" s="359">
        <v>0.5</v>
      </c>
      <c r="E114" s="322"/>
      <c r="F114" s="318" t="s">
        <v>663</v>
      </c>
      <c r="G114" s="318" t="s">
        <v>664</v>
      </c>
      <c r="H114" s="360">
        <f>D114</f>
        <v>0.5</v>
      </c>
      <c r="I114" s="311" t="s">
        <v>615</v>
      </c>
    </row>
    <row r="115" spans="1:9" s="242" customFormat="1" ht="18.75" customHeight="1" x14ac:dyDescent="0.2">
      <c r="A115" s="355" t="s">
        <v>665</v>
      </c>
      <c r="B115" s="318" t="s">
        <v>666</v>
      </c>
      <c r="C115" s="340"/>
      <c r="D115" s="359">
        <v>0</v>
      </c>
      <c r="E115" s="322"/>
      <c r="F115" s="318" t="s">
        <v>665</v>
      </c>
      <c r="G115" s="318" t="s">
        <v>666</v>
      </c>
      <c r="H115" s="360">
        <f>D115</f>
        <v>0</v>
      </c>
      <c r="I115" s="311" t="s">
        <v>615</v>
      </c>
    </row>
    <row r="116" spans="1:9" s="242" customFormat="1" ht="18.75" customHeight="1" x14ac:dyDescent="0.2">
      <c r="A116" s="355" t="s">
        <v>667</v>
      </c>
      <c r="B116" s="318" t="s">
        <v>668</v>
      </c>
      <c r="C116" s="342"/>
      <c r="D116" s="350"/>
      <c r="E116" s="322" t="s">
        <v>527</v>
      </c>
      <c r="F116" s="318" t="s">
        <v>667</v>
      </c>
      <c r="G116" s="318" t="s">
        <v>668</v>
      </c>
      <c r="H116" s="350"/>
      <c r="I116" s="323" t="s">
        <v>527</v>
      </c>
    </row>
    <row r="117" spans="1:9" s="242" customFormat="1" ht="18.75" customHeight="1" x14ac:dyDescent="0.2">
      <c r="A117" s="355" t="s">
        <v>669</v>
      </c>
      <c r="B117" s="318" t="s">
        <v>670</v>
      </c>
      <c r="C117" s="340" t="s">
        <v>972</v>
      </c>
      <c r="D117" s="357">
        <v>3.48</v>
      </c>
      <c r="E117" s="322" t="s">
        <v>671</v>
      </c>
      <c r="F117" s="318" t="s">
        <v>669</v>
      </c>
      <c r="G117" s="318" t="s">
        <v>670</v>
      </c>
      <c r="H117" s="362">
        <f>D117</f>
        <v>3.48</v>
      </c>
      <c r="I117" s="311" t="s">
        <v>615</v>
      </c>
    </row>
    <row r="118" spans="1:9" s="242" customFormat="1" ht="18.75" customHeight="1" thickBot="1" x14ac:dyDescent="0.25">
      <c r="A118" s="363" t="s">
        <v>672</v>
      </c>
      <c r="B118" s="320" t="s">
        <v>973</v>
      </c>
      <c r="C118" s="364" t="s">
        <v>974</v>
      </c>
      <c r="D118" s="365">
        <v>0.22900000000000001</v>
      </c>
      <c r="E118" s="325" t="s">
        <v>673</v>
      </c>
      <c r="F118" s="320" t="s">
        <v>672</v>
      </c>
      <c r="G118" s="320" t="s">
        <v>973</v>
      </c>
      <c r="H118" s="366">
        <f>D118</f>
        <v>0.22900000000000001</v>
      </c>
      <c r="I118" s="315" t="s">
        <v>615</v>
      </c>
    </row>
    <row r="119" spans="1:9" ht="18.75" customHeight="1" x14ac:dyDescent="0.2">
      <c r="A119" s="254">
        <v>1</v>
      </c>
      <c r="B119" s="255" t="s">
        <v>674</v>
      </c>
      <c r="C119" s="255"/>
      <c r="D119" s="255"/>
      <c r="E119" s="255"/>
      <c r="F119" s="255"/>
      <c r="G119" s="255"/>
      <c r="H119" s="255"/>
      <c r="I119" s="255"/>
    </row>
    <row r="120" spans="1:9" ht="18.75" customHeight="1" x14ac:dyDescent="0.2">
      <c r="A120" s="254">
        <v>2</v>
      </c>
      <c r="B120" s="249" t="s">
        <v>675</v>
      </c>
    </row>
    <row r="121" spans="1:9" ht="18.75" customHeight="1" x14ac:dyDescent="0.2">
      <c r="A121" s="254">
        <v>3</v>
      </c>
      <c r="B121" s="249" t="s">
        <v>676</v>
      </c>
      <c r="D121" s="256"/>
    </row>
    <row r="122" spans="1:9" ht="18.75" customHeight="1" x14ac:dyDescent="0.2">
      <c r="A122" s="254">
        <v>4</v>
      </c>
      <c r="B122" s="249" t="s">
        <v>677</v>
      </c>
    </row>
    <row r="123" spans="1:9" ht="18.75" customHeight="1" x14ac:dyDescent="0.2">
      <c r="A123" s="254">
        <v>5</v>
      </c>
      <c r="B123" s="249" t="s">
        <v>678</v>
      </c>
    </row>
    <row r="124" spans="1:9" ht="18.75" customHeight="1" x14ac:dyDescent="0.2">
      <c r="A124" s="254">
        <v>6</v>
      </c>
      <c r="B124" s="249" t="s">
        <v>679</v>
      </c>
      <c r="C124" s="255"/>
      <c r="D124" s="255"/>
      <c r="E124" s="255"/>
    </row>
    <row r="125" spans="1:9" ht="18.75" customHeight="1" x14ac:dyDescent="0.2">
      <c r="A125" s="254">
        <v>7</v>
      </c>
      <c r="B125" s="249" t="s">
        <v>680</v>
      </c>
      <c r="C125" s="255"/>
      <c r="D125" s="255"/>
      <c r="E125" s="255"/>
    </row>
    <row r="126" spans="1:9" ht="18.75" customHeight="1" x14ac:dyDescent="0.2">
      <c r="A126" s="254">
        <v>8</v>
      </c>
      <c r="B126" s="249" t="s">
        <v>681</v>
      </c>
      <c r="C126" s="255"/>
      <c r="D126" s="255"/>
      <c r="E126" s="255"/>
    </row>
    <row r="127" spans="1:9" ht="18.75" customHeight="1" x14ac:dyDescent="0.2">
      <c r="A127" s="254">
        <v>9</v>
      </c>
      <c r="B127" s="249" t="s">
        <v>682</v>
      </c>
      <c r="C127" s="255"/>
      <c r="D127" s="255"/>
      <c r="E127" s="255"/>
    </row>
    <row r="128" spans="1:9" ht="18.75" customHeight="1" x14ac:dyDescent="0.2">
      <c r="A128" s="254">
        <v>10</v>
      </c>
      <c r="B128" s="249" t="s">
        <v>683</v>
      </c>
      <c r="C128" s="255"/>
      <c r="D128" s="255"/>
      <c r="E128" s="255"/>
    </row>
    <row r="129" spans="3:5" ht="18.75" customHeight="1" x14ac:dyDescent="0.2">
      <c r="C129" s="255"/>
      <c r="D129" s="255"/>
      <c r="E129" s="255"/>
    </row>
    <row r="130" spans="3:5" ht="18.75" customHeight="1" x14ac:dyDescent="0.2">
      <c r="C130" s="255"/>
      <c r="D130" s="255"/>
      <c r="E130" s="255"/>
    </row>
    <row r="131" spans="3:5" ht="18.75" customHeight="1" x14ac:dyDescent="0.2">
      <c r="C131" s="255"/>
      <c r="D131" s="255"/>
      <c r="E131" s="255"/>
    </row>
    <row r="132" spans="3:5" ht="18.75" customHeight="1" x14ac:dyDescent="0.2">
      <c r="C132" s="255"/>
      <c r="D132" s="255"/>
      <c r="E132" s="255"/>
    </row>
    <row r="133" spans="3:5" ht="18.75" customHeight="1" x14ac:dyDescent="0.2">
      <c r="C133" s="255"/>
      <c r="D133" s="255"/>
      <c r="E133" s="255"/>
    </row>
  </sheetData>
  <mergeCells count="6">
    <mergeCell ref="F50:G50"/>
    <mergeCell ref="D1:E1"/>
    <mergeCell ref="F1:G1"/>
    <mergeCell ref="H1:I1"/>
    <mergeCell ref="F37:G37"/>
    <mergeCell ref="F43:G4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D6676-7CE1-4AF5-844E-5BEDCEC4CDB7}">
  <dimension ref="A1:R238"/>
  <sheetViews>
    <sheetView zoomScale="90" zoomScaleNormal="90" workbookViewId="0">
      <selection activeCell="A104" sqref="A104:D104"/>
    </sheetView>
  </sheetViews>
  <sheetFormatPr defaultRowHeight="15" x14ac:dyDescent="0.25"/>
  <cols>
    <col min="1" max="1" width="79" customWidth="1"/>
    <col min="2" max="2" width="42.5703125" customWidth="1"/>
    <col min="3" max="3" width="57.28515625" customWidth="1"/>
    <col min="4" max="4" width="54.7109375" customWidth="1"/>
    <col min="5" max="5" width="22.42578125" customWidth="1"/>
    <col min="6" max="6" width="70.85546875" customWidth="1"/>
    <col min="7" max="7" width="20.5703125" customWidth="1"/>
    <col min="8" max="8" width="71.42578125" customWidth="1"/>
    <col min="9" max="9" width="55.85546875" customWidth="1"/>
    <col min="10" max="10" width="50" customWidth="1"/>
    <col min="11" max="11" width="40.42578125" customWidth="1"/>
    <col min="257" max="257" width="79" customWidth="1"/>
    <col min="258" max="258" width="42.5703125" customWidth="1"/>
    <col min="259" max="259" width="57.28515625" customWidth="1"/>
    <col min="260" max="260" width="54.7109375" customWidth="1"/>
    <col min="261" max="261" width="22.42578125" customWidth="1"/>
    <col min="262" max="262" width="70.85546875" customWidth="1"/>
    <col min="263" max="263" width="20.5703125" customWidth="1"/>
    <col min="264" max="264" width="71.42578125" customWidth="1"/>
    <col min="265" max="265" width="55.85546875" customWidth="1"/>
    <col min="266" max="266" width="50" customWidth="1"/>
    <col min="267" max="267" width="40.42578125" customWidth="1"/>
    <col min="513" max="513" width="79" customWidth="1"/>
    <col min="514" max="514" width="42.5703125" customWidth="1"/>
    <col min="515" max="515" width="57.28515625" customWidth="1"/>
    <col min="516" max="516" width="54.7109375" customWidth="1"/>
    <col min="517" max="517" width="22.42578125" customWidth="1"/>
    <col min="518" max="518" width="70.85546875" customWidth="1"/>
    <col min="519" max="519" width="20.5703125" customWidth="1"/>
    <col min="520" max="520" width="71.42578125" customWidth="1"/>
    <col min="521" max="521" width="55.85546875" customWidth="1"/>
    <col min="522" max="522" width="50" customWidth="1"/>
    <col min="523" max="523" width="40.42578125" customWidth="1"/>
    <col min="769" max="769" width="79" customWidth="1"/>
    <col min="770" max="770" width="42.5703125" customWidth="1"/>
    <col min="771" max="771" width="57.28515625" customWidth="1"/>
    <col min="772" max="772" width="54.7109375" customWidth="1"/>
    <col min="773" max="773" width="22.42578125" customWidth="1"/>
    <col min="774" max="774" width="70.85546875" customWidth="1"/>
    <col min="775" max="775" width="20.5703125" customWidth="1"/>
    <col min="776" max="776" width="71.42578125" customWidth="1"/>
    <col min="777" max="777" width="55.85546875" customWidth="1"/>
    <col min="778" max="778" width="50" customWidth="1"/>
    <col min="779" max="779" width="40.42578125" customWidth="1"/>
    <col min="1025" max="1025" width="79" customWidth="1"/>
    <col min="1026" max="1026" width="42.5703125" customWidth="1"/>
    <col min="1027" max="1027" width="57.28515625" customWidth="1"/>
    <col min="1028" max="1028" width="54.7109375" customWidth="1"/>
    <col min="1029" max="1029" width="22.42578125" customWidth="1"/>
    <col min="1030" max="1030" width="70.85546875" customWidth="1"/>
    <col min="1031" max="1031" width="20.5703125" customWidth="1"/>
    <col min="1032" max="1032" width="71.42578125" customWidth="1"/>
    <col min="1033" max="1033" width="55.85546875" customWidth="1"/>
    <col min="1034" max="1034" width="50" customWidth="1"/>
    <col min="1035" max="1035" width="40.42578125" customWidth="1"/>
    <col min="1281" max="1281" width="79" customWidth="1"/>
    <col min="1282" max="1282" width="42.5703125" customWidth="1"/>
    <col min="1283" max="1283" width="57.28515625" customWidth="1"/>
    <col min="1284" max="1284" width="54.7109375" customWidth="1"/>
    <col min="1285" max="1285" width="22.42578125" customWidth="1"/>
    <col min="1286" max="1286" width="70.85546875" customWidth="1"/>
    <col min="1287" max="1287" width="20.5703125" customWidth="1"/>
    <col min="1288" max="1288" width="71.42578125" customWidth="1"/>
    <col min="1289" max="1289" width="55.85546875" customWidth="1"/>
    <col min="1290" max="1290" width="50" customWidth="1"/>
    <col min="1291" max="1291" width="40.42578125" customWidth="1"/>
    <col min="1537" max="1537" width="79" customWidth="1"/>
    <col min="1538" max="1538" width="42.5703125" customWidth="1"/>
    <col min="1539" max="1539" width="57.28515625" customWidth="1"/>
    <col min="1540" max="1540" width="54.7109375" customWidth="1"/>
    <col min="1541" max="1541" width="22.42578125" customWidth="1"/>
    <col min="1542" max="1542" width="70.85546875" customWidth="1"/>
    <col min="1543" max="1543" width="20.5703125" customWidth="1"/>
    <col min="1544" max="1544" width="71.42578125" customWidth="1"/>
    <col min="1545" max="1545" width="55.85546875" customWidth="1"/>
    <col min="1546" max="1546" width="50" customWidth="1"/>
    <col min="1547" max="1547" width="40.42578125" customWidth="1"/>
    <col min="1793" max="1793" width="79" customWidth="1"/>
    <col min="1794" max="1794" width="42.5703125" customWidth="1"/>
    <col min="1795" max="1795" width="57.28515625" customWidth="1"/>
    <col min="1796" max="1796" width="54.7109375" customWidth="1"/>
    <col min="1797" max="1797" width="22.42578125" customWidth="1"/>
    <col min="1798" max="1798" width="70.85546875" customWidth="1"/>
    <col min="1799" max="1799" width="20.5703125" customWidth="1"/>
    <col min="1800" max="1800" width="71.42578125" customWidth="1"/>
    <col min="1801" max="1801" width="55.85546875" customWidth="1"/>
    <col min="1802" max="1802" width="50" customWidth="1"/>
    <col min="1803" max="1803" width="40.42578125" customWidth="1"/>
    <col min="2049" max="2049" width="79" customWidth="1"/>
    <col min="2050" max="2050" width="42.5703125" customWidth="1"/>
    <col min="2051" max="2051" width="57.28515625" customWidth="1"/>
    <col min="2052" max="2052" width="54.7109375" customWidth="1"/>
    <col min="2053" max="2053" width="22.42578125" customWidth="1"/>
    <col min="2054" max="2054" width="70.85546875" customWidth="1"/>
    <col min="2055" max="2055" width="20.5703125" customWidth="1"/>
    <col min="2056" max="2056" width="71.42578125" customWidth="1"/>
    <col min="2057" max="2057" width="55.85546875" customWidth="1"/>
    <col min="2058" max="2058" width="50" customWidth="1"/>
    <col min="2059" max="2059" width="40.42578125" customWidth="1"/>
    <col min="2305" max="2305" width="79" customWidth="1"/>
    <col min="2306" max="2306" width="42.5703125" customWidth="1"/>
    <col min="2307" max="2307" width="57.28515625" customWidth="1"/>
    <col min="2308" max="2308" width="54.7109375" customWidth="1"/>
    <col min="2309" max="2309" width="22.42578125" customWidth="1"/>
    <col min="2310" max="2310" width="70.85546875" customWidth="1"/>
    <col min="2311" max="2311" width="20.5703125" customWidth="1"/>
    <col min="2312" max="2312" width="71.42578125" customWidth="1"/>
    <col min="2313" max="2313" width="55.85546875" customWidth="1"/>
    <col min="2314" max="2314" width="50" customWidth="1"/>
    <col min="2315" max="2315" width="40.42578125" customWidth="1"/>
    <col min="2561" max="2561" width="79" customWidth="1"/>
    <col min="2562" max="2562" width="42.5703125" customWidth="1"/>
    <col min="2563" max="2563" width="57.28515625" customWidth="1"/>
    <col min="2564" max="2564" width="54.7109375" customWidth="1"/>
    <col min="2565" max="2565" width="22.42578125" customWidth="1"/>
    <col min="2566" max="2566" width="70.85546875" customWidth="1"/>
    <col min="2567" max="2567" width="20.5703125" customWidth="1"/>
    <col min="2568" max="2568" width="71.42578125" customWidth="1"/>
    <col min="2569" max="2569" width="55.85546875" customWidth="1"/>
    <col min="2570" max="2570" width="50" customWidth="1"/>
    <col min="2571" max="2571" width="40.42578125" customWidth="1"/>
    <col min="2817" max="2817" width="79" customWidth="1"/>
    <col min="2818" max="2818" width="42.5703125" customWidth="1"/>
    <col min="2819" max="2819" width="57.28515625" customWidth="1"/>
    <col min="2820" max="2820" width="54.7109375" customWidth="1"/>
    <col min="2821" max="2821" width="22.42578125" customWidth="1"/>
    <col min="2822" max="2822" width="70.85546875" customWidth="1"/>
    <col min="2823" max="2823" width="20.5703125" customWidth="1"/>
    <col min="2824" max="2824" width="71.42578125" customWidth="1"/>
    <col min="2825" max="2825" width="55.85546875" customWidth="1"/>
    <col min="2826" max="2826" width="50" customWidth="1"/>
    <col min="2827" max="2827" width="40.42578125" customWidth="1"/>
    <col min="3073" max="3073" width="79" customWidth="1"/>
    <col min="3074" max="3074" width="42.5703125" customWidth="1"/>
    <col min="3075" max="3075" width="57.28515625" customWidth="1"/>
    <col min="3076" max="3076" width="54.7109375" customWidth="1"/>
    <col min="3077" max="3077" width="22.42578125" customWidth="1"/>
    <col min="3078" max="3078" width="70.85546875" customWidth="1"/>
    <col min="3079" max="3079" width="20.5703125" customWidth="1"/>
    <col min="3080" max="3080" width="71.42578125" customWidth="1"/>
    <col min="3081" max="3081" width="55.85546875" customWidth="1"/>
    <col min="3082" max="3082" width="50" customWidth="1"/>
    <col min="3083" max="3083" width="40.42578125" customWidth="1"/>
    <col min="3329" max="3329" width="79" customWidth="1"/>
    <col min="3330" max="3330" width="42.5703125" customWidth="1"/>
    <col min="3331" max="3331" width="57.28515625" customWidth="1"/>
    <col min="3332" max="3332" width="54.7109375" customWidth="1"/>
    <col min="3333" max="3333" width="22.42578125" customWidth="1"/>
    <col min="3334" max="3334" width="70.85546875" customWidth="1"/>
    <col min="3335" max="3335" width="20.5703125" customWidth="1"/>
    <col min="3336" max="3336" width="71.42578125" customWidth="1"/>
    <col min="3337" max="3337" width="55.85546875" customWidth="1"/>
    <col min="3338" max="3338" width="50" customWidth="1"/>
    <col min="3339" max="3339" width="40.42578125" customWidth="1"/>
    <col min="3585" max="3585" width="79" customWidth="1"/>
    <col min="3586" max="3586" width="42.5703125" customWidth="1"/>
    <col min="3587" max="3587" width="57.28515625" customWidth="1"/>
    <col min="3588" max="3588" width="54.7109375" customWidth="1"/>
    <col min="3589" max="3589" width="22.42578125" customWidth="1"/>
    <col min="3590" max="3590" width="70.85546875" customWidth="1"/>
    <col min="3591" max="3591" width="20.5703125" customWidth="1"/>
    <col min="3592" max="3592" width="71.42578125" customWidth="1"/>
    <col min="3593" max="3593" width="55.85546875" customWidth="1"/>
    <col min="3594" max="3594" width="50" customWidth="1"/>
    <col min="3595" max="3595" width="40.42578125" customWidth="1"/>
    <col min="3841" max="3841" width="79" customWidth="1"/>
    <col min="3842" max="3842" width="42.5703125" customWidth="1"/>
    <col min="3843" max="3843" width="57.28515625" customWidth="1"/>
    <col min="3844" max="3844" width="54.7109375" customWidth="1"/>
    <col min="3845" max="3845" width="22.42578125" customWidth="1"/>
    <col min="3846" max="3846" width="70.85546875" customWidth="1"/>
    <col min="3847" max="3847" width="20.5703125" customWidth="1"/>
    <col min="3848" max="3848" width="71.42578125" customWidth="1"/>
    <col min="3849" max="3849" width="55.85546875" customWidth="1"/>
    <col min="3850" max="3850" width="50" customWidth="1"/>
    <col min="3851" max="3851" width="40.42578125" customWidth="1"/>
    <col min="4097" max="4097" width="79" customWidth="1"/>
    <col min="4098" max="4098" width="42.5703125" customWidth="1"/>
    <col min="4099" max="4099" width="57.28515625" customWidth="1"/>
    <col min="4100" max="4100" width="54.7109375" customWidth="1"/>
    <col min="4101" max="4101" width="22.42578125" customWidth="1"/>
    <col min="4102" max="4102" width="70.85546875" customWidth="1"/>
    <col min="4103" max="4103" width="20.5703125" customWidth="1"/>
    <col min="4104" max="4104" width="71.42578125" customWidth="1"/>
    <col min="4105" max="4105" width="55.85546875" customWidth="1"/>
    <col min="4106" max="4106" width="50" customWidth="1"/>
    <col min="4107" max="4107" width="40.42578125" customWidth="1"/>
    <col min="4353" max="4353" width="79" customWidth="1"/>
    <col min="4354" max="4354" width="42.5703125" customWidth="1"/>
    <col min="4355" max="4355" width="57.28515625" customWidth="1"/>
    <col min="4356" max="4356" width="54.7109375" customWidth="1"/>
    <col min="4357" max="4357" width="22.42578125" customWidth="1"/>
    <col min="4358" max="4358" width="70.85546875" customWidth="1"/>
    <col min="4359" max="4359" width="20.5703125" customWidth="1"/>
    <col min="4360" max="4360" width="71.42578125" customWidth="1"/>
    <col min="4361" max="4361" width="55.85546875" customWidth="1"/>
    <col min="4362" max="4362" width="50" customWidth="1"/>
    <col min="4363" max="4363" width="40.42578125" customWidth="1"/>
    <col min="4609" max="4609" width="79" customWidth="1"/>
    <col min="4610" max="4610" width="42.5703125" customWidth="1"/>
    <col min="4611" max="4611" width="57.28515625" customWidth="1"/>
    <col min="4612" max="4612" width="54.7109375" customWidth="1"/>
    <col min="4613" max="4613" width="22.42578125" customWidth="1"/>
    <col min="4614" max="4614" width="70.85546875" customWidth="1"/>
    <col min="4615" max="4615" width="20.5703125" customWidth="1"/>
    <col min="4616" max="4616" width="71.42578125" customWidth="1"/>
    <col min="4617" max="4617" width="55.85546875" customWidth="1"/>
    <col min="4618" max="4618" width="50" customWidth="1"/>
    <col min="4619" max="4619" width="40.42578125" customWidth="1"/>
    <col min="4865" max="4865" width="79" customWidth="1"/>
    <col min="4866" max="4866" width="42.5703125" customWidth="1"/>
    <col min="4867" max="4867" width="57.28515625" customWidth="1"/>
    <col min="4868" max="4868" width="54.7109375" customWidth="1"/>
    <col min="4869" max="4869" width="22.42578125" customWidth="1"/>
    <col min="4870" max="4870" width="70.85546875" customWidth="1"/>
    <col min="4871" max="4871" width="20.5703125" customWidth="1"/>
    <col min="4872" max="4872" width="71.42578125" customWidth="1"/>
    <col min="4873" max="4873" width="55.85546875" customWidth="1"/>
    <col min="4874" max="4874" width="50" customWidth="1"/>
    <col min="4875" max="4875" width="40.42578125" customWidth="1"/>
    <col min="5121" max="5121" width="79" customWidth="1"/>
    <col min="5122" max="5122" width="42.5703125" customWidth="1"/>
    <col min="5123" max="5123" width="57.28515625" customWidth="1"/>
    <col min="5124" max="5124" width="54.7109375" customWidth="1"/>
    <col min="5125" max="5125" width="22.42578125" customWidth="1"/>
    <col min="5126" max="5126" width="70.85546875" customWidth="1"/>
    <col min="5127" max="5127" width="20.5703125" customWidth="1"/>
    <col min="5128" max="5128" width="71.42578125" customWidth="1"/>
    <col min="5129" max="5129" width="55.85546875" customWidth="1"/>
    <col min="5130" max="5130" width="50" customWidth="1"/>
    <col min="5131" max="5131" width="40.42578125" customWidth="1"/>
    <col min="5377" max="5377" width="79" customWidth="1"/>
    <col min="5378" max="5378" width="42.5703125" customWidth="1"/>
    <col min="5379" max="5379" width="57.28515625" customWidth="1"/>
    <col min="5380" max="5380" width="54.7109375" customWidth="1"/>
    <col min="5381" max="5381" width="22.42578125" customWidth="1"/>
    <col min="5382" max="5382" width="70.85546875" customWidth="1"/>
    <col min="5383" max="5383" width="20.5703125" customWidth="1"/>
    <col min="5384" max="5384" width="71.42578125" customWidth="1"/>
    <col min="5385" max="5385" width="55.85546875" customWidth="1"/>
    <col min="5386" max="5386" width="50" customWidth="1"/>
    <col min="5387" max="5387" width="40.42578125" customWidth="1"/>
    <col min="5633" max="5633" width="79" customWidth="1"/>
    <col min="5634" max="5634" width="42.5703125" customWidth="1"/>
    <col min="5635" max="5635" width="57.28515625" customWidth="1"/>
    <col min="5636" max="5636" width="54.7109375" customWidth="1"/>
    <col min="5637" max="5637" width="22.42578125" customWidth="1"/>
    <col min="5638" max="5638" width="70.85546875" customWidth="1"/>
    <col min="5639" max="5639" width="20.5703125" customWidth="1"/>
    <col min="5640" max="5640" width="71.42578125" customWidth="1"/>
    <col min="5641" max="5641" width="55.85546875" customWidth="1"/>
    <col min="5642" max="5642" width="50" customWidth="1"/>
    <col min="5643" max="5643" width="40.42578125" customWidth="1"/>
    <col min="5889" max="5889" width="79" customWidth="1"/>
    <col min="5890" max="5890" width="42.5703125" customWidth="1"/>
    <col min="5891" max="5891" width="57.28515625" customWidth="1"/>
    <col min="5892" max="5892" width="54.7109375" customWidth="1"/>
    <col min="5893" max="5893" width="22.42578125" customWidth="1"/>
    <col min="5894" max="5894" width="70.85546875" customWidth="1"/>
    <col min="5895" max="5895" width="20.5703125" customWidth="1"/>
    <col min="5896" max="5896" width="71.42578125" customWidth="1"/>
    <col min="5897" max="5897" width="55.85546875" customWidth="1"/>
    <col min="5898" max="5898" width="50" customWidth="1"/>
    <col min="5899" max="5899" width="40.42578125" customWidth="1"/>
    <col min="6145" max="6145" width="79" customWidth="1"/>
    <col min="6146" max="6146" width="42.5703125" customWidth="1"/>
    <col min="6147" max="6147" width="57.28515625" customWidth="1"/>
    <col min="6148" max="6148" width="54.7109375" customWidth="1"/>
    <col min="6149" max="6149" width="22.42578125" customWidth="1"/>
    <col min="6150" max="6150" width="70.85546875" customWidth="1"/>
    <col min="6151" max="6151" width="20.5703125" customWidth="1"/>
    <col min="6152" max="6152" width="71.42578125" customWidth="1"/>
    <col min="6153" max="6153" width="55.85546875" customWidth="1"/>
    <col min="6154" max="6154" width="50" customWidth="1"/>
    <col min="6155" max="6155" width="40.42578125" customWidth="1"/>
    <col min="6401" max="6401" width="79" customWidth="1"/>
    <col min="6402" max="6402" width="42.5703125" customWidth="1"/>
    <col min="6403" max="6403" width="57.28515625" customWidth="1"/>
    <col min="6404" max="6404" width="54.7109375" customWidth="1"/>
    <col min="6405" max="6405" width="22.42578125" customWidth="1"/>
    <col min="6406" max="6406" width="70.85546875" customWidth="1"/>
    <col min="6407" max="6407" width="20.5703125" customWidth="1"/>
    <col min="6408" max="6408" width="71.42578125" customWidth="1"/>
    <col min="6409" max="6409" width="55.85546875" customWidth="1"/>
    <col min="6410" max="6410" width="50" customWidth="1"/>
    <col min="6411" max="6411" width="40.42578125" customWidth="1"/>
    <col min="6657" max="6657" width="79" customWidth="1"/>
    <col min="6658" max="6658" width="42.5703125" customWidth="1"/>
    <col min="6659" max="6659" width="57.28515625" customWidth="1"/>
    <col min="6660" max="6660" width="54.7109375" customWidth="1"/>
    <col min="6661" max="6661" width="22.42578125" customWidth="1"/>
    <col min="6662" max="6662" width="70.85546875" customWidth="1"/>
    <col min="6663" max="6663" width="20.5703125" customWidth="1"/>
    <col min="6664" max="6664" width="71.42578125" customWidth="1"/>
    <col min="6665" max="6665" width="55.85546875" customWidth="1"/>
    <col min="6666" max="6666" width="50" customWidth="1"/>
    <col min="6667" max="6667" width="40.42578125" customWidth="1"/>
    <col min="6913" max="6913" width="79" customWidth="1"/>
    <col min="6914" max="6914" width="42.5703125" customWidth="1"/>
    <col min="6915" max="6915" width="57.28515625" customWidth="1"/>
    <col min="6916" max="6916" width="54.7109375" customWidth="1"/>
    <col min="6917" max="6917" width="22.42578125" customWidth="1"/>
    <col min="6918" max="6918" width="70.85546875" customWidth="1"/>
    <col min="6919" max="6919" width="20.5703125" customWidth="1"/>
    <col min="6920" max="6920" width="71.42578125" customWidth="1"/>
    <col min="6921" max="6921" width="55.85546875" customWidth="1"/>
    <col min="6922" max="6922" width="50" customWidth="1"/>
    <col min="6923" max="6923" width="40.42578125" customWidth="1"/>
    <col min="7169" max="7169" width="79" customWidth="1"/>
    <col min="7170" max="7170" width="42.5703125" customWidth="1"/>
    <col min="7171" max="7171" width="57.28515625" customWidth="1"/>
    <col min="7172" max="7172" width="54.7109375" customWidth="1"/>
    <col min="7173" max="7173" width="22.42578125" customWidth="1"/>
    <col min="7174" max="7174" width="70.85546875" customWidth="1"/>
    <col min="7175" max="7175" width="20.5703125" customWidth="1"/>
    <col min="7176" max="7176" width="71.42578125" customWidth="1"/>
    <col min="7177" max="7177" width="55.85546875" customWidth="1"/>
    <col min="7178" max="7178" width="50" customWidth="1"/>
    <col min="7179" max="7179" width="40.42578125" customWidth="1"/>
    <col min="7425" max="7425" width="79" customWidth="1"/>
    <col min="7426" max="7426" width="42.5703125" customWidth="1"/>
    <col min="7427" max="7427" width="57.28515625" customWidth="1"/>
    <col min="7428" max="7428" width="54.7109375" customWidth="1"/>
    <col min="7429" max="7429" width="22.42578125" customWidth="1"/>
    <col min="7430" max="7430" width="70.85546875" customWidth="1"/>
    <col min="7431" max="7431" width="20.5703125" customWidth="1"/>
    <col min="7432" max="7432" width="71.42578125" customWidth="1"/>
    <col min="7433" max="7433" width="55.85546875" customWidth="1"/>
    <col min="7434" max="7434" width="50" customWidth="1"/>
    <col min="7435" max="7435" width="40.42578125" customWidth="1"/>
    <col min="7681" max="7681" width="79" customWidth="1"/>
    <col min="7682" max="7682" width="42.5703125" customWidth="1"/>
    <col min="7683" max="7683" width="57.28515625" customWidth="1"/>
    <col min="7684" max="7684" width="54.7109375" customWidth="1"/>
    <col min="7685" max="7685" width="22.42578125" customWidth="1"/>
    <col min="7686" max="7686" width="70.85546875" customWidth="1"/>
    <col min="7687" max="7687" width="20.5703125" customWidth="1"/>
    <col min="7688" max="7688" width="71.42578125" customWidth="1"/>
    <col min="7689" max="7689" width="55.85546875" customWidth="1"/>
    <col min="7690" max="7690" width="50" customWidth="1"/>
    <col min="7691" max="7691" width="40.42578125" customWidth="1"/>
    <col min="7937" max="7937" width="79" customWidth="1"/>
    <col min="7938" max="7938" width="42.5703125" customWidth="1"/>
    <col min="7939" max="7939" width="57.28515625" customWidth="1"/>
    <col min="7940" max="7940" width="54.7109375" customWidth="1"/>
    <col min="7941" max="7941" width="22.42578125" customWidth="1"/>
    <col min="7942" max="7942" width="70.85546875" customWidth="1"/>
    <col min="7943" max="7943" width="20.5703125" customWidth="1"/>
    <col min="7944" max="7944" width="71.42578125" customWidth="1"/>
    <col min="7945" max="7945" width="55.85546875" customWidth="1"/>
    <col min="7946" max="7946" width="50" customWidth="1"/>
    <col min="7947" max="7947" width="40.42578125" customWidth="1"/>
    <col min="8193" max="8193" width="79" customWidth="1"/>
    <col min="8194" max="8194" width="42.5703125" customWidth="1"/>
    <col min="8195" max="8195" width="57.28515625" customWidth="1"/>
    <col min="8196" max="8196" width="54.7109375" customWidth="1"/>
    <col min="8197" max="8197" width="22.42578125" customWidth="1"/>
    <col min="8198" max="8198" width="70.85546875" customWidth="1"/>
    <col min="8199" max="8199" width="20.5703125" customWidth="1"/>
    <col min="8200" max="8200" width="71.42578125" customWidth="1"/>
    <col min="8201" max="8201" width="55.85546875" customWidth="1"/>
    <col min="8202" max="8202" width="50" customWidth="1"/>
    <col min="8203" max="8203" width="40.42578125" customWidth="1"/>
    <col min="8449" max="8449" width="79" customWidth="1"/>
    <col min="8450" max="8450" width="42.5703125" customWidth="1"/>
    <col min="8451" max="8451" width="57.28515625" customWidth="1"/>
    <col min="8452" max="8452" width="54.7109375" customWidth="1"/>
    <col min="8453" max="8453" width="22.42578125" customWidth="1"/>
    <col min="8454" max="8454" width="70.85546875" customWidth="1"/>
    <col min="8455" max="8455" width="20.5703125" customWidth="1"/>
    <col min="8456" max="8456" width="71.42578125" customWidth="1"/>
    <col min="8457" max="8457" width="55.85546875" customWidth="1"/>
    <col min="8458" max="8458" width="50" customWidth="1"/>
    <col min="8459" max="8459" width="40.42578125" customWidth="1"/>
    <col min="8705" max="8705" width="79" customWidth="1"/>
    <col min="8706" max="8706" width="42.5703125" customWidth="1"/>
    <col min="8707" max="8707" width="57.28515625" customWidth="1"/>
    <col min="8708" max="8708" width="54.7109375" customWidth="1"/>
    <col min="8709" max="8709" width="22.42578125" customWidth="1"/>
    <col min="8710" max="8710" width="70.85546875" customWidth="1"/>
    <col min="8711" max="8711" width="20.5703125" customWidth="1"/>
    <col min="8712" max="8712" width="71.42578125" customWidth="1"/>
    <col min="8713" max="8713" width="55.85546875" customWidth="1"/>
    <col min="8714" max="8714" width="50" customWidth="1"/>
    <col min="8715" max="8715" width="40.42578125" customWidth="1"/>
    <col min="8961" max="8961" width="79" customWidth="1"/>
    <col min="8962" max="8962" width="42.5703125" customWidth="1"/>
    <col min="8963" max="8963" width="57.28515625" customWidth="1"/>
    <col min="8964" max="8964" width="54.7109375" customWidth="1"/>
    <col min="8965" max="8965" width="22.42578125" customWidth="1"/>
    <col min="8966" max="8966" width="70.85546875" customWidth="1"/>
    <col min="8967" max="8967" width="20.5703125" customWidth="1"/>
    <col min="8968" max="8968" width="71.42578125" customWidth="1"/>
    <col min="8969" max="8969" width="55.85546875" customWidth="1"/>
    <col min="8970" max="8970" width="50" customWidth="1"/>
    <col min="8971" max="8971" width="40.42578125" customWidth="1"/>
    <col min="9217" max="9217" width="79" customWidth="1"/>
    <col min="9218" max="9218" width="42.5703125" customWidth="1"/>
    <col min="9219" max="9219" width="57.28515625" customWidth="1"/>
    <col min="9220" max="9220" width="54.7109375" customWidth="1"/>
    <col min="9221" max="9221" width="22.42578125" customWidth="1"/>
    <col min="9222" max="9222" width="70.85546875" customWidth="1"/>
    <col min="9223" max="9223" width="20.5703125" customWidth="1"/>
    <col min="9224" max="9224" width="71.42578125" customWidth="1"/>
    <col min="9225" max="9225" width="55.85546875" customWidth="1"/>
    <col min="9226" max="9226" width="50" customWidth="1"/>
    <col min="9227" max="9227" width="40.42578125" customWidth="1"/>
    <col min="9473" max="9473" width="79" customWidth="1"/>
    <col min="9474" max="9474" width="42.5703125" customWidth="1"/>
    <col min="9475" max="9475" width="57.28515625" customWidth="1"/>
    <col min="9476" max="9476" width="54.7109375" customWidth="1"/>
    <col min="9477" max="9477" width="22.42578125" customWidth="1"/>
    <col min="9478" max="9478" width="70.85546875" customWidth="1"/>
    <col min="9479" max="9479" width="20.5703125" customWidth="1"/>
    <col min="9480" max="9480" width="71.42578125" customWidth="1"/>
    <col min="9481" max="9481" width="55.85546875" customWidth="1"/>
    <col min="9482" max="9482" width="50" customWidth="1"/>
    <col min="9483" max="9483" width="40.42578125" customWidth="1"/>
    <col min="9729" max="9729" width="79" customWidth="1"/>
    <col min="9730" max="9730" width="42.5703125" customWidth="1"/>
    <col min="9731" max="9731" width="57.28515625" customWidth="1"/>
    <col min="9732" max="9732" width="54.7109375" customWidth="1"/>
    <col min="9733" max="9733" width="22.42578125" customWidth="1"/>
    <col min="9734" max="9734" width="70.85546875" customWidth="1"/>
    <col min="9735" max="9735" width="20.5703125" customWidth="1"/>
    <col min="9736" max="9736" width="71.42578125" customWidth="1"/>
    <col min="9737" max="9737" width="55.85546875" customWidth="1"/>
    <col min="9738" max="9738" width="50" customWidth="1"/>
    <col min="9739" max="9739" width="40.42578125" customWidth="1"/>
    <col min="9985" max="9985" width="79" customWidth="1"/>
    <col min="9986" max="9986" width="42.5703125" customWidth="1"/>
    <col min="9987" max="9987" width="57.28515625" customWidth="1"/>
    <col min="9988" max="9988" width="54.7109375" customWidth="1"/>
    <col min="9989" max="9989" width="22.42578125" customWidth="1"/>
    <col min="9990" max="9990" width="70.85546875" customWidth="1"/>
    <col min="9991" max="9991" width="20.5703125" customWidth="1"/>
    <col min="9992" max="9992" width="71.42578125" customWidth="1"/>
    <col min="9993" max="9993" width="55.85546875" customWidth="1"/>
    <col min="9994" max="9994" width="50" customWidth="1"/>
    <col min="9995" max="9995" width="40.42578125" customWidth="1"/>
    <col min="10241" max="10241" width="79" customWidth="1"/>
    <col min="10242" max="10242" width="42.5703125" customWidth="1"/>
    <col min="10243" max="10243" width="57.28515625" customWidth="1"/>
    <col min="10244" max="10244" width="54.7109375" customWidth="1"/>
    <col min="10245" max="10245" width="22.42578125" customWidth="1"/>
    <col min="10246" max="10246" width="70.85546875" customWidth="1"/>
    <col min="10247" max="10247" width="20.5703125" customWidth="1"/>
    <col min="10248" max="10248" width="71.42578125" customWidth="1"/>
    <col min="10249" max="10249" width="55.85546875" customWidth="1"/>
    <col min="10250" max="10250" width="50" customWidth="1"/>
    <col min="10251" max="10251" width="40.42578125" customWidth="1"/>
    <col min="10497" max="10497" width="79" customWidth="1"/>
    <col min="10498" max="10498" width="42.5703125" customWidth="1"/>
    <col min="10499" max="10499" width="57.28515625" customWidth="1"/>
    <col min="10500" max="10500" width="54.7109375" customWidth="1"/>
    <col min="10501" max="10501" width="22.42578125" customWidth="1"/>
    <col min="10502" max="10502" width="70.85546875" customWidth="1"/>
    <col min="10503" max="10503" width="20.5703125" customWidth="1"/>
    <col min="10504" max="10504" width="71.42578125" customWidth="1"/>
    <col min="10505" max="10505" width="55.85546875" customWidth="1"/>
    <col min="10506" max="10506" width="50" customWidth="1"/>
    <col min="10507" max="10507" width="40.42578125" customWidth="1"/>
    <col min="10753" max="10753" width="79" customWidth="1"/>
    <col min="10754" max="10754" width="42.5703125" customWidth="1"/>
    <col min="10755" max="10755" width="57.28515625" customWidth="1"/>
    <col min="10756" max="10756" width="54.7109375" customWidth="1"/>
    <col min="10757" max="10757" width="22.42578125" customWidth="1"/>
    <col min="10758" max="10758" width="70.85546875" customWidth="1"/>
    <col min="10759" max="10759" width="20.5703125" customWidth="1"/>
    <col min="10760" max="10760" width="71.42578125" customWidth="1"/>
    <col min="10761" max="10761" width="55.85546875" customWidth="1"/>
    <col min="10762" max="10762" width="50" customWidth="1"/>
    <col min="10763" max="10763" width="40.42578125" customWidth="1"/>
    <col min="11009" max="11009" width="79" customWidth="1"/>
    <col min="11010" max="11010" width="42.5703125" customWidth="1"/>
    <col min="11011" max="11011" width="57.28515625" customWidth="1"/>
    <col min="11012" max="11012" width="54.7109375" customWidth="1"/>
    <col min="11013" max="11013" width="22.42578125" customWidth="1"/>
    <col min="11014" max="11014" width="70.85546875" customWidth="1"/>
    <col min="11015" max="11015" width="20.5703125" customWidth="1"/>
    <col min="11016" max="11016" width="71.42578125" customWidth="1"/>
    <col min="11017" max="11017" width="55.85546875" customWidth="1"/>
    <col min="11018" max="11018" width="50" customWidth="1"/>
    <col min="11019" max="11019" width="40.42578125" customWidth="1"/>
    <col min="11265" max="11265" width="79" customWidth="1"/>
    <col min="11266" max="11266" width="42.5703125" customWidth="1"/>
    <col min="11267" max="11267" width="57.28515625" customWidth="1"/>
    <col min="11268" max="11268" width="54.7109375" customWidth="1"/>
    <col min="11269" max="11269" width="22.42578125" customWidth="1"/>
    <col min="11270" max="11270" width="70.85546875" customWidth="1"/>
    <col min="11271" max="11271" width="20.5703125" customWidth="1"/>
    <col min="11272" max="11272" width="71.42578125" customWidth="1"/>
    <col min="11273" max="11273" width="55.85546875" customWidth="1"/>
    <col min="11274" max="11274" width="50" customWidth="1"/>
    <col min="11275" max="11275" width="40.42578125" customWidth="1"/>
    <col min="11521" max="11521" width="79" customWidth="1"/>
    <col min="11522" max="11522" width="42.5703125" customWidth="1"/>
    <col min="11523" max="11523" width="57.28515625" customWidth="1"/>
    <col min="11524" max="11524" width="54.7109375" customWidth="1"/>
    <col min="11525" max="11525" width="22.42578125" customWidth="1"/>
    <col min="11526" max="11526" width="70.85546875" customWidth="1"/>
    <col min="11527" max="11527" width="20.5703125" customWidth="1"/>
    <col min="11528" max="11528" width="71.42578125" customWidth="1"/>
    <col min="11529" max="11529" width="55.85546875" customWidth="1"/>
    <col min="11530" max="11530" width="50" customWidth="1"/>
    <col min="11531" max="11531" width="40.42578125" customWidth="1"/>
    <col min="11777" max="11777" width="79" customWidth="1"/>
    <col min="11778" max="11778" width="42.5703125" customWidth="1"/>
    <col min="11779" max="11779" width="57.28515625" customWidth="1"/>
    <col min="11780" max="11780" width="54.7109375" customWidth="1"/>
    <col min="11781" max="11781" width="22.42578125" customWidth="1"/>
    <col min="11782" max="11782" width="70.85546875" customWidth="1"/>
    <col min="11783" max="11783" width="20.5703125" customWidth="1"/>
    <col min="11784" max="11784" width="71.42578125" customWidth="1"/>
    <col min="11785" max="11785" width="55.85546875" customWidth="1"/>
    <col min="11786" max="11786" width="50" customWidth="1"/>
    <col min="11787" max="11787" width="40.42578125" customWidth="1"/>
    <col min="12033" max="12033" width="79" customWidth="1"/>
    <col min="12034" max="12034" width="42.5703125" customWidth="1"/>
    <col min="12035" max="12035" width="57.28515625" customWidth="1"/>
    <col min="12036" max="12036" width="54.7109375" customWidth="1"/>
    <col min="12037" max="12037" width="22.42578125" customWidth="1"/>
    <col min="12038" max="12038" width="70.85546875" customWidth="1"/>
    <col min="12039" max="12039" width="20.5703125" customWidth="1"/>
    <col min="12040" max="12040" width="71.42578125" customWidth="1"/>
    <col min="12041" max="12041" width="55.85546875" customWidth="1"/>
    <col min="12042" max="12042" width="50" customWidth="1"/>
    <col min="12043" max="12043" width="40.42578125" customWidth="1"/>
    <col min="12289" max="12289" width="79" customWidth="1"/>
    <col min="12290" max="12290" width="42.5703125" customWidth="1"/>
    <col min="12291" max="12291" width="57.28515625" customWidth="1"/>
    <col min="12292" max="12292" width="54.7109375" customWidth="1"/>
    <col min="12293" max="12293" width="22.42578125" customWidth="1"/>
    <col min="12294" max="12294" width="70.85546875" customWidth="1"/>
    <col min="12295" max="12295" width="20.5703125" customWidth="1"/>
    <col min="12296" max="12296" width="71.42578125" customWidth="1"/>
    <col min="12297" max="12297" width="55.85546875" customWidth="1"/>
    <col min="12298" max="12298" width="50" customWidth="1"/>
    <col min="12299" max="12299" width="40.42578125" customWidth="1"/>
    <col min="12545" max="12545" width="79" customWidth="1"/>
    <col min="12546" max="12546" width="42.5703125" customWidth="1"/>
    <col min="12547" max="12547" width="57.28515625" customWidth="1"/>
    <col min="12548" max="12548" width="54.7109375" customWidth="1"/>
    <col min="12549" max="12549" width="22.42578125" customWidth="1"/>
    <col min="12550" max="12550" width="70.85546875" customWidth="1"/>
    <col min="12551" max="12551" width="20.5703125" customWidth="1"/>
    <col min="12552" max="12552" width="71.42578125" customWidth="1"/>
    <col min="12553" max="12553" width="55.85546875" customWidth="1"/>
    <col min="12554" max="12554" width="50" customWidth="1"/>
    <col min="12555" max="12555" width="40.42578125" customWidth="1"/>
    <col min="12801" max="12801" width="79" customWidth="1"/>
    <col min="12802" max="12802" width="42.5703125" customWidth="1"/>
    <col min="12803" max="12803" width="57.28515625" customWidth="1"/>
    <col min="12804" max="12804" width="54.7109375" customWidth="1"/>
    <col min="12805" max="12805" width="22.42578125" customWidth="1"/>
    <col min="12806" max="12806" width="70.85546875" customWidth="1"/>
    <col min="12807" max="12807" width="20.5703125" customWidth="1"/>
    <col min="12808" max="12808" width="71.42578125" customWidth="1"/>
    <col min="12809" max="12809" width="55.85546875" customWidth="1"/>
    <col min="12810" max="12810" width="50" customWidth="1"/>
    <col min="12811" max="12811" width="40.42578125" customWidth="1"/>
    <col min="13057" max="13057" width="79" customWidth="1"/>
    <col min="13058" max="13058" width="42.5703125" customWidth="1"/>
    <col min="13059" max="13059" width="57.28515625" customWidth="1"/>
    <col min="13060" max="13060" width="54.7109375" customWidth="1"/>
    <col min="13061" max="13061" width="22.42578125" customWidth="1"/>
    <col min="13062" max="13062" width="70.85546875" customWidth="1"/>
    <col min="13063" max="13063" width="20.5703125" customWidth="1"/>
    <col min="13064" max="13064" width="71.42578125" customWidth="1"/>
    <col min="13065" max="13065" width="55.85546875" customWidth="1"/>
    <col min="13066" max="13066" width="50" customWidth="1"/>
    <col min="13067" max="13067" width="40.42578125" customWidth="1"/>
    <col min="13313" max="13313" width="79" customWidth="1"/>
    <col min="13314" max="13314" width="42.5703125" customWidth="1"/>
    <col min="13315" max="13315" width="57.28515625" customWidth="1"/>
    <col min="13316" max="13316" width="54.7109375" customWidth="1"/>
    <col min="13317" max="13317" width="22.42578125" customWidth="1"/>
    <col min="13318" max="13318" width="70.85546875" customWidth="1"/>
    <col min="13319" max="13319" width="20.5703125" customWidth="1"/>
    <col min="13320" max="13320" width="71.42578125" customWidth="1"/>
    <col min="13321" max="13321" width="55.85546875" customWidth="1"/>
    <col min="13322" max="13322" width="50" customWidth="1"/>
    <col min="13323" max="13323" width="40.42578125" customWidth="1"/>
    <col min="13569" max="13569" width="79" customWidth="1"/>
    <col min="13570" max="13570" width="42.5703125" customWidth="1"/>
    <col min="13571" max="13571" width="57.28515625" customWidth="1"/>
    <col min="13572" max="13572" width="54.7109375" customWidth="1"/>
    <col min="13573" max="13573" width="22.42578125" customWidth="1"/>
    <col min="13574" max="13574" width="70.85546875" customWidth="1"/>
    <col min="13575" max="13575" width="20.5703125" customWidth="1"/>
    <col min="13576" max="13576" width="71.42578125" customWidth="1"/>
    <col min="13577" max="13577" width="55.85546875" customWidth="1"/>
    <col min="13578" max="13578" width="50" customWidth="1"/>
    <col min="13579" max="13579" width="40.42578125" customWidth="1"/>
    <col min="13825" max="13825" width="79" customWidth="1"/>
    <col min="13826" max="13826" width="42.5703125" customWidth="1"/>
    <col min="13827" max="13827" width="57.28515625" customWidth="1"/>
    <col min="13828" max="13828" width="54.7109375" customWidth="1"/>
    <col min="13829" max="13829" width="22.42578125" customWidth="1"/>
    <col min="13830" max="13830" width="70.85546875" customWidth="1"/>
    <col min="13831" max="13831" width="20.5703125" customWidth="1"/>
    <col min="13832" max="13832" width="71.42578125" customWidth="1"/>
    <col min="13833" max="13833" width="55.85546875" customWidth="1"/>
    <col min="13834" max="13834" width="50" customWidth="1"/>
    <col min="13835" max="13835" width="40.42578125" customWidth="1"/>
    <col min="14081" max="14081" width="79" customWidth="1"/>
    <col min="14082" max="14082" width="42.5703125" customWidth="1"/>
    <col min="14083" max="14083" width="57.28515625" customWidth="1"/>
    <col min="14084" max="14084" width="54.7109375" customWidth="1"/>
    <col min="14085" max="14085" width="22.42578125" customWidth="1"/>
    <col min="14086" max="14086" width="70.85546875" customWidth="1"/>
    <col min="14087" max="14087" width="20.5703125" customWidth="1"/>
    <col min="14088" max="14088" width="71.42578125" customWidth="1"/>
    <col min="14089" max="14089" width="55.85546875" customWidth="1"/>
    <col min="14090" max="14090" width="50" customWidth="1"/>
    <col min="14091" max="14091" width="40.42578125" customWidth="1"/>
    <col min="14337" max="14337" width="79" customWidth="1"/>
    <col min="14338" max="14338" width="42.5703125" customWidth="1"/>
    <col min="14339" max="14339" width="57.28515625" customWidth="1"/>
    <col min="14340" max="14340" width="54.7109375" customWidth="1"/>
    <col min="14341" max="14341" width="22.42578125" customWidth="1"/>
    <col min="14342" max="14342" width="70.85546875" customWidth="1"/>
    <col min="14343" max="14343" width="20.5703125" customWidth="1"/>
    <col min="14344" max="14344" width="71.42578125" customWidth="1"/>
    <col min="14345" max="14345" width="55.85546875" customWidth="1"/>
    <col min="14346" max="14346" width="50" customWidth="1"/>
    <col min="14347" max="14347" width="40.42578125" customWidth="1"/>
    <col min="14593" max="14593" width="79" customWidth="1"/>
    <col min="14594" max="14594" width="42.5703125" customWidth="1"/>
    <col min="14595" max="14595" width="57.28515625" customWidth="1"/>
    <col min="14596" max="14596" width="54.7109375" customWidth="1"/>
    <col min="14597" max="14597" width="22.42578125" customWidth="1"/>
    <col min="14598" max="14598" width="70.85546875" customWidth="1"/>
    <col min="14599" max="14599" width="20.5703125" customWidth="1"/>
    <col min="14600" max="14600" width="71.42578125" customWidth="1"/>
    <col min="14601" max="14601" width="55.85546875" customWidth="1"/>
    <col min="14602" max="14602" width="50" customWidth="1"/>
    <col min="14603" max="14603" width="40.42578125" customWidth="1"/>
    <col min="14849" max="14849" width="79" customWidth="1"/>
    <col min="14850" max="14850" width="42.5703125" customWidth="1"/>
    <col min="14851" max="14851" width="57.28515625" customWidth="1"/>
    <col min="14852" max="14852" width="54.7109375" customWidth="1"/>
    <col min="14853" max="14853" width="22.42578125" customWidth="1"/>
    <col min="14854" max="14854" width="70.85546875" customWidth="1"/>
    <col min="14855" max="14855" width="20.5703125" customWidth="1"/>
    <col min="14856" max="14856" width="71.42578125" customWidth="1"/>
    <col min="14857" max="14857" width="55.85546875" customWidth="1"/>
    <col min="14858" max="14858" width="50" customWidth="1"/>
    <col min="14859" max="14859" width="40.42578125" customWidth="1"/>
    <col min="15105" max="15105" width="79" customWidth="1"/>
    <col min="15106" max="15106" width="42.5703125" customWidth="1"/>
    <col min="15107" max="15107" width="57.28515625" customWidth="1"/>
    <col min="15108" max="15108" width="54.7109375" customWidth="1"/>
    <col min="15109" max="15109" width="22.42578125" customWidth="1"/>
    <col min="15110" max="15110" width="70.85546875" customWidth="1"/>
    <col min="15111" max="15111" width="20.5703125" customWidth="1"/>
    <col min="15112" max="15112" width="71.42578125" customWidth="1"/>
    <col min="15113" max="15113" width="55.85546875" customWidth="1"/>
    <col min="15114" max="15114" width="50" customWidth="1"/>
    <col min="15115" max="15115" width="40.42578125" customWidth="1"/>
    <col min="15361" max="15361" width="79" customWidth="1"/>
    <col min="15362" max="15362" width="42.5703125" customWidth="1"/>
    <col min="15363" max="15363" width="57.28515625" customWidth="1"/>
    <col min="15364" max="15364" width="54.7109375" customWidth="1"/>
    <col min="15365" max="15365" width="22.42578125" customWidth="1"/>
    <col min="15366" max="15366" width="70.85546875" customWidth="1"/>
    <col min="15367" max="15367" width="20.5703125" customWidth="1"/>
    <col min="15368" max="15368" width="71.42578125" customWidth="1"/>
    <col min="15369" max="15369" width="55.85546875" customWidth="1"/>
    <col min="15370" max="15370" width="50" customWidth="1"/>
    <col min="15371" max="15371" width="40.42578125" customWidth="1"/>
    <col min="15617" max="15617" width="79" customWidth="1"/>
    <col min="15618" max="15618" width="42.5703125" customWidth="1"/>
    <col min="15619" max="15619" width="57.28515625" customWidth="1"/>
    <col min="15620" max="15620" width="54.7109375" customWidth="1"/>
    <col min="15621" max="15621" width="22.42578125" customWidth="1"/>
    <col min="15622" max="15622" width="70.85546875" customWidth="1"/>
    <col min="15623" max="15623" width="20.5703125" customWidth="1"/>
    <col min="15624" max="15624" width="71.42578125" customWidth="1"/>
    <col min="15625" max="15625" width="55.85546875" customWidth="1"/>
    <col min="15626" max="15626" width="50" customWidth="1"/>
    <col min="15627" max="15627" width="40.42578125" customWidth="1"/>
    <col min="15873" max="15873" width="79" customWidth="1"/>
    <col min="15874" max="15874" width="42.5703125" customWidth="1"/>
    <col min="15875" max="15875" width="57.28515625" customWidth="1"/>
    <col min="15876" max="15876" width="54.7109375" customWidth="1"/>
    <col min="15877" max="15877" width="22.42578125" customWidth="1"/>
    <col min="15878" max="15878" width="70.85546875" customWidth="1"/>
    <col min="15879" max="15879" width="20.5703125" customWidth="1"/>
    <col min="15880" max="15880" width="71.42578125" customWidth="1"/>
    <col min="15881" max="15881" width="55.85546875" customWidth="1"/>
    <col min="15882" max="15882" width="50" customWidth="1"/>
    <col min="15883" max="15883" width="40.42578125" customWidth="1"/>
    <col min="16129" max="16129" width="79" customWidth="1"/>
    <col min="16130" max="16130" width="42.5703125" customWidth="1"/>
    <col min="16131" max="16131" width="57.28515625" customWidth="1"/>
    <col min="16132" max="16132" width="54.7109375" customWidth="1"/>
    <col min="16133" max="16133" width="22.42578125" customWidth="1"/>
    <col min="16134" max="16134" width="70.85546875" customWidth="1"/>
    <col min="16135" max="16135" width="20.5703125" customWidth="1"/>
    <col min="16136" max="16136" width="71.42578125" customWidth="1"/>
    <col min="16137" max="16137" width="55.85546875" customWidth="1"/>
    <col min="16138" max="16138" width="50" customWidth="1"/>
    <col min="16139" max="16139" width="40.42578125" customWidth="1"/>
  </cols>
  <sheetData>
    <row r="1" spans="1:3" ht="20.25" x14ac:dyDescent="0.3">
      <c r="A1" s="125" t="s">
        <v>308</v>
      </c>
    </row>
    <row r="3" spans="1:3" x14ac:dyDescent="0.25">
      <c r="A3" s="129" t="s">
        <v>309</v>
      </c>
      <c r="B3" s="123"/>
      <c r="C3" s="130"/>
    </row>
    <row r="4" spans="1:3" x14ac:dyDescent="0.25">
      <c r="A4" s="123" t="s">
        <v>310</v>
      </c>
      <c r="B4" s="123">
        <v>1</v>
      </c>
      <c r="C4" s="130"/>
    </row>
    <row r="5" spans="1:3" x14ac:dyDescent="0.25">
      <c r="A5" s="123"/>
      <c r="B5" s="123"/>
      <c r="C5" s="130"/>
    </row>
    <row r="6" spans="1:3" x14ac:dyDescent="0.25">
      <c r="A6" s="129" t="s">
        <v>311</v>
      </c>
      <c r="B6" s="123"/>
      <c r="C6" s="130"/>
    </row>
    <row r="7" spans="1:3" x14ac:dyDescent="0.25">
      <c r="A7" s="123" t="s">
        <v>312</v>
      </c>
      <c r="B7" s="123"/>
      <c r="C7" s="130"/>
    </row>
    <row r="8" spans="1:3" x14ac:dyDescent="0.25">
      <c r="A8" s="123" t="s">
        <v>313</v>
      </c>
      <c r="B8" s="123">
        <v>1</v>
      </c>
      <c r="C8" s="130"/>
    </row>
    <row r="9" spans="1:3" x14ac:dyDescent="0.25">
      <c r="A9" s="123"/>
      <c r="B9" s="123"/>
      <c r="C9" s="130"/>
    </row>
    <row r="10" spans="1:3" x14ac:dyDescent="0.25">
      <c r="A10" s="129" t="s">
        <v>314</v>
      </c>
      <c r="B10" s="123"/>
      <c r="C10" s="130"/>
    </row>
    <row r="11" spans="1:3" x14ac:dyDescent="0.25">
      <c r="A11" s="123" t="s">
        <v>315</v>
      </c>
      <c r="B11" s="123">
        <v>1</v>
      </c>
      <c r="C11" s="130"/>
    </row>
    <row r="12" spans="1:3" x14ac:dyDescent="0.25">
      <c r="A12" s="123"/>
      <c r="B12" s="123"/>
      <c r="C12" s="130"/>
    </row>
    <row r="13" spans="1:3" x14ac:dyDescent="0.25">
      <c r="A13" s="129" t="s">
        <v>316</v>
      </c>
      <c r="B13" s="123"/>
      <c r="C13" s="130"/>
    </row>
    <row r="14" spans="1:3" x14ac:dyDescent="0.25">
      <c r="A14" s="123" t="s">
        <v>317</v>
      </c>
      <c r="B14" s="123"/>
      <c r="C14" s="130"/>
    </row>
    <row r="15" spans="1:3" x14ac:dyDescent="0.25">
      <c r="A15" s="123" t="s">
        <v>318</v>
      </c>
      <c r="B15" s="123"/>
      <c r="C15" s="130"/>
    </row>
    <row r="16" spans="1:3" x14ac:dyDescent="0.25">
      <c r="A16" s="123" t="s">
        <v>319</v>
      </c>
      <c r="B16" s="123"/>
      <c r="C16" s="130"/>
    </row>
    <row r="17" spans="1:8" x14ac:dyDescent="0.25">
      <c r="A17" s="123"/>
      <c r="B17" s="123">
        <v>1</v>
      </c>
      <c r="C17" s="130"/>
    </row>
    <row r="18" spans="1:8" x14ac:dyDescent="0.25">
      <c r="A18" s="114" t="s">
        <v>320</v>
      </c>
      <c r="C18" s="130"/>
    </row>
    <row r="19" spans="1:8" x14ac:dyDescent="0.25">
      <c r="A19" s="115" t="s">
        <v>317</v>
      </c>
      <c r="B19" t="str">
        <f>IF(B8=1,"Ja","N.v.t.")</f>
        <v>Ja</v>
      </c>
      <c r="C19" s="130"/>
    </row>
    <row r="20" spans="1:8" x14ac:dyDescent="0.25">
      <c r="A20" s="115" t="s">
        <v>321</v>
      </c>
      <c r="B20" t="str">
        <f>IF(B8=1,"Nee","")</f>
        <v>Nee</v>
      </c>
      <c r="C20" s="130"/>
    </row>
    <row r="21" spans="1:8" x14ac:dyDescent="0.25">
      <c r="A21" s="115" t="s">
        <v>322</v>
      </c>
      <c r="C21" s="130"/>
    </row>
    <row r="22" spans="1:8" x14ac:dyDescent="0.25">
      <c r="A22" s="115" t="s">
        <v>323</v>
      </c>
      <c r="B22">
        <v>2</v>
      </c>
      <c r="C22" s="130"/>
    </row>
    <row r="23" spans="1:8" x14ac:dyDescent="0.25">
      <c r="A23" s="115"/>
      <c r="C23" s="130"/>
    </row>
    <row r="24" spans="1:8" x14ac:dyDescent="0.25">
      <c r="A24" s="114" t="s">
        <v>324</v>
      </c>
      <c r="C24" s="130"/>
    </row>
    <row r="25" spans="1:8" x14ac:dyDescent="0.25">
      <c r="A25" s="115" t="s">
        <v>325</v>
      </c>
      <c r="B25">
        <v>1</v>
      </c>
      <c r="C25" s="130"/>
    </row>
    <row r="26" spans="1:8" x14ac:dyDescent="0.25">
      <c r="A26" s="123"/>
      <c r="B26" s="123"/>
      <c r="C26" s="130"/>
    </row>
    <row r="27" spans="1:8" ht="18" x14ac:dyDescent="0.25">
      <c r="A27" s="126" t="s">
        <v>326</v>
      </c>
      <c r="B27" s="123"/>
      <c r="C27" s="130"/>
    </row>
    <row r="28" spans="1:8" x14ac:dyDescent="0.25">
      <c r="A28" s="123"/>
      <c r="B28" s="123"/>
      <c r="C28" s="130"/>
    </row>
    <row r="29" spans="1:8" x14ac:dyDescent="0.25">
      <c r="A29" s="114" t="s">
        <v>327</v>
      </c>
    </row>
    <row r="30" spans="1:8" x14ac:dyDescent="0.25">
      <c r="A30" s="115" t="s">
        <v>328</v>
      </c>
      <c r="F30" s="114"/>
      <c r="H30" s="114"/>
    </row>
    <row r="31" spans="1:8" x14ac:dyDescent="0.25">
      <c r="A31" s="115" t="s">
        <v>329</v>
      </c>
      <c r="F31" s="114"/>
      <c r="H31" s="114"/>
    </row>
    <row r="32" spans="1:8" x14ac:dyDescent="0.25">
      <c r="A32">
        <v>1</v>
      </c>
      <c r="F32" s="114"/>
      <c r="H32" s="114"/>
    </row>
    <row r="33" spans="1:11" x14ac:dyDescent="0.25">
      <c r="A33" s="114" t="s">
        <v>330</v>
      </c>
      <c r="B33" s="114" t="s">
        <v>331</v>
      </c>
      <c r="C33" s="114" t="s">
        <v>332</v>
      </c>
      <c r="D33" s="114" t="s">
        <v>333</v>
      </c>
      <c r="E33" s="131"/>
      <c r="G33" s="131"/>
    </row>
    <row r="34" spans="1:11" x14ac:dyDescent="0.25">
      <c r="A34" s="115" t="s">
        <v>317</v>
      </c>
      <c r="B34" s="115" t="str">
        <f>IF(AND(A225="Hernieuwbaar gas",Productie_en_afzet!B17&lt;390),"Ja",IF(AND(A225="Hernieuwbaar gas",Productie_en_afzet!B17&gt;=390),"","Niet van toepassing"))</f>
        <v>Niet van toepassing</v>
      </c>
      <c r="C34" s="115" t="str">
        <f>IF(A225="CO₂-opslag","Ja","Niet van toepassing")</f>
        <v>Niet van toepassing</v>
      </c>
      <c r="D34" t="str">
        <f>IF(OR(
AND(Productie_en_afzet!A14="",Productie_en_afzet!A13="Gaat de SDE++-productie-installatie deel uitmaken van een ETS-1 installatie?","ETS-1 correctie"),
AND(Productie_en_afzet!A14="",Productie_en_afzet!A13="Gaat de SDE++-productie-installatie deel uitmaken van een ETS-1 installatie, of wordt de warmte geleverd aan een ETS-1 installatie?","ETS-1 correctie")),"Ja","")</f>
        <v/>
      </c>
      <c r="E34" s="131"/>
      <c r="F34" s="115"/>
      <c r="G34" s="131"/>
    </row>
    <row r="35" spans="1:11" x14ac:dyDescent="0.25">
      <c r="A35" s="115" t="s">
        <v>321</v>
      </c>
      <c r="B35" s="115" t="str">
        <f>IF(AND(A225="Hernieuwbaar gas",Productie_en_afzet!B17&lt;390),"Nee","")</f>
        <v/>
      </c>
      <c r="C35" s="115" t="str">
        <f>IF(A225="CO₂-opslag","Nee","")</f>
        <v/>
      </c>
      <c r="D35" t="str">
        <f>IF(OR(
AND(Productie_en_afzet!A14="",Productie_en_afzet!A13="Gaat de SDE++-productie-installatie deel uitmaken van een ETS-1 installatie?","ETS-1 correctie"),
AND(Productie_en_afzet!A14="",Productie_en_afzet!A13="Gaat de SDE++-productie-installatie deel uitmaken van een ETS-1 installatie, of wordt de warmte geleverd aan een ETS-1 installatie?","ETS-1 correctie")),"Nee","")</f>
        <v/>
      </c>
      <c r="E35" s="131"/>
      <c r="G35" s="131"/>
      <c r="H35" s="115"/>
      <c r="I35" s="114"/>
      <c r="J35" s="114"/>
      <c r="K35" s="114"/>
    </row>
    <row r="36" spans="1:11" x14ac:dyDescent="0.25">
      <c r="A36" s="115" t="s">
        <v>322</v>
      </c>
      <c r="B36" s="115"/>
      <c r="C36" s="115"/>
      <c r="E36" s="131"/>
      <c r="F36" s="115"/>
      <c r="H36" s="115"/>
      <c r="I36" s="115"/>
      <c r="J36" s="115"/>
    </row>
    <row r="37" spans="1:11" x14ac:dyDescent="0.25">
      <c r="A37" s="115"/>
      <c r="B37" s="115"/>
      <c r="E37" s="131"/>
      <c r="F37" s="115"/>
      <c r="H37" s="115"/>
      <c r="I37" s="115"/>
      <c r="J37" s="115"/>
    </row>
    <row r="38" spans="1:11" x14ac:dyDescent="0.25">
      <c r="A38" s="114" t="s">
        <v>334</v>
      </c>
      <c r="E38" s="131"/>
      <c r="F38" s="115"/>
      <c r="H38" s="115"/>
      <c r="I38" s="115"/>
      <c r="J38" s="115"/>
    </row>
    <row r="39" spans="1:11" x14ac:dyDescent="0.25">
      <c r="A39" s="115" t="s">
        <v>335</v>
      </c>
      <c r="B39">
        <v>1</v>
      </c>
      <c r="C39" s="115">
        <v>1</v>
      </c>
      <c r="E39" s="131"/>
      <c r="H39" s="115"/>
      <c r="I39" s="115"/>
      <c r="J39" s="115"/>
    </row>
    <row r="40" spans="1:11" x14ac:dyDescent="0.25">
      <c r="E40" s="131"/>
      <c r="F40" s="115"/>
      <c r="H40" s="115"/>
      <c r="I40" s="115"/>
      <c r="J40" s="115"/>
      <c r="K40" s="115"/>
    </row>
    <row r="41" spans="1:11" x14ac:dyDescent="0.25">
      <c r="A41" s="114" t="s">
        <v>336</v>
      </c>
      <c r="E41" s="131"/>
      <c r="F41" s="115"/>
      <c r="H41" s="115"/>
      <c r="I41" s="115"/>
      <c r="J41" s="115"/>
      <c r="K41" s="115"/>
    </row>
    <row r="42" spans="1:11" x14ac:dyDescent="0.25">
      <c r="A42" s="115" t="s">
        <v>337</v>
      </c>
      <c r="B42" s="115">
        <f>IF(VLOOKUP(Hulpblad_categorieën_parameters!D81,Hulpblad_categorieën_parameters!A87:Y332,23,FALSE)="Biomassa",0,
IF(VLOOKUP(Hulpblad_categorieën_parameters!D81,Hulpblad_categorieën_parameters!A87:Y332,23,FALSE)="Biomassa voortzetting (renovatie)",0,
IF(VLOOKUP(Hulpblad_categorieën_parameters!D81,Hulpblad_categorieën_parameters!A87:Y332,23,FALSE)="Biomassa, extra eisen",0,
IF(VLOOKUP(Hulpblad_categorieën_parameters!D81,Hulpblad_categorieën_parameters!A87:Y332,23,FALSE)="Biomassa voortzetting (renovatie), extra eisen",0,
IF(VLOOKUP(Hulpblad_categorieën_parameters!D81,Hulpblad_categorieën_parameters!A87:Y332,23,FALSE)="Biomassa extra faciliteit (ombouw)",0,
IF(VLOOKUP(Hulpblad_categorieën_parameters!D81,Hulpblad_categorieën_parameters!A87:Y332,23,FALSE)="RWZI, verbeterde slibgisting",0,1))))))</f>
        <v>1</v>
      </c>
      <c r="E42" s="131"/>
      <c r="F42" s="115"/>
      <c r="H42" s="115"/>
      <c r="I42" s="115"/>
      <c r="J42" s="115"/>
      <c r="K42" s="115"/>
    </row>
    <row r="43" spans="1:11" x14ac:dyDescent="0.25">
      <c r="A43" s="115"/>
      <c r="B43" s="115"/>
      <c r="E43" s="131"/>
      <c r="F43" s="115"/>
      <c r="H43" s="115"/>
      <c r="I43" s="115"/>
      <c r="J43" s="115"/>
      <c r="K43" s="115"/>
    </row>
    <row r="44" spans="1:11" x14ac:dyDescent="0.25">
      <c r="A44" s="114" t="s">
        <v>338</v>
      </c>
      <c r="B44" s="115"/>
      <c r="E44" s="131"/>
      <c r="F44" s="116"/>
      <c r="H44" s="115"/>
      <c r="I44" s="115"/>
      <c r="J44" s="115"/>
      <c r="K44" s="115"/>
    </row>
    <row r="45" spans="1:11" ht="12" customHeight="1" x14ac:dyDescent="0.25">
      <c r="A45" s="115" t="s">
        <v>337</v>
      </c>
      <c r="B45" s="115">
        <f>IF(VLOOKUP(Hulpblad_categorieën_parameters!D81,Hulpblad_categorieën_parameters!A87:Y332,24,FALSE)="CO₂-opslag",0,1)</f>
        <v>1</v>
      </c>
      <c r="F45" s="115"/>
      <c r="H45" s="115"/>
      <c r="I45" s="115"/>
    </row>
    <row r="46" spans="1:11" ht="12" customHeight="1" x14ac:dyDescent="0.25">
      <c r="A46" s="115"/>
      <c r="B46" s="115"/>
      <c r="F46" s="115"/>
      <c r="H46" s="115"/>
      <c r="I46" s="115"/>
    </row>
    <row r="47" spans="1:11" ht="12" customHeight="1" x14ac:dyDescent="0.25">
      <c r="A47" s="115"/>
      <c r="B47" s="115"/>
      <c r="F47" s="115"/>
      <c r="H47" s="115"/>
      <c r="I47" s="115"/>
    </row>
    <row r="48" spans="1:11" ht="12" customHeight="1" x14ac:dyDescent="0.25">
      <c r="A48" s="114" t="s">
        <v>427</v>
      </c>
      <c r="B48" s="115"/>
      <c r="F48" s="115"/>
      <c r="H48" s="115"/>
      <c r="I48" s="115"/>
    </row>
    <row r="49" spans="1:9" ht="12" customHeight="1" x14ac:dyDescent="0.25">
      <c r="A49" s="121" t="s">
        <v>428</v>
      </c>
      <c r="B49" s="121" t="s">
        <v>429</v>
      </c>
      <c r="F49" s="115"/>
      <c r="H49" s="115"/>
      <c r="I49" s="115"/>
    </row>
    <row r="50" spans="1:9" ht="12" customHeight="1" x14ac:dyDescent="0.25">
      <c r="A50" s="121">
        <v>0</v>
      </c>
      <c r="B50" s="121" t="s">
        <v>1033</v>
      </c>
      <c r="F50" s="115"/>
      <c r="H50" s="115"/>
      <c r="I50" s="115"/>
    </row>
    <row r="51" spans="1:9" ht="12" customHeight="1" x14ac:dyDescent="0.25">
      <c r="A51" s="115">
        <v>1</v>
      </c>
      <c r="B51" s="229" t="e">
        <f>IF(Exploitatieberekening!$B$31&lt;100%,SUM(Exploitatieberekening!$O$144:'Exploitatieberekening'!$O$144)/(SUM(Exploitatieberekening!$O$125:'Exploitatieberekening'!$O$125)+SUM(Exploitatieberekening!$O$126:'Exploitatieberekening'!$O$126)),"n.v.t., geen vreemd vermogen")</f>
        <v>#DIV/0!</v>
      </c>
      <c r="F51" s="115"/>
      <c r="H51" s="115"/>
      <c r="I51" s="115"/>
    </row>
    <row r="52" spans="1:9" ht="12" customHeight="1" x14ac:dyDescent="0.25">
      <c r="A52" s="115">
        <v>2</v>
      </c>
      <c r="B52" s="229" t="e">
        <f>IF(Exploitatieberekening!$B$31&lt;100%,SUM(Exploitatieberekening!$O$144:'Exploitatieberekening'!$P$144)/(SUM(Exploitatieberekening!$O$125:'Exploitatieberekening'!$P$125)+SUM(Exploitatieberekening!$O$126:'Exploitatieberekening'!$P$126)),"n.v.t., geen vreemd vermogen")</f>
        <v>#DIV/0!</v>
      </c>
      <c r="F52" s="115"/>
      <c r="H52" s="115"/>
      <c r="I52" s="115"/>
    </row>
    <row r="53" spans="1:9" ht="12" customHeight="1" x14ac:dyDescent="0.25">
      <c r="A53" s="115">
        <v>3</v>
      </c>
      <c r="B53" s="229" t="e">
        <f>IF(Exploitatieberekening!$B$31&lt;100%,SUM(Exploitatieberekening!$O$144:'Exploitatieberekening'!$Q$144)/(SUM(Exploitatieberekening!$O$125:'Exploitatieberekening'!$Q$125)+SUM(Exploitatieberekening!$O$126:'Exploitatieberekening'!$Q$126)),"n.v.t., geen vreemd vermogen")</f>
        <v>#DIV/0!</v>
      </c>
      <c r="F53" s="115"/>
      <c r="H53" s="115"/>
      <c r="I53" s="115"/>
    </row>
    <row r="54" spans="1:9" ht="12" customHeight="1" x14ac:dyDescent="0.25">
      <c r="A54" s="115">
        <v>4</v>
      </c>
      <c r="B54" s="229" t="e">
        <f>IF(Exploitatieberekening!$B$31&lt;100%,SUM(Exploitatieberekening!$O$144:'Exploitatieberekening'!$R$144)/(SUM(Exploitatieberekening!$O$125:'Exploitatieberekening'!$R$125)+SUM(Exploitatieberekening!$O$126:'Exploitatieberekening'!$R$126)),"n.v.t., geen vreemd vermogen")</f>
        <v>#DIV/0!</v>
      </c>
      <c r="F54" s="115"/>
      <c r="H54" s="115"/>
      <c r="I54" s="115"/>
    </row>
    <row r="55" spans="1:9" ht="12" customHeight="1" x14ac:dyDescent="0.25">
      <c r="A55" s="115">
        <v>5</v>
      </c>
      <c r="B55" s="229" t="e">
        <f>IF(Exploitatieberekening!$B$31&lt;100%,SUM(Exploitatieberekening!$O$144:'Exploitatieberekening'!$S$144)/(SUM(Exploitatieberekening!$O$125:'Exploitatieberekening'!$S$125)+SUM(Exploitatieberekening!$O$126:'Exploitatieberekening'!$S$126)),"n.v.t., geen vreemd vermogen")</f>
        <v>#DIV/0!</v>
      </c>
      <c r="F55" s="115"/>
      <c r="H55" s="115"/>
      <c r="I55" s="115"/>
    </row>
    <row r="56" spans="1:9" ht="12" customHeight="1" x14ac:dyDescent="0.25">
      <c r="A56" s="115">
        <v>6</v>
      </c>
      <c r="B56" s="229" t="e">
        <f>IF(Exploitatieberekening!$B$31&lt;100%,SUM(Exploitatieberekening!$O$144:'Exploitatieberekening'!$T$144)/(SUM(Exploitatieberekening!$O$125:'Exploitatieberekening'!$T$125)+SUM(Exploitatieberekening!$O$126:'Exploitatieberekening'!$T$126)),"n.v.t., geen vreemd vermogen")</f>
        <v>#DIV/0!</v>
      </c>
      <c r="F56" s="115"/>
      <c r="H56" s="115"/>
      <c r="I56" s="115"/>
    </row>
    <row r="57" spans="1:9" ht="12" customHeight="1" x14ac:dyDescent="0.25">
      <c r="A57" s="115">
        <v>7</v>
      </c>
      <c r="B57" s="229" t="e">
        <f>IF(Exploitatieberekening!$B$31&lt;100%,SUM(Exploitatieberekening!$O$144:'Exploitatieberekening'!$U$144)/(SUM(Exploitatieberekening!$O$125:'Exploitatieberekening'!$U$125)+SUM(Exploitatieberekening!$O$126:'Exploitatieberekening'!$U$126)),"n.v.t., geen vreemd vermogen")</f>
        <v>#DIV/0!</v>
      </c>
      <c r="F57" s="115"/>
      <c r="H57" s="115"/>
      <c r="I57" s="115"/>
    </row>
    <row r="58" spans="1:9" ht="12" customHeight="1" x14ac:dyDescent="0.25">
      <c r="A58" s="115">
        <v>8</v>
      </c>
      <c r="B58" s="229" t="e">
        <f>IF(Exploitatieberekening!$B$31&lt;100%,SUM(Exploitatieberekening!$O$144:'Exploitatieberekening'!$V$144)/(SUM(Exploitatieberekening!$O$125:'Exploitatieberekening'!$V$125)+SUM(Exploitatieberekening!$O$126:'Exploitatieberekening'!$V$126)),"n.v.t., geen vreemd vermogen")</f>
        <v>#DIV/0!</v>
      </c>
      <c r="F58" s="115"/>
      <c r="H58" s="115"/>
      <c r="I58" s="115"/>
    </row>
    <row r="59" spans="1:9" ht="12" customHeight="1" x14ac:dyDescent="0.25">
      <c r="A59" s="115">
        <v>9</v>
      </c>
      <c r="B59" s="229" t="e">
        <f>IF(Exploitatieberekening!$B$31&lt;100%,SUM(Exploitatieberekening!$O$144:'Exploitatieberekening'!$W$144)/(SUM(Exploitatieberekening!$O$125:'Exploitatieberekening'!$W$125)+SUM(Exploitatieberekening!$O$126:'Exploitatieberekening'!$W$126)),"n.v.t., geen vreemd vermogen")</f>
        <v>#DIV/0!</v>
      </c>
      <c r="F59" s="115"/>
      <c r="H59" s="115"/>
      <c r="I59" s="115"/>
    </row>
    <row r="60" spans="1:9" ht="12" customHeight="1" x14ac:dyDescent="0.25">
      <c r="A60" s="115">
        <v>10</v>
      </c>
      <c r="B60" s="229" t="e">
        <f>IF(Exploitatieberekening!$B$31&lt;100%,SUM(Exploitatieberekening!$O$144:'Exploitatieberekening'!$X$144)/(SUM(Exploitatieberekening!$O$125:'Exploitatieberekening'!$X$125)+SUM(Exploitatieberekening!$O$126:'Exploitatieberekening'!$X$126)),"n.v.t., geen vreemd vermogen")</f>
        <v>#DIV/0!</v>
      </c>
      <c r="F60" s="115"/>
      <c r="H60" s="115"/>
      <c r="I60" s="115"/>
    </row>
    <row r="61" spans="1:9" ht="12" customHeight="1" x14ac:dyDescent="0.25">
      <c r="A61" s="115">
        <v>11</v>
      </c>
      <c r="B61" s="229" t="e">
        <f>IF(Exploitatieberekening!$B$31&lt;100%,SUM(Exploitatieberekening!$O$144:'Exploitatieberekening'!$Y$144)/(SUM(Exploitatieberekening!$O$125:'Exploitatieberekening'!$Y$125)+SUM(Exploitatieberekening!$O$126:'Exploitatieberekening'!$Y$126)),"n.v.t., geen vreemd vermogen")</f>
        <v>#DIV/0!</v>
      </c>
      <c r="F61" s="115"/>
      <c r="H61" s="115"/>
      <c r="I61" s="115"/>
    </row>
    <row r="62" spans="1:9" ht="12" customHeight="1" x14ac:dyDescent="0.25">
      <c r="A62" s="115">
        <v>12</v>
      </c>
      <c r="B62" s="229" t="e">
        <f>IF(Exploitatieberekening!$B$31&lt;100%,SUM(Exploitatieberekening!$O$144:'Exploitatieberekening'!$Z$144)/(SUM(Exploitatieberekening!$O$125:'Exploitatieberekening'!$Z$125)+SUM(Exploitatieberekening!$O$126:'Exploitatieberekening'!$Z$126)),"n.v.t., geen vreemd vermogen")</f>
        <v>#DIV/0!</v>
      </c>
      <c r="F62" s="115"/>
      <c r="H62" s="115"/>
      <c r="I62" s="115"/>
    </row>
    <row r="63" spans="1:9" ht="12" customHeight="1" x14ac:dyDescent="0.25">
      <c r="A63" s="115">
        <v>13</v>
      </c>
      <c r="B63" s="229" t="e">
        <f>IF(Exploitatieberekening!$B$31&lt;100%,SUM(Exploitatieberekening!$O$144:'Exploitatieberekening'!$AA$144)/(SUM(Exploitatieberekening!$O$125:'Exploitatieberekening'!$AA$125)+SUM(Exploitatieberekening!$O$126:'Exploitatieberekening'!$AA$126)),"n.v.t., geen vreemd vermogen")</f>
        <v>#DIV/0!</v>
      </c>
      <c r="F63" s="115"/>
      <c r="H63" s="115"/>
      <c r="I63" s="115"/>
    </row>
    <row r="64" spans="1:9" ht="12" customHeight="1" x14ac:dyDescent="0.25">
      <c r="A64" s="115">
        <v>14</v>
      </c>
      <c r="B64" s="229" t="e">
        <f>IF(Exploitatieberekening!$B$31&lt;100%,SUM(Exploitatieberekening!$O$144:'Exploitatieberekening'!$AB$144)/(SUM(Exploitatieberekening!$O$125:'Exploitatieberekening'!$AB$125)+SUM(Exploitatieberekening!$O$126:'Exploitatieberekening'!$AB$126)),"n.v.t., geen vreemd vermogen")</f>
        <v>#DIV/0!</v>
      </c>
      <c r="F64" s="115"/>
      <c r="H64" s="115"/>
      <c r="I64" s="115"/>
    </row>
    <row r="65" spans="1:18" ht="12" customHeight="1" x14ac:dyDescent="0.25">
      <c r="A65" s="115">
        <v>15</v>
      </c>
      <c r="B65" s="229" t="e">
        <f>IF(Exploitatieberekening!$B$31&lt;100%,SUM(Exploitatieberekening!$O$144:'Exploitatieberekening'!$AC$144)/(SUM(Exploitatieberekening!$O$125:'Exploitatieberekening'!$AC$125)+SUM(Exploitatieberekening!$O$126:'Exploitatieberekening'!$AC$126)),"n.v.t., geen vreemd vermogen")</f>
        <v>#DIV/0!</v>
      </c>
      <c r="F65" s="115"/>
      <c r="H65" s="115"/>
      <c r="I65" s="115"/>
    </row>
    <row r="66" spans="1:18" ht="12" customHeight="1" x14ac:dyDescent="0.25">
      <c r="A66" s="115">
        <v>16</v>
      </c>
      <c r="B66" s="229" t="e">
        <f>IF(Exploitatieberekening!$B$31&lt;100%,SUM(Exploitatieberekening!$O$144:'Exploitatieberekening'!$AD$144)/(SUM(Exploitatieberekening!$O$125:'Exploitatieberekening'!$AD$125)+SUM(Exploitatieberekening!$O$126:'Exploitatieberekening'!$AD$126)),"n.v.t., geen vreemd vermogen")</f>
        <v>#DIV/0!</v>
      </c>
      <c r="F66" s="115"/>
      <c r="H66" s="115"/>
      <c r="I66" s="115"/>
    </row>
    <row r="67" spans="1:18" ht="12" customHeight="1" x14ac:dyDescent="0.25">
      <c r="A67" s="115">
        <v>17</v>
      </c>
      <c r="B67" s="229" t="e">
        <f>IF(Exploitatieberekening!$B$31&lt;100%,SUM(Exploitatieberekening!$O$144:'Exploitatieberekening'!$AE$144)/(SUM(Exploitatieberekening!$O$125:'Exploitatieberekening'!$AE$125)+SUM(Exploitatieberekening!$O$126:'Exploitatieberekening'!$AE$126)),"n.v.t., geen vreemd vermogen")</f>
        <v>#DIV/0!</v>
      </c>
      <c r="F67" s="115"/>
      <c r="H67" s="115"/>
      <c r="I67" s="115"/>
    </row>
    <row r="68" spans="1:18" ht="12" customHeight="1" x14ac:dyDescent="0.25">
      <c r="A68" s="115">
        <v>18</v>
      </c>
      <c r="B68" s="229" t="e">
        <f>IF(Exploitatieberekening!$B$31&lt;100%,SUM(Exploitatieberekening!$O$144:'Exploitatieberekening'!$AF$144)/(SUM(Exploitatieberekening!$O$125:'Exploitatieberekening'!$AF$125)+SUM(Exploitatieberekening!$O$126:'Exploitatieberekening'!$AF$126)),"n.v.t., geen vreemd vermogen")</f>
        <v>#DIV/0!</v>
      </c>
      <c r="F68" s="115"/>
      <c r="H68" s="115"/>
      <c r="I68" s="115"/>
    </row>
    <row r="69" spans="1:18" ht="12" customHeight="1" x14ac:dyDescent="0.25">
      <c r="A69" s="115">
        <v>19</v>
      </c>
      <c r="B69" s="229" t="e">
        <f>IF(Exploitatieberekening!$B$31&lt;100%,SUM(Exploitatieberekening!$O$144:'Exploitatieberekening'!$AG$144)/(SUM(Exploitatieberekening!$O$125:'Exploitatieberekening'!$AG$125)+SUM(Exploitatieberekening!$O$126:'Exploitatieberekening'!$AG$126)),"n.v.t., geen vreemd vermogen")</f>
        <v>#DIV/0!</v>
      </c>
      <c r="F69" s="115"/>
      <c r="H69" s="115"/>
      <c r="I69" s="115"/>
    </row>
    <row r="70" spans="1:18" ht="12" customHeight="1" x14ac:dyDescent="0.25">
      <c r="A70" s="115">
        <v>20</v>
      </c>
      <c r="B70" s="229" t="e">
        <f>IF(Exploitatieberekening!$B$31&lt;100%,SUM(Exploitatieberekening!$O$144:'Exploitatieberekening'!$AH$144)/(SUM(Exploitatieberekening!$O$125:'Exploitatieberekening'!$AH$125)+SUM(Exploitatieberekening!$O$126:'Exploitatieberekening'!$AH$126)),"n.v.t., geen vreemd vermogen")</f>
        <v>#DIV/0!</v>
      </c>
      <c r="F70" s="115"/>
      <c r="H70" s="115"/>
      <c r="I70" s="115"/>
    </row>
    <row r="71" spans="1:18" ht="12" customHeight="1" x14ac:dyDescent="0.25">
      <c r="A71" s="115"/>
      <c r="B71" s="115"/>
      <c r="F71" s="115"/>
      <c r="H71" s="115"/>
      <c r="I71" s="115"/>
    </row>
    <row r="72" spans="1:18" ht="12" customHeight="1" x14ac:dyDescent="0.25">
      <c r="A72" s="115"/>
      <c r="B72" s="115"/>
      <c r="F72" s="115"/>
      <c r="H72" s="115"/>
      <c r="I72" s="115"/>
    </row>
    <row r="73" spans="1:18" ht="21.75" customHeight="1" x14ac:dyDescent="0.25">
      <c r="A73" s="132" t="s">
        <v>339</v>
      </c>
      <c r="B73" s="119"/>
      <c r="C73" s="131"/>
      <c r="D73" s="131"/>
      <c r="E73" s="131"/>
      <c r="F73" s="131"/>
      <c r="G73" s="131"/>
      <c r="H73" s="131"/>
      <c r="I73" s="131"/>
      <c r="J73" s="131"/>
      <c r="K73" s="131"/>
      <c r="L73" s="131"/>
      <c r="M73" s="131"/>
      <c r="N73" s="131"/>
      <c r="O73" s="131"/>
      <c r="P73" s="131"/>
      <c r="Q73" s="131"/>
      <c r="R73" s="131"/>
    </row>
    <row r="74" spans="1:18" ht="21.75" customHeight="1" x14ac:dyDescent="0.25">
      <c r="A74" s="114" t="s">
        <v>411</v>
      </c>
      <c r="B74" s="119"/>
      <c r="C74" s="131"/>
      <c r="D74" s="131"/>
      <c r="E74" s="131"/>
      <c r="F74" s="131"/>
      <c r="G74" s="131"/>
      <c r="H74" s="131"/>
      <c r="I74" s="131"/>
      <c r="J74" s="131"/>
      <c r="K74" s="131"/>
      <c r="L74" s="131"/>
      <c r="M74" s="131"/>
      <c r="N74" s="131"/>
      <c r="O74" s="131"/>
      <c r="P74" s="131"/>
      <c r="Q74" s="131"/>
      <c r="R74" s="131"/>
    </row>
    <row r="75" spans="1:18" ht="43.5" customHeight="1" x14ac:dyDescent="0.25">
      <c r="A75" s="572" t="s">
        <v>1017</v>
      </c>
      <c r="B75" s="577"/>
      <c r="C75" s="577"/>
      <c r="D75" s="577"/>
      <c r="E75" s="131"/>
      <c r="F75" s="131"/>
      <c r="G75" s="131"/>
      <c r="H75" s="131"/>
      <c r="I75" s="131"/>
      <c r="J75" s="131"/>
      <c r="K75" s="131"/>
      <c r="L75" s="131"/>
      <c r="M75" s="131"/>
      <c r="N75" s="131"/>
      <c r="O75" s="131"/>
      <c r="P75" s="131"/>
      <c r="Q75" s="131"/>
      <c r="R75" s="131"/>
    </row>
    <row r="76" spans="1:18" ht="12.75" customHeight="1" x14ac:dyDescent="0.25">
      <c r="B76" s="114"/>
      <c r="F76" s="115"/>
      <c r="H76" s="115"/>
      <c r="I76" s="115"/>
    </row>
    <row r="77" spans="1:18" ht="15" customHeight="1" x14ac:dyDescent="0.25">
      <c r="A77" s="114" t="s">
        <v>340</v>
      </c>
      <c r="B77" s="114"/>
      <c r="F77" s="114"/>
      <c r="H77" s="115"/>
      <c r="I77" s="115"/>
    </row>
    <row r="78" spans="1:18" ht="101.25" customHeight="1" x14ac:dyDescent="0.25">
      <c r="A78" s="572" t="s">
        <v>413</v>
      </c>
      <c r="B78" s="572"/>
      <c r="C78" s="573"/>
      <c r="D78" s="573"/>
      <c r="E78" s="133"/>
      <c r="F78" s="572"/>
      <c r="G78" s="460"/>
      <c r="H78" s="460"/>
    </row>
    <row r="79" spans="1:18" ht="15" customHeight="1" x14ac:dyDescent="0.25">
      <c r="A79" s="114" t="s">
        <v>341</v>
      </c>
      <c r="B79" s="123"/>
      <c r="C79" s="130"/>
      <c r="D79" s="130"/>
      <c r="E79" s="133"/>
      <c r="F79" s="572"/>
      <c r="G79" s="460"/>
      <c r="H79" s="460"/>
    </row>
    <row r="80" spans="1:18" ht="75" customHeight="1" x14ac:dyDescent="0.25">
      <c r="A80" s="576" t="s">
        <v>994</v>
      </c>
      <c r="B80" s="573"/>
      <c r="C80" s="573"/>
      <c r="D80" s="573"/>
      <c r="F80" s="572"/>
      <c r="G80" s="460"/>
      <c r="H80" s="460"/>
    </row>
    <row r="81" spans="1:8" ht="15" customHeight="1" x14ac:dyDescent="0.25">
      <c r="A81" s="134" t="s">
        <v>731</v>
      </c>
      <c r="B81" s="130"/>
      <c r="C81" s="130"/>
      <c r="D81" s="130"/>
      <c r="F81" s="123"/>
      <c r="G81" s="135"/>
      <c r="H81" s="135"/>
    </row>
    <row r="82" spans="1:8" ht="75" customHeight="1" x14ac:dyDescent="0.25">
      <c r="A82" s="576" t="s">
        <v>342</v>
      </c>
      <c r="B82" s="573"/>
      <c r="C82" s="573"/>
      <c r="D82" s="573"/>
      <c r="F82" s="123"/>
      <c r="G82" s="135"/>
      <c r="H82" s="135"/>
    </row>
    <row r="83" spans="1:8" ht="15" customHeight="1" x14ac:dyDescent="0.25">
      <c r="A83" s="134" t="s">
        <v>732</v>
      </c>
      <c r="B83" s="130"/>
      <c r="C83" s="130"/>
      <c r="D83" s="130"/>
      <c r="F83" s="123"/>
      <c r="G83" s="135"/>
      <c r="H83" s="135"/>
    </row>
    <row r="84" spans="1:8" ht="75" customHeight="1" x14ac:dyDescent="0.25">
      <c r="A84" s="576" t="s">
        <v>735</v>
      </c>
      <c r="B84" s="573"/>
      <c r="C84" s="573"/>
      <c r="D84" s="573"/>
      <c r="F84" s="123"/>
      <c r="G84" s="135"/>
      <c r="H84" s="135"/>
    </row>
    <row r="85" spans="1:8" ht="15" customHeight="1" x14ac:dyDescent="0.25">
      <c r="A85" s="134" t="s">
        <v>736</v>
      </c>
      <c r="B85" s="130"/>
      <c r="C85" s="130"/>
      <c r="D85" s="130"/>
      <c r="F85" s="123"/>
      <c r="G85" s="135"/>
      <c r="H85" s="135"/>
    </row>
    <row r="86" spans="1:8" ht="117" customHeight="1" x14ac:dyDescent="0.25">
      <c r="A86" s="576" t="s">
        <v>737</v>
      </c>
      <c r="B86" s="573"/>
      <c r="C86" s="573"/>
      <c r="D86" s="573"/>
      <c r="F86" s="123"/>
      <c r="G86" s="135"/>
      <c r="H86" s="135"/>
    </row>
    <row r="87" spans="1:8" ht="15" customHeight="1" x14ac:dyDescent="0.25">
      <c r="A87" s="134" t="s">
        <v>343</v>
      </c>
      <c r="B87" s="130"/>
      <c r="C87" s="130"/>
      <c r="D87" s="130"/>
      <c r="F87" s="123"/>
      <c r="G87" s="135"/>
      <c r="H87" s="135"/>
    </row>
    <row r="88" spans="1:8" ht="75" customHeight="1" x14ac:dyDescent="0.25">
      <c r="A88" s="576" t="s">
        <v>344</v>
      </c>
      <c r="B88" s="573"/>
      <c r="C88" s="573"/>
      <c r="D88" s="573"/>
      <c r="F88" s="123"/>
      <c r="G88" s="135"/>
      <c r="H88" s="135"/>
    </row>
    <row r="89" spans="1:8" ht="15" customHeight="1" x14ac:dyDescent="0.25">
      <c r="A89" s="114" t="s">
        <v>345</v>
      </c>
      <c r="B89" s="114"/>
      <c r="E89" s="135"/>
      <c r="F89" s="135"/>
    </row>
    <row r="90" spans="1:8" ht="60.75" customHeight="1" x14ac:dyDescent="0.25">
      <c r="A90" s="572" t="s">
        <v>346</v>
      </c>
      <c r="B90" s="572"/>
      <c r="C90" s="573"/>
      <c r="D90" s="573"/>
      <c r="E90" s="135"/>
      <c r="F90" s="135"/>
    </row>
    <row r="91" spans="1:8" ht="15" customHeight="1" x14ac:dyDescent="0.25">
      <c r="A91" s="114" t="s">
        <v>347</v>
      </c>
      <c r="B91" s="123"/>
      <c r="C91" s="130"/>
      <c r="D91" s="130"/>
      <c r="E91" s="135"/>
      <c r="F91" s="135"/>
    </row>
    <row r="92" spans="1:8" ht="98.25" customHeight="1" x14ac:dyDescent="0.25">
      <c r="A92" s="571" t="s">
        <v>1029</v>
      </c>
      <c r="B92" s="571"/>
      <c r="C92" s="571"/>
      <c r="D92" s="571"/>
      <c r="E92" s="135"/>
      <c r="F92" s="136" t="s">
        <v>348</v>
      </c>
    </row>
    <row r="93" spans="1:8" ht="15" customHeight="1" x14ac:dyDescent="0.25">
      <c r="A93" s="114" t="s">
        <v>349</v>
      </c>
      <c r="B93" s="114"/>
      <c r="C93" s="130"/>
      <c r="D93" s="130"/>
      <c r="E93" s="135"/>
      <c r="F93" s="135"/>
    </row>
    <row r="94" spans="1:8" ht="39.950000000000003" customHeight="1" x14ac:dyDescent="0.25">
      <c r="A94" s="572" t="s">
        <v>995</v>
      </c>
      <c r="B94" s="572"/>
      <c r="C94" s="572"/>
      <c r="D94" s="572"/>
      <c r="E94" s="135"/>
      <c r="F94" s="135"/>
    </row>
    <row r="95" spans="1:8" ht="15" customHeight="1" x14ac:dyDescent="0.25">
      <c r="A95" s="114" t="s">
        <v>350</v>
      </c>
      <c r="B95" s="114"/>
      <c r="C95" s="130"/>
      <c r="D95" s="130"/>
      <c r="E95" s="135"/>
      <c r="F95" s="135"/>
    </row>
    <row r="96" spans="1:8" ht="127.5" customHeight="1" x14ac:dyDescent="0.25">
      <c r="A96" s="572" t="s">
        <v>723</v>
      </c>
      <c r="B96" s="572"/>
      <c r="C96" s="573"/>
      <c r="D96" s="573"/>
      <c r="E96" s="135"/>
      <c r="F96" s="135"/>
    </row>
    <row r="97" spans="1:6" ht="15" customHeight="1" x14ac:dyDescent="0.25">
      <c r="A97" s="129" t="s">
        <v>351</v>
      </c>
      <c r="B97" s="123"/>
      <c r="C97" s="130"/>
      <c r="D97" s="130"/>
      <c r="E97" s="135"/>
      <c r="F97" s="135"/>
    </row>
    <row r="98" spans="1:6" ht="45" customHeight="1" x14ac:dyDescent="0.25">
      <c r="A98" s="572" t="s">
        <v>352</v>
      </c>
      <c r="B98" s="572"/>
      <c r="C98" s="573"/>
      <c r="D98" s="573"/>
      <c r="E98" s="135"/>
      <c r="F98" s="135"/>
    </row>
    <row r="99" spans="1:6" ht="15" customHeight="1" x14ac:dyDescent="0.25">
      <c r="A99" s="114" t="s">
        <v>353</v>
      </c>
      <c r="B99" s="114"/>
      <c r="C99" s="130"/>
      <c r="D99" s="130"/>
      <c r="E99" s="135"/>
      <c r="F99" s="135"/>
    </row>
    <row r="100" spans="1:6" ht="125.25" customHeight="1" x14ac:dyDescent="0.25">
      <c r="A100" s="572" t="s">
        <v>1035</v>
      </c>
      <c r="B100" s="572"/>
      <c r="C100" s="574"/>
      <c r="D100" s="574"/>
      <c r="E100" s="135"/>
      <c r="F100" s="135"/>
    </row>
    <row r="101" spans="1:6" ht="15" customHeight="1" x14ac:dyDescent="0.25">
      <c r="A101" s="114" t="s">
        <v>697</v>
      </c>
      <c r="B101" s="123"/>
      <c r="C101" s="259"/>
      <c r="D101" s="259"/>
      <c r="E101" s="135"/>
      <c r="F101" s="135"/>
    </row>
    <row r="102" spans="1:6" ht="172.5" customHeight="1" x14ac:dyDescent="0.25">
      <c r="A102" s="572" t="s">
        <v>1036</v>
      </c>
      <c r="B102" s="573"/>
      <c r="C102" s="573"/>
      <c r="D102" s="573"/>
      <c r="E102" s="135"/>
      <c r="F102" s="135"/>
    </row>
    <row r="103" spans="1:6" ht="15" customHeight="1" x14ac:dyDescent="0.25">
      <c r="A103" s="114" t="s">
        <v>983</v>
      </c>
      <c r="B103" s="130"/>
      <c r="C103" s="130"/>
      <c r="D103" s="130"/>
      <c r="E103" s="135"/>
      <c r="F103" s="135"/>
    </row>
    <row r="104" spans="1:6" ht="141" customHeight="1" x14ac:dyDescent="0.25">
      <c r="A104" s="572" t="s">
        <v>1037</v>
      </c>
      <c r="B104" s="572"/>
      <c r="C104" s="574"/>
      <c r="D104" s="574"/>
      <c r="E104" s="135"/>
      <c r="F104" s="135"/>
    </row>
    <row r="105" spans="1:6" ht="15" customHeight="1" x14ac:dyDescent="0.25">
      <c r="A105" s="114" t="s">
        <v>984</v>
      </c>
      <c r="B105" s="130"/>
      <c r="C105" s="130"/>
      <c r="D105" s="130"/>
      <c r="E105" s="135"/>
      <c r="F105" s="135"/>
    </row>
    <row r="106" spans="1:6" ht="172.5" customHeight="1" x14ac:dyDescent="0.25">
      <c r="A106" s="572" t="s">
        <v>985</v>
      </c>
      <c r="B106" s="573"/>
      <c r="C106" s="573"/>
      <c r="D106" s="573"/>
      <c r="E106" s="135"/>
      <c r="F106" s="135"/>
    </row>
    <row r="107" spans="1:6" ht="15" customHeight="1" x14ac:dyDescent="0.25">
      <c r="A107" s="114" t="s">
        <v>354</v>
      </c>
      <c r="B107" s="123"/>
      <c r="C107" s="130"/>
      <c r="D107" s="130"/>
      <c r="E107" s="135"/>
      <c r="F107" s="135"/>
    </row>
    <row r="108" spans="1:6" ht="54.75" customHeight="1" x14ac:dyDescent="0.25">
      <c r="A108" s="572" t="s">
        <v>721</v>
      </c>
      <c r="B108" s="572"/>
      <c r="C108" s="574"/>
      <c r="D108" s="574"/>
      <c r="E108" s="135"/>
      <c r="F108" s="135"/>
    </row>
    <row r="109" spans="1:6" ht="15" customHeight="1" x14ac:dyDescent="0.25">
      <c r="A109" s="114" t="s">
        <v>699</v>
      </c>
      <c r="B109" s="123"/>
      <c r="C109" s="259"/>
      <c r="D109" s="259"/>
      <c r="E109" s="135"/>
      <c r="F109" s="135"/>
    </row>
    <row r="110" spans="1:6" ht="183.75" customHeight="1" x14ac:dyDescent="0.25">
      <c r="A110" s="572" t="s">
        <v>722</v>
      </c>
      <c r="B110" s="573"/>
      <c r="C110" s="573"/>
      <c r="D110" s="573"/>
      <c r="E110" s="135"/>
      <c r="F110" s="135"/>
    </row>
    <row r="111" spans="1:6" ht="15" customHeight="1" x14ac:dyDescent="0.25">
      <c r="A111" s="137" t="s">
        <v>986</v>
      </c>
      <c r="B111" s="123"/>
      <c r="C111" s="123"/>
      <c r="D111" s="123"/>
      <c r="E111" s="135"/>
      <c r="F111" s="135"/>
    </row>
    <row r="112" spans="1:6" ht="49.5" customHeight="1" x14ac:dyDescent="0.25">
      <c r="A112" s="572" t="s">
        <v>987</v>
      </c>
      <c r="B112" s="572"/>
      <c r="C112" s="572"/>
      <c r="D112" s="572"/>
      <c r="E112" s="135"/>
      <c r="F112" s="135"/>
    </row>
    <row r="113" spans="1:6" ht="15" customHeight="1" x14ac:dyDescent="0.25">
      <c r="A113" s="114" t="s">
        <v>698</v>
      </c>
      <c r="B113" s="123"/>
      <c r="C113" s="123"/>
      <c r="D113" s="123"/>
      <c r="E113" s="135"/>
      <c r="F113" s="135"/>
    </row>
    <row r="114" spans="1:6" ht="181.5" customHeight="1" x14ac:dyDescent="0.25">
      <c r="A114" s="572" t="s">
        <v>718</v>
      </c>
      <c r="B114" s="572"/>
      <c r="C114" s="572"/>
      <c r="D114" s="572"/>
      <c r="E114" s="135"/>
      <c r="F114" s="135"/>
    </row>
    <row r="115" spans="1:6" ht="15" customHeight="1" x14ac:dyDescent="0.25">
      <c r="A115" s="114" t="s">
        <v>355</v>
      </c>
      <c r="B115" s="114"/>
      <c r="C115" s="130"/>
      <c r="D115" s="130"/>
      <c r="E115" s="135"/>
      <c r="F115" s="135"/>
    </row>
    <row r="116" spans="1:6" ht="65.25" customHeight="1" x14ac:dyDescent="0.25">
      <c r="A116" s="572" t="s">
        <v>412</v>
      </c>
      <c r="B116" s="572"/>
      <c r="C116" s="574"/>
      <c r="D116" s="574"/>
      <c r="E116" s="135"/>
      <c r="F116" s="135"/>
    </row>
    <row r="117" spans="1:6" ht="15" customHeight="1" x14ac:dyDescent="0.25">
      <c r="A117" s="129" t="s">
        <v>1012</v>
      </c>
      <c r="B117" s="123"/>
      <c r="C117" s="123"/>
      <c r="D117" s="123"/>
      <c r="E117" s="135"/>
      <c r="F117" s="135"/>
    </row>
    <row r="118" spans="1:6" ht="111.75" customHeight="1" x14ac:dyDescent="0.25">
      <c r="A118" s="571" t="s">
        <v>1019</v>
      </c>
      <c r="B118" s="575"/>
      <c r="C118" s="575"/>
      <c r="D118" s="575"/>
      <c r="E118" s="135"/>
      <c r="F118" s="135"/>
    </row>
    <row r="119" spans="1:6" ht="15" customHeight="1" x14ac:dyDescent="0.25">
      <c r="A119" s="378" t="s">
        <v>1013</v>
      </c>
      <c r="B119" s="376"/>
      <c r="C119" s="376"/>
      <c r="D119" s="376"/>
      <c r="E119" s="135"/>
      <c r="F119" s="135"/>
    </row>
    <row r="120" spans="1:6" ht="110.25" customHeight="1" x14ac:dyDescent="0.25">
      <c r="A120" s="571" t="s">
        <v>1020</v>
      </c>
      <c r="B120" s="575"/>
      <c r="C120" s="575"/>
      <c r="D120" s="575"/>
      <c r="E120" s="135"/>
      <c r="F120" s="135"/>
    </row>
    <row r="121" spans="1:6" ht="15" customHeight="1" x14ac:dyDescent="0.25">
      <c r="A121" s="378" t="s">
        <v>700</v>
      </c>
      <c r="B121" s="377"/>
      <c r="C121" s="377"/>
      <c r="D121" s="377"/>
      <c r="E121" s="135"/>
      <c r="F121" s="135"/>
    </row>
    <row r="122" spans="1:6" ht="113.25" customHeight="1" x14ac:dyDescent="0.25">
      <c r="A122" s="571" t="s">
        <v>1030</v>
      </c>
      <c r="B122" s="575"/>
      <c r="C122" s="575"/>
      <c r="D122" s="575"/>
      <c r="E122" s="135"/>
      <c r="F122" s="135"/>
    </row>
    <row r="123" spans="1:6" ht="15" customHeight="1" x14ac:dyDescent="0.25">
      <c r="A123" s="378" t="s">
        <v>701</v>
      </c>
      <c r="B123" s="377"/>
      <c r="C123" s="377"/>
      <c r="D123" s="377"/>
      <c r="E123" s="135"/>
      <c r="F123" s="135"/>
    </row>
    <row r="124" spans="1:6" ht="112.5" customHeight="1" x14ac:dyDescent="0.25">
      <c r="A124" s="571" t="s">
        <v>1021</v>
      </c>
      <c r="B124" s="575"/>
      <c r="C124" s="575"/>
      <c r="D124" s="575"/>
      <c r="E124" s="135"/>
      <c r="F124" s="135"/>
    </row>
    <row r="125" spans="1:6" ht="15" customHeight="1" x14ac:dyDescent="0.25">
      <c r="A125" s="114" t="s">
        <v>714</v>
      </c>
      <c r="B125" s="123"/>
      <c r="C125" s="123"/>
      <c r="D125" s="123"/>
      <c r="E125" s="135"/>
      <c r="F125" s="135"/>
    </row>
    <row r="126" spans="1:6" ht="90.75" customHeight="1" x14ac:dyDescent="0.25">
      <c r="A126" s="571" t="s">
        <v>1022</v>
      </c>
      <c r="B126" s="571"/>
      <c r="C126" s="571"/>
      <c r="D126" s="571"/>
      <c r="E126" s="135"/>
      <c r="F126" s="135"/>
    </row>
    <row r="127" spans="1:6" ht="15" customHeight="1" x14ac:dyDescent="0.25">
      <c r="A127" s="379" t="s">
        <v>715</v>
      </c>
      <c r="B127" s="376"/>
      <c r="C127" s="376"/>
      <c r="D127" s="376"/>
      <c r="E127" s="135"/>
      <c r="F127" s="135"/>
    </row>
    <row r="128" spans="1:6" ht="96" customHeight="1" x14ac:dyDescent="0.25">
      <c r="A128" s="571" t="s">
        <v>1023</v>
      </c>
      <c r="B128" s="571"/>
      <c r="C128" s="571"/>
      <c r="D128" s="571"/>
      <c r="E128" s="135"/>
      <c r="F128" s="135"/>
    </row>
    <row r="129" spans="1:6" ht="15" customHeight="1" x14ac:dyDescent="0.25">
      <c r="A129" s="114" t="s">
        <v>356</v>
      </c>
      <c r="B129" s="123"/>
      <c r="C129" s="123"/>
      <c r="D129" s="123"/>
      <c r="E129" s="135"/>
      <c r="F129" s="135"/>
    </row>
    <row r="130" spans="1:6" ht="101.25" customHeight="1" x14ac:dyDescent="0.25">
      <c r="A130" s="572" t="s">
        <v>357</v>
      </c>
      <c r="B130" s="572"/>
      <c r="C130" s="572"/>
      <c r="D130" s="572"/>
      <c r="E130" s="135"/>
      <c r="F130" s="135"/>
    </row>
    <row r="131" spans="1:6" ht="15" customHeight="1" x14ac:dyDescent="0.25">
      <c r="A131" s="114" t="s">
        <v>358</v>
      </c>
      <c r="B131" s="123"/>
      <c r="C131" s="123"/>
      <c r="D131" s="123"/>
      <c r="E131" s="135"/>
      <c r="F131" s="135"/>
    </row>
    <row r="132" spans="1:6" ht="103.5" customHeight="1" x14ac:dyDescent="0.25">
      <c r="A132" s="572" t="s">
        <v>1034</v>
      </c>
      <c r="B132" s="572"/>
      <c r="C132" s="572"/>
      <c r="D132" s="572"/>
      <c r="E132" s="135"/>
      <c r="F132" s="135"/>
    </row>
    <row r="133" spans="1:6" ht="15" customHeight="1" x14ac:dyDescent="0.25">
      <c r="A133" s="114" t="s">
        <v>359</v>
      </c>
      <c r="B133" s="123"/>
      <c r="C133" s="123"/>
      <c r="D133" s="123"/>
      <c r="E133" s="135"/>
      <c r="F133" s="135"/>
    </row>
    <row r="134" spans="1:6" ht="63" customHeight="1" x14ac:dyDescent="0.25">
      <c r="A134" s="572" t="s">
        <v>360</v>
      </c>
      <c r="B134" s="572"/>
      <c r="C134" s="572"/>
      <c r="D134" s="572"/>
      <c r="E134" s="135"/>
      <c r="F134" s="135"/>
    </row>
    <row r="135" spans="1:6" ht="15" customHeight="1" x14ac:dyDescent="0.25">
      <c r="A135" s="114" t="s">
        <v>361</v>
      </c>
      <c r="B135" s="130"/>
      <c r="C135" s="130"/>
      <c r="D135" s="130"/>
      <c r="E135" s="135"/>
      <c r="F135" s="135"/>
    </row>
    <row r="136" spans="1:6" ht="63.75" customHeight="1" x14ac:dyDescent="0.25">
      <c r="A136" s="571" t="s">
        <v>1024</v>
      </c>
      <c r="B136" s="571"/>
      <c r="C136" s="571"/>
      <c r="D136" s="571"/>
      <c r="E136" s="135"/>
      <c r="F136" s="135"/>
    </row>
    <row r="137" spans="1:6" ht="15" customHeight="1" x14ac:dyDescent="0.25">
      <c r="A137" s="379" t="s">
        <v>362</v>
      </c>
      <c r="B137" s="377"/>
      <c r="C137" s="377"/>
      <c r="D137" s="377"/>
      <c r="E137" s="135"/>
      <c r="F137" s="135"/>
    </row>
    <row r="138" spans="1:6" ht="75.75" customHeight="1" x14ac:dyDescent="0.25">
      <c r="A138" s="571" t="s">
        <v>1025</v>
      </c>
      <c r="B138" s="571"/>
      <c r="C138" s="571"/>
      <c r="D138" s="571"/>
      <c r="E138" s="135"/>
      <c r="F138" s="135"/>
    </row>
    <row r="139" spans="1:6" ht="15" customHeight="1" x14ac:dyDescent="0.25">
      <c r="A139" s="378" t="s">
        <v>705</v>
      </c>
      <c r="B139" s="376"/>
      <c r="C139" s="376"/>
      <c r="D139" s="376"/>
      <c r="E139" s="135"/>
      <c r="F139" s="135"/>
    </row>
    <row r="140" spans="1:6" ht="196.5" customHeight="1" x14ac:dyDescent="0.25">
      <c r="A140" s="571" t="s">
        <v>1026</v>
      </c>
      <c r="B140" s="575"/>
      <c r="C140" s="575"/>
      <c r="D140" s="575"/>
      <c r="E140" s="135"/>
      <c r="F140" s="135"/>
    </row>
    <row r="141" spans="1:6" ht="15" customHeight="1" x14ac:dyDescent="0.25">
      <c r="A141" s="380" t="s">
        <v>363</v>
      </c>
      <c r="B141" s="377"/>
      <c r="C141" s="377"/>
      <c r="D141" s="377"/>
      <c r="E141" s="135"/>
      <c r="F141" s="135"/>
    </row>
    <row r="142" spans="1:6" ht="56.25" customHeight="1" x14ac:dyDescent="0.25">
      <c r="A142" s="571" t="s">
        <v>364</v>
      </c>
      <c r="B142" s="571"/>
      <c r="C142" s="571"/>
      <c r="D142" s="571"/>
      <c r="E142" s="135"/>
      <c r="F142" s="135"/>
    </row>
    <row r="143" spans="1:6" ht="24.75" customHeight="1" x14ac:dyDescent="0.25">
      <c r="A143" s="380" t="s">
        <v>365</v>
      </c>
      <c r="B143" s="377"/>
      <c r="C143" s="377"/>
      <c r="D143" s="377"/>
      <c r="E143" s="135"/>
      <c r="F143" s="135"/>
    </row>
    <row r="144" spans="1:6" ht="77.25" customHeight="1" x14ac:dyDescent="0.25">
      <c r="A144" s="571" t="s">
        <v>1027</v>
      </c>
      <c r="B144" s="571"/>
      <c r="C144" s="571"/>
      <c r="D144" s="571"/>
      <c r="E144" s="135"/>
      <c r="F144" s="135"/>
    </row>
    <row r="145" spans="1:6" ht="15" customHeight="1" x14ac:dyDescent="0.25">
      <c r="A145" s="114" t="s">
        <v>366</v>
      </c>
      <c r="B145" s="123"/>
      <c r="C145" s="123"/>
      <c r="D145" s="123"/>
      <c r="E145" s="135"/>
      <c r="F145" s="135"/>
    </row>
    <row r="146" spans="1:6" ht="73.5" customHeight="1" x14ac:dyDescent="0.25">
      <c r="A146" s="572" t="s">
        <v>561</v>
      </c>
      <c r="B146" s="572"/>
      <c r="C146" s="572"/>
      <c r="D146" s="572"/>
      <c r="E146" s="135"/>
      <c r="F146" s="135"/>
    </row>
    <row r="147" spans="1:6" ht="15" customHeight="1" x14ac:dyDescent="0.25">
      <c r="A147" s="114" t="s">
        <v>707</v>
      </c>
      <c r="B147" s="123"/>
      <c r="C147" s="123"/>
      <c r="D147" s="123"/>
      <c r="E147" s="135"/>
      <c r="F147" s="135"/>
    </row>
    <row r="148" spans="1:6" ht="124.5" customHeight="1" x14ac:dyDescent="0.25">
      <c r="A148" s="572" t="s">
        <v>996</v>
      </c>
      <c r="B148" s="573"/>
      <c r="C148" s="573"/>
      <c r="D148" s="573"/>
      <c r="E148" s="135"/>
      <c r="F148" s="135"/>
    </row>
    <row r="149" spans="1:6" ht="15" customHeight="1" x14ac:dyDescent="0.25">
      <c r="A149" s="114" t="s">
        <v>1005</v>
      </c>
      <c r="B149" s="123"/>
      <c r="C149" s="123"/>
      <c r="D149" s="123"/>
      <c r="E149" s="135"/>
      <c r="F149" s="135"/>
    </row>
    <row r="150" spans="1:6" ht="101.25" customHeight="1" x14ac:dyDescent="0.25">
      <c r="A150" s="571" t="s">
        <v>1031</v>
      </c>
      <c r="B150" s="571"/>
      <c r="C150" s="571"/>
      <c r="D150" s="571"/>
      <c r="E150" s="135"/>
      <c r="F150" s="135"/>
    </row>
    <row r="151" spans="1:6" ht="15" customHeight="1" x14ac:dyDescent="0.25">
      <c r="A151" s="114" t="s">
        <v>367</v>
      </c>
      <c r="B151" s="123"/>
      <c r="C151" s="123"/>
      <c r="D151" s="123"/>
      <c r="E151" s="135"/>
      <c r="F151" s="135"/>
    </row>
    <row r="152" spans="1:6" ht="89.25" customHeight="1" x14ac:dyDescent="0.25">
      <c r="A152" s="572" t="s">
        <v>741</v>
      </c>
      <c r="B152" s="572"/>
      <c r="C152" s="572"/>
      <c r="D152" s="572"/>
      <c r="E152" s="135"/>
      <c r="F152" s="135"/>
    </row>
    <row r="153" spans="1:6" ht="15" customHeight="1" x14ac:dyDescent="0.25">
      <c r="A153" s="114" t="s">
        <v>368</v>
      </c>
      <c r="B153" s="123"/>
      <c r="C153" s="123"/>
      <c r="D153" s="123"/>
      <c r="E153" s="135"/>
      <c r="F153" s="135"/>
    </row>
    <row r="154" spans="1:6" ht="83.25" customHeight="1" x14ac:dyDescent="0.25">
      <c r="A154" s="572" t="s">
        <v>993</v>
      </c>
      <c r="B154" s="572"/>
      <c r="C154" s="572"/>
      <c r="D154" s="572"/>
      <c r="E154" s="135"/>
      <c r="F154" s="135"/>
    </row>
    <row r="155" spans="1:6" ht="15" customHeight="1" x14ac:dyDescent="0.25">
      <c r="A155" s="129" t="s">
        <v>1006</v>
      </c>
      <c r="B155" s="123"/>
      <c r="C155" s="123"/>
      <c r="D155" s="123"/>
      <c r="E155" s="135"/>
      <c r="F155" s="135"/>
    </row>
    <row r="156" spans="1:6" ht="83.25" customHeight="1" x14ac:dyDescent="0.25">
      <c r="A156" s="572" t="s">
        <v>1007</v>
      </c>
      <c r="B156" s="573"/>
      <c r="C156" s="573"/>
      <c r="D156" s="573"/>
      <c r="E156" s="135"/>
      <c r="F156" s="135"/>
    </row>
    <row r="157" spans="1:6" ht="15" customHeight="1" x14ac:dyDescent="0.25">
      <c r="A157" s="114" t="s">
        <v>369</v>
      </c>
      <c r="B157" s="114"/>
    </row>
    <row r="158" spans="1:6" ht="39.75" customHeight="1" x14ac:dyDescent="0.25">
      <c r="A158" s="572" t="s">
        <v>997</v>
      </c>
      <c r="B158" s="572"/>
      <c r="C158" s="573"/>
      <c r="D158" s="573"/>
    </row>
    <row r="159" spans="1:6" ht="15" customHeight="1" x14ac:dyDescent="0.25">
      <c r="A159" s="114" t="s">
        <v>370</v>
      </c>
      <c r="B159" s="114"/>
    </row>
    <row r="160" spans="1:6" s="135" customFormat="1" ht="39" customHeight="1" x14ac:dyDescent="0.25">
      <c r="A160" s="572" t="s">
        <v>371</v>
      </c>
      <c r="B160" s="572"/>
      <c r="C160" s="573"/>
      <c r="D160" s="573"/>
    </row>
    <row r="161" spans="1:4" s="135" customFormat="1" ht="15" customHeight="1" x14ac:dyDescent="0.25">
      <c r="A161" s="114" t="s">
        <v>372</v>
      </c>
      <c r="B161" s="123"/>
      <c r="C161" s="130"/>
      <c r="D161" s="130"/>
    </row>
    <row r="162" spans="1:4" s="135" customFormat="1" ht="39.75" customHeight="1" x14ac:dyDescent="0.25">
      <c r="A162" s="572" t="s">
        <v>373</v>
      </c>
      <c r="B162" s="572"/>
      <c r="C162" s="573"/>
      <c r="D162" s="573"/>
    </row>
    <row r="163" spans="1:4" s="135" customFormat="1" ht="15" customHeight="1" x14ac:dyDescent="0.25">
      <c r="A163" s="114" t="s">
        <v>374</v>
      </c>
      <c r="B163" s="123"/>
      <c r="C163" s="130"/>
      <c r="D163" s="130"/>
    </row>
    <row r="164" spans="1:4" s="135" customFormat="1" ht="39.75" customHeight="1" x14ac:dyDescent="0.25">
      <c r="A164" s="572" t="s">
        <v>375</v>
      </c>
      <c r="B164" s="573"/>
      <c r="C164" s="573"/>
      <c r="D164" s="573"/>
    </row>
    <row r="165" spans="1:4" s="135" customFormat="1" ht="12.75" customHeight="1" x14ac:dyDescent="0.25"/>
    <row r="166" spans="1:4" s="135" customFormat="1" ht="16.5" customHeight="1" x14ac:dyDescent="0.25">
      <c r="A166" s="138" t="s">
        <v>376</v>
      </c>
    </row>
    <row r="167" spans="1:4" s="135" customFormat="1" ht="15" customHeight="1" x14ac:dyDescent="0.25">
      <c r="A167" s="115" t="s">
        <v>199</v>
      </c>
      <c r="B167" s="123" t="str">
        <f>A78</f>
        <v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Indien u gebruik maakt van houtige biomassa gelden minimum temperatuureisen voor toepassing van de warmte. Geeft u in dat geval een onderbouwing dat de geproduceerde warmte wordt toegepast in een verwarmingssysteem met een aanvoertemperatuur aan de gebruikerszijde van ten minste 100 °C in het stookseizoen of in een stoomsysteem (met gebruikerszijde wordt de eerste gebruiker van de warmte bedoeld).
</v>
      </c>
    </row>
    <row r="168" spans="1:4" s="135" customFormat="1" ht="15" customHeight="1" x14ac:dyDescent="0.25">
      <c r="A168" s="115" t="s">
        <v>189</v>
      </c>
      <c r="B168" s="123" t="str">
        <f>A80</f>
        <v>U onderbouwt de aangevraagde energieproductie uit de verbeterde slibgisting bij RWZI's. Bij de aanvraag maakt u aannemelijk dat de bestaande biogasproductie per ton slib met minimaal 25% kan worden verhoogd ten opzichte van voor de verbetering. De verbetering betreft 25% ten opzichte van de gemiddelde productie van het jaar voorafgaande aan de aanvraag, of, wanneer de producent minder dan een jaar produceert, ten opzichte van de totale gemiddelde productie tot het moment van de aanvraag. U geeft in een projectbeschrijving aan wat er verandert ten opzichte van de bestaande situatie en voegt hierbij een massa-energiebalans en een processchema toe van de bestaande en de nieuwe situatie. De installatiedelen die verantwoordelijk zijn voor de meerproductie van biogas moeten nieuw zijn. Geef in uw projectbeschrijving aan welke dit zijn.</v>
      </c>
    </row>
    <row r="169" spans="1:4" s="135" customFormat="1" ht="15" customHeight="1" x14ac:dyDescent="0.25">
      <c r="A169" s="115" t="s">
        <v>734</v>
      </c>
      <c r="B169" s="123" t="str">
        <f>A82</f>
        <v>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Daarnaast stelt u een renovatieplan op waaruit blijkt dat de productie-installatie geschikt wordt gemaakt om 12 jaar door te kunnen produceren.</v>
      </c>
    </row>
    <row r="170" spans="1:4" s="135" customFormat="1" ht="15" customHeight="1" x14ac:dyDescent="0.25">
      <c r="A170" s="115" t="s">
        <v>733</v>
      </c>
      <c r="B170" s="123" t="str">
        <f>A84</f>
        <v>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Daarnaast geeft u aan in welke extra faciliteit (ombouw) u gaat investeren.</v>
      </c>
    </row>
    <row r="171" spans="1:4" s="135" customFormat="1" ht="15" customHeight="1" x14ac:dyDescent="0.25">
      <c r="A171" s="115" t="s">
        <v>738</v>
      </c>
      <c r="B171" s="123" t="str">
        <f>A86</f>
        <v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Indien u gebruik maakt van houtige biomassa gelden minimum temperatuureisen voor toepassing van de warmte. Geeft u in dat geval een onderbouwing dat de geproduceerde warmte wordt toegepast in een verwarmingssysteem met een aanvoertemperatuur aan de gebruikerszijde van ten minste 100 °C in het stookseizoen of in een stoomsysteem (met gebruikerszijde wordt de eerste gebruiker van de warmte bedoeld).
Daarnaast stelt u een renovatieplan op waaruit blijkt dat de productie-installatie geschikt wordt gemaakt om 12 jaar door te kunnen produceren.
</v>
      </c>
    </row>
    <row r="172" spans="1:4" s="135" customFormat="1" ht="15" customHeight="1" x14ac:dyDescent="0.25">
      <c r="A172" s="115" t="s">
        <v>184</v>
      </c>
      <c r="B172" s="123" t="str">
        <f>A88</f>
        <v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v>
      </c>
    </row>
    <row r="173" spans="1:4" s="135" customFormat="1" ht="15" customHeight="1" x14ac:dyDescent="0.25">
      <c r="A173" s="115" t="s">
        <v>212</v>
      </c>
      <c r="B173" s="123" t="str">
        <f>A92</f>
        <v>Als u subsidie aanvraagt in de categorie geothermie moet u ter onderbouwing van de energieopbrengst een geologisch onderzoek overleggen: 
- Aan dit geologisch onderzoek worden nadere eisen gesteld: Het geologisch rapport dient te voldoen aan de eisen van het ‘Model Geologisch Onderzoek SDE+’, het ‘Model Geologisch Onderzoek van de Subsidieregeling Energie en Innovatie Risico’s dekken voor aardwarmte (SEI)’, of het ‘Model Geologisch Onderzoek van de Regeling nationale EZ-subsidies Risico’s dekken voor Aardwarmte (RNES)’. 
- Daarnaast stuurt u een processchema van de gehele productie-installatie mee, met daarin aangegeven de geothermische bron, de warmtepomp en temperaturen en debieten.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Tenslotte geldt dat het warmtevermogen van de warmtepomp tenminste 20% bedraagt van het warmtevermogen van de geothermische bron.</v>
      </c>
    </row>
    <row r="174" spans="1:4" s="135" customFormat="1" ht="15" customHeight="1" x14ac:dyDescent="0.25">
      <c r="A174" s="115" t="s">
        <v>217</v>
      </c>
      <c r="B174" s="123" t="str">
        <f>A90</f>
        <v>Als u subsidie aanvraagt in de categorie geothermie moet u ter onderbouwing van de energieopbrengst een geologisch onderzoek overleggen. Aan dit onderzoek worden nadere eisen gesteld. Het geologisch rapport dient te voldoen aan de eisen van het ‘Model Geologisch Onderzoek SDE+’, het ‘Model Geologisch Onderzoek van de Subsidieregeling Energie en Innovatie Risico’s dekken voor aardwarmte (SEI)’, of het ‘Model Geologisch Onderzoek van de Regeling nationale EZ-subsidies Risico’s dekken voor Aardwarmte (RNES)’.</v>
      </c>
    </row>
    <row r="175" spans="1:4" s="135" customFormat="1" ht="15" customHeight="1" x14ac:dyDescent="0.25">
      <c r="A175" s="115" t="s">
        <v>229</v>
      </c>
      <c r="B175" s="123" t="str">
        <f>A94</f>
        <v>Als u subsidie aanvraagt in de categorie waterkracht moet u ter onderbouwing van de jaarlijks te verwachten energieproductie een waterenergie-opbrengstberekening meesturen.</v>
      </c>
    </row>
    <row r="176" spans="1:4" ht="15" customHeight="1" x14ac:dyDescent="0.25">
      <c r="A176" s="115" t="s">
        <v>716</v>
      </c>
      <c r="B176" s="123" t="str">
        <f>A126</f>
        <v xml:space="preserve">U onderbouwt de aangevraagde energieproductie uit warmteontrekking aan drinkwater, afvalwater, zeewater of oppervlaktewater:
- Dit doet u onder andere door het opstellen van een massa-energiebalans. Deze bevat temperaturen en debieten. Dit kunt u doen door bijvoorbeeld de specificatie-sheets van de installatie mee te sturen. Bij complexere installaties stuurt u een processchema van de installatie mee.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Tevens toont u aan dat er sprake is van een nieuw warmteoverdrachtsstation. </v>
      </c>
    </row>
    <row r="177" spans="1:2" ht="15" customHeight="1" x14ac:dyDescent="0.25">
      <c r="A177" s="115" t="s">
        <v>717</v>
      </c>
      <c r="B177" s="123" t="str">
        <f>A128</f>
        <v xml:space="preserve">U onderbouwt de aangevraagde energieproductie uit warmteontrekking aan drinkwater, afvalwater, zeewater of oppervlaktewater:
- Dit doet u onder andere door het opstellen van een massa-energiebalans. Deze bevat temperaturen en debieten. Dit kunt u doen door bijvoorbeeld de specificatie-sheets van de installatie mee te sturen. Bij complexere installaties stuurt u een processchema van de installatie mee.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v>
      </c>
    </row>
    <row r="178" spans="1:2" ht="15" customHeight="1" x14ac:dyDescent="0.25">
      <c r="A178" s="115" t="s">
        <v>241</v>
      </c>
      <c r="B178" s="123" t="str">
        <f>A96</f>
        <v xml:space="preserve">U vraagt subsidie aan in de categorie wind op land, hoogtebeperkt. Ter onderbouwing van de jaarlijks te verwachten energieproductie (netto P50-waarde) moet u een windenergie-opbrengstberekening meesturen. Aan dit onderzoek worden nadere eisen gesteld. Meer informatie vindt u in de 'Handleiding haalbaarheidstudie SDE++’.
Daarnaast geeft u een onderbouwing dat er op de locatie van de productie-installatie sprake is van een hoogterestrictie bij of krachtens landelijke wet- en regelgeving in verband met de aanwezigheid van een luchthaven in de omgeving waardoor de tiphoogte van de windturbine beperkt is tot 150 meter of lager. Vanaf 2024 komen ook projecten voor deze categorie in aanmerking als zij hogere turbines niet kunnen realiseren in verband met mogelijke verstoring van het militair radarbeeld. Het gaat hierbij om productie-installaties die worden gerealiseerd in een plaatselijk luchtverkeersleidingsgebied rond de luchthavens Schiphol, De Kooy, Deelen, Eindhoven, Gilze-Rijen, Leeuwarden, De Peel, Volkel, Woensdreacht of het boven Nederlands grondgebied gelegen deel van de Kleine-Brogel. Deze gebieden zijn vastgesteld door de Minister van Infrastructuur en Waterstaat en zijn  opgenomen in hoofdstuk ENR 6 van de luchtvaartgids (als bedoeld in artikel 605, onderdeel a, onder 1.vijfde lid van de Regeling luchtverkeersdienstverlening van het Luchtvaartreglement, hoofdstuk ENR 6). 
</v>
      </c>
    </row>
    <row r="179" spans="1:2" ht="15" customHeight="1" x14ac:dyDescent="0.25">
      <c r="A179" s="115" t="s">
        <v>235</v>
      </c>
      <c r="B179" s="123" t="str">
        <f>A98</f>
        <v xml:space="preserve">U vraagt subsidie aan in een categorie windenergie. Ter onderbouwing van de jaarlijks te verwachten energieproductie (netto P50-waarde) moet u een windenergie-opbrengstberekening meesturen. Aan dit onderzoek worden nadere eisen gesteld. Meer informatie vindt u in de 'Handleiding haalbaarheidstudie SDE++’.
</v>
      </c>
    </row>
    <row r="180" spans="1:2" ht="15" customHeight="1" x14ac:dyDescent="0.25">
      <c r="A180" s="115" t="s">
        <v>252</v>
      </c>
      <c r="B180" s="123" t="str">
        <f>A100</f>
        <v xml:space="preserve">U vraagt subsidie aan voor een gebouwgebonden zon-PV-installatie. U hoeft geen energie-opbrengstberekening toe te voegen. Bij een gebouwgebonden zon-PV-installatie wordt de energieopbrengst (kWh/jaar) berekend door het piekvermogen van de installatie (in kWp) te vermenigvuldigen met 840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Ten slotte bent u verplicht om het ‘Verklaring van een constructeur’ bij uw aanvraag te voegen (het model vindt u op de website van RVO). Hierin moet een constructeur een verklaring geven over de belastbaarheid van het dak of de gevel volgens het Besluit bouwwerken leefomgeving. Het onderzoek laat u uitvoeren en ondertekenen door een constructeur.  Reden voor het invoeren van deze eis is dat de realisatie van gebouw gebonden projecten achterblijft op de verwachting. Eén van de meest aangegeven redenen hiervoor is dat na het ontvangen van een beschikking het dak alsnog niet geschikt blijkt en de kosten om het dak geschikt te maken te hoog zijn. </v>
      </c>
    </row>
    <row r="181" spans="1:2" ht="15" customHeight="1" x14ac:dyDescent="0.25">
      <c r="A181" s="115" t="s">
        <v>695</v>
      </c>
      <c r="B181" s="123" t="str">
        <f>A102</f>
        <v xml:space="preserve">U hoeft geen energie-opbrengstberekening toe te voegen. Bij een gebouwgebonden zon-PV-installatie wordt de energieopbrengst (kWh/jaar) berekend door het piekvermogen van de installatie (in kWp) te vermenigvuldigen met 840 vollasturen/jaar. 
Omdat u subsidie aanvraagt voor een categorie gebouwgebonden zon-PV-installatie waarbij het dak van een bestaand gebouw constructief moet worden aangepast of een draagconstructie moet worden toegepast die het dak ontlast en waarbij deze constructieve dakaanpassing of draagconstructie noodzakelijk is voor de realisatie van de productie-installatie, danwel bij het gebruik van het dak van een bestaand gebouw gebruik zal worden gemaakt van een productie-installatie met een maximaal gewicht van 10 kilogram per vierkante meter met zonnepanelen bedekt dakoppervlak wordt u  gevraagd toe te lichten welke aanpassing u gaat doen aan het dak om de plaatsing van de zon-PV-installatie mogelijk te maken tegen welke kosten. Of als u lichtgewicht zonnepanelen gaat plaatsen een onderbouwing van de kosten van de lichtgewichtpanelen. Het is belangrijk dat u aannemelijk maakt dat ook bij deze extra investeringskosten het project economisch haalbaar is. 
Daarbij bent u verplicht een 'Verklaring van een constructeur' bij uw aanvraag te voegen (het model vindt u op de website van RVO). In de verklaring vult de constructeur in wat er aan de constructie moet worden aangepast om deze geschikt te maken. 
Ten slotte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v>
      </c>
    </row>
    <row r="182" spans="1:2" ht="15" customHeight="1" x14ac:dyDescent="0.25">
      <c r="A182" s="115" t="s">
        <v>988</v>
      </c>
      <c r="B182" s="123" t="str">
        <f>A104</f>
        <v xml:space="preserve">U vraagt subsidie aan voor een zon-PV-installatie op oost-westgevels. U hoeft geen energie-opbrengstberekening toe te voegen. Bij zon-PV-installatie op oost-westgevels wordt de energieopbrengst (kWh/jaar) berekend door het piekvermogen van de installatie (in kWp) te vermenigvuldigen met 600 vollasturen/jaar. 
Wel wordt u gevraagd om een gedetailleerde tekening op schaal waarop de aangevraagde zon-PV-installatie nauwkeurig op de beoogde locatie is ingetekend, toe te voegen. Op deze tekening moet tevens de oriëntatie Oost – West van de zonnepanelen zijn aangegeven met de eventuele afwijking in aantal graden op het Oosten of het Westen. De afwijking van de zonnepaneeloriëntatie op het Oosten of het Westen mag niet meer dan 30 graden bedragen. Zijn of komen er op de beoogde locatie meer installaties, dan geeft u dit duidelijk aan. Uit de intekening moet naast het beschikbare geveloppervlak ook de oriëntatie van de installatie blijken. Alleen elektriciteit opgewekt door zonnepanelen met een oriëntatie op het oosten of het westen met een afwijking van ten hoogste dertig graden op die oriëntatie komt in aanmerking voor subsidie.
Ten slotte bent u verplicht om de ‘Verklaring van een constructeur’ bij uw aanvraag te voegen (het model vindt u op de website van RVO). Hierin moet een constructeur een verklaring geven over de belastbaarheid van de gevel volgens het Besluit bouwwerken leefomgeving. Het onderzoek laat u uitvoeren en ondertekenen door een constructeur. </v>
      </c>
    </row>
    <row r="183" spans="1:2" ht="15" customHeight="1" x14ac:dyDescent="0.25">
      <c r="A183" s="115" t="s">
        <v>992</v>
      </c>
      <c r="B183" s="123" t="str">
        <f>A108</f>
        <v xml:space="preserve">U vraagt subsidie aan voor een drijvende zon-PV-installatie zonder zonvolgsysteem. U hoeft geen energie-opbrengstberekening toe te voegen. Bij een drijvende zon-PV-installatie zonder zonvolgsysteem wordt de energieopbrengst (kWh/jaar) berekend door het piekvermogen van de installatie (in kWp) te vermenigvuldigen met 855 vollasturen/jaar. Wel wordt u gevraagd om een gedetailleerde tekening op schaal met oriëntatie (richting noorden) waarop de aangevraagde zon-PV-installatie nauwkeurig op de beoogde locatie is ingetekend, toe te voegen. Zijn of komen er op de beoogde locatie meer installaties, dan geeft u dit duidelijk aan. Uit de intekening moet ook de oriëntatie van de installatie blijken. </v>
      </c>
    </row>
    <row r="184" spans="1:2" ht="15" customHeight="1" x14ac:dyDescent="0.25">
      <c r="A184" s="115" t="s">
        <v>990</v>
      </c>
      <c r="B184" s="123" t="str">
        <f>A110</f>
        <v xml:space="preserve">U vraagt subsidie aan voor een natuurinclusief grondgebonden zon-PV-installatie zonder zonvolgsysteem. U hoeft geen energie-opbrengstberekening toe te voegen. Bij een grondgebonden zon-PV-installatie zonder zonvolgsysteem wordt de energieopbrengst (kWh/jaar) berekend door het piekvermogen van de installatie (in kWp) te vermenigvuldigen met 855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v>
      </c>
    </row>
    <row r="185" spans="1:2" ht="15" customHeight="1" x14ac:dyDescent="0.25">
      <c r="A185" s="115" t="s">
        <v>991</v>
      </c>
      <c r="B185" s="123" t="str">
        <f>A106</f>
        <v xml:space="preserve">U vraagt subsidie aan voor een natuurinclusief grondgebonden vertikaal zon-PV-installatie zonder zonvolgsysteem. U hoeft geen energie-opbrengstberekening toe te voegen. Bij een grondgebonden zon-PV-installatie zonder zonvolgsysteem wordt de energieopbrengst (kWh/jaar) berekend door het piekvermogen van de installatie (in kWp) te vermenigvuldigen met 825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v>
      </c>
    </row>
    <row r="186" spans="1:2" ht="15" customHeight="1" x14ac:dyDescent="0.25">
      <c r="A186" s="115" t="s">
        <v>989</v>
      </c>
      <c r="B186" s="123" t="str">
        <f>A112</f>
        <v xml:space="preserve">U vraagt subsidie aan in een categorie drijvende zon-PV met een zonvolgend systeem. Ter onderbouwing van de jaarlijks te verwachten netto elektriciteitsproductie moet u een zonne-energie-opbrengstberekening meesturen. Aan dit onderzoek worden nadere eisen gesteld. Meer informatie vindt u in de 'Handleiding haalbaarheidstudie SDE++'. Daarnaast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v>
      </c>
    </row>
    <row r="187" spans="1:2" ht="15" customHeight="1" x14ac:dyDescent="0.25">
      <c r="A187" s="115" t="s">
        <v>696</v>
      </c>
      <c r="B187" s="123" t="str">
        <f>A114</f>
        <v xml:space="preserve">U vraagt subsidie aan in een categorie natuurinclusief grondgebonden zon-PV met een zonvolgend systeem. Ter onderbouwing van de jaarlijks te verwachten netto elektriciteitsproductie moet u een zonne-energie-opbrengstberekening meesturen. Aan dit onderzoek worden nadere eisen gesteld. Meer informatie vindt u in de 'Handleiding haalbaarheidstudie SDE++'. Daarnaast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v>
      </c>
    </row>
    <row r="188" spans="1:2" ht="15" customHeight="1" x14ac:dyDescent="0.25">
      <c r="A188" s="115" t="s">
        <v>259</v>
      </c>
      <c r="B188" s="123" t="str">
        <f>A116</f>
        <v xml:space="preserve">Voor de categorie zonthermie hoeft u geen energie-opbrengstberekening toe te voegen. Bij een zonthermiesysteem met afgedekte collectoren bedraagt het vermogen van een zonthermie installatie 0,7 kWth/m2 apertuuroppervlakte. Bij zonnecollectorsystemen met zonvolgende concentrerende collectoren  bedraagt het vermogen van een zonthermie installatie 0,7 kWth/m2 aangestraald oppervlak van de spiegels of lenzen voor het concentreren van zonlicht. De energieopbrengst (kWh/jaar) wordt berekend door het totaal thermisch vermogen van de installatie (in kW) te vermenigvuldigen met 600 vollasturen/jaar. Wel wordt u gevraagd om een gedetailleerde tekening op schaal waarop de aangevraagde zonthermie-installatie nauwkeurig op de beoogde locatie is ingetekend, toe te voegen. Zijn of komen er op de beoogde locatie meer installaties, dan geeft u dit duidelijk aan. Uit de intekening moet ook de oriëntatie van de installatie blijken. Bereken ingeval van een dakgebonden systeem het beschikbare dakoppervlak en houd rekening met lichtstraten en klimaatinstallaties die op het dak staan.
</v>
      </c>
    </row>
    <row r="189" spans="1:2" ht="15" customHeight="1" x14ac:dyDescent="0.25">
      <c r="A189" s="115" t="s">
        <v>154</v>
      </c>
      <c r="B189" s="123" t="str">
        <f>A118</f>
        <v xml:space="preserve">U onderbouwt de aangevraagde energieproductie uit het zon-PVT met warmtepompsysteem: 
- Dit doet u onder andere door het opstellen van een massa-energiebalans over het jaar: Deze bevat temperaturen en debieten. Dit kunt u doen door bijvoorbeeld de specificatie-sheets van de installatie mee te sturen. Daarnaast stuurt u een processchema van de gehele productie-installatie mee, met daarin aangegeven het zonthermische systeem, de eventuele seizoensopslag voor warmte, de warmtepomp en temperaturen en debieten.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Verder onderbouwt u dat de oppervlakte aan fotovoltaïsch-thermische panelen minimaal 1,2 m² per kWth aan vermogen van de warmtepomp bedraagt en voegt u een gedetailleerde tekening op schaal toe waarop de zonnepanelen nauwkeurig op de beoogde locatie zijn ingetekend. Zijn of komen er op de beoogde locatie meer installaties, dan geeft u dit duidelijk aan. Uit de intekening moet ook de oriëntatie van de installatie blijken. 
- Tenslotte voegt u, in geval de installatie op een gebouw wordt geplaatst, een "Draagkracht dakconstructieberekening" bij de haalbaarheidsstudie.
</v>
      </c>
    </row>
    <row r="190" spans="1:2" ht="15" customHeight="1" x14ac:dyDescent="0.25">
      <c r="A190" s="115" t="s">
        <v>1014</v>
      </c>
      <c r="B190" s="123" t="str">
        <f>A120</f>
        <v xml:space="preserve">U onderbouwt de aangevraagde energieproductie uit het zon-PVT met warmtepompsysteem: 
- Dit doet u onder andere door het opstellen van een massa-energiebalans over het jaar: Deze bevat temperaturen en debieten. Dit kunt u doen door bijvoorbeeld de specificatie-sheets van de installatie mee te sturen. Daarnaast stuurt u een processchema van de gehele productie-installatie mee, met daarin aangegeven het zonthermische systeem, de eventuele seizoensopslag voor warmte, de warmtepomp en temperaturen en debieten.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Verder onderbouwt u dat de oppervlakte aan fotovoltaïsch-thermische panelen minimaal 3,0 m² per kWth aan vermogen van de warmtepomp bedraagt en voegt u een gedetailleerde tekening op schaal toe waarop de zonnepanelen nauwkeurig op de beoogde locatie zijn ingetekend. Zijn of komen er op de beoogde locatie meer installaties, dan geeft u dit duidelijk aan. Uit de intekening moet ook de oriëntatie van de installatie blijken. 
- Tenslotte voegt u, in geval de installatie op een gebouw wordt geplaatst, een "Draagkracht dakconstructieberekening" bij de haalbaarheidsstudie.
</v>
      </c>
    </row>
    <row r="191" spans="1:2" ht="15" customHeight="1" x14ac:dyDescent="0.25">
      <c r="A191" s="115" t="s">
        <v>703</v>
      </c>
      <c r="B191" s="123" t="str">
        <f>A122</f>
        <v xml:space="preserve">U onderbouwt de aangevraagde energieproductie uit de lucht-water warmtepomp. Dit doet u onder andere door het opstellen van een energiebalans over het jaar. Deze bevat temperaturen en debieten. Dit kunt u doen door bijvoorbeeld de specificatie-sheets van de installatie mee te sturen. Daarnaast stuurt u een processchema van de gehele productie-installatie mee, met daarin aangegeven de lucht-water warmtepomp.  
Aan de lucht-water warmtepomp worden temperatuur- en rendementseisen gesteld:
- De leveringstemperatuur van de warmtepomp bedraagt tenminste 70 ⁰C in het stookseizoen bij -10⁰ C buitentemperatuur of lager. Bij hogere buitentemperaturen mag de warmtepomp ook op een lagere aanvoertemperatuur leveren.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De geproduceerde warmte mag enkel worden gebruikt voor de verwarming van bestaande gebouwen in de gebouwde omgeving. </v>
      </c>
    </row>
    <row r="192" spans="1:2" ht="15" customHeight="1" x14ac:dyDescent="0.25">
      <c r="A192" s="115" t="s">
        <v>704</v>
      </c>
      <c r="B192" s="123" t="str">
        <f>A124</f>
        <v xml:space="preserve">U onderbouwt de aangevraagde energieproductie uit de lucht-water warmtepomp. Dit doet u onder andere door het opstellen van een energiebalans over het jaar. Deze bevat temperaturen en debieten. Dit kunt u doen door bijvoorbeeld de specificatie-sheets van de installatie mee te sturen. Daarnaast stuurt u een processchema van de gehele productie-installatie mee, met daarin aangegeven de lucht-water warmtepomp.  
Aan de lucht-water warmtepomp worden temperatuur- en rendementseisen gesteld:
- De leveringstemperatuur van de warmtepomp bedraagt tenminste 40 ⁰C in het stookseizoen bij -10⁰ C buitentemperatuur of lager. Bij hogere buitentemperaturen mag de warmtepomp ook op een lagere aanvoertemperatuur leveren. 
- Ook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 
- De geproduceerde warmte mag enkel worden gebruikt voor de verwarming van bestaande gebouwen en tuinbouwkassen. </v>
      </c>
    </row>
    <row r="193" spans="1:2" ht="15" customHeight="1" x14ac:dyDescent="0.25">
      <c r="A193" s="115" t="s">
        <v>268</v>
      </c>
      <c r="B193" s="123" t="str">
        <f>A130</f>
        <v>U onderbouwt de aangevraagde hoeveelheid CO₂ die u gaat afvangen en opslaan. Dit kunt u doen door bijvoorbeeld de specificatie-sheets van de CO₂ -afvanginstallatie en een beschrijving van het proces waarbij uit restgassen waterstof wordt geproduceert en CO₂ vrijkomt en afgevangen wordt toe te voegen. Daarnaast geeft u aan voor welk proces de geproduceerde waterstof voor ondervuring wordt ingezet. Tevens geeft u aan of uw project een bestaande of nieuwe afvanginstallatie betreft bij een bestaand of nieuw proces en vermeldt u of er gebruik wordt gemaakt van een nieuwe compressor of vervloeiingsinstallatie. 
Verder voegt u de capaciteitsverklaring(en) van de transport-en opslagpartijen toe waarmee u aantoont dat de afgevangen hoeveelheid CO₂ kan worden getransporteerd en opgeslagen. Ten slotte voegt u rapport(en) toe over de infrastructuur voor transport en de opslag die zijn opgesteld door de transport-en opslagpartijen, die voldoen aan het model 'Vereiste informatie transport- en opslagverklaring’, gepubliceerd op de website van de Rijksdienst voor Ondernemend Nederland.</v>
      </c>
    </row>
    <row r="194" spans="1:2" ht="15" customHeight="1" x14ac:dyDescent="0.25">
      <c r="A194" s="115" t="s">
        <v>265</v>
      </c>
      <c r="B194" s="120" t="str">
        <f>A132</f>
        <v xml:space="preserve">U onderbouwt de aangevraagde hoeveelheid CO₂ die u gaat afvangen en opslaan. Dit kunt u doen door bijvoorbeeld de specificatie-sheets van de CO₂ -afvanginstallatie en een beschrijving van het proces waarbij de CO₂ vrijkomt en afgevangen wordt toe te voegen. Daarbij geeft u tevens aan of uw project een bestaande of nieuwe afvanginstallatie betreft bij een bestaand of nieuw proces. Daarnaast vermeldt u of er gebruik wordt gemaakt van een nieuwe compressor of vervloeiingsinstallatie. 
Verder voegt u de capaciteitsverklaring(en) van de transport-en opslagpartijen toe waarmee u aantoont dat de afgevangen hoeveelheid CO₂ kan worden getransporteerd en opgeslagen, hiervoor is een model beschikbaar op de website van Rijksdienst voor Ondernemend Nederland. Ten slotte voegt u rapport(en) toe over de infrastructuur voor transport en de opslag die zijn opgesteld door de transport-en opslagpartijen, die voldoen aan het model 'Vereiste informatie transport- en opslagverklaring’, gepubliceerd op de website van de Rijksdienst voor Ondernemend Nederland. Alleen ETS-bedrijven  kunnen in de SDE++ gebruik maken van de optie om CO2 in het buitenland op te laten slaan. </v>
      </c>
    </row>
    <row r="195" spans="1:2" ht="15" customHeight="1" x14ac:dyDescent="0.25">
      <c r="A195" s="115" t="s">
        <v>269</v>
      </c>
      <c r="B195" s="120" t="str">
        <f>A134</f>
        <v>U onderbouwt de aangevraagde hoeveelheid CO₂ die u gaat afvangen en leveren aan de glastuinbouw. Dit kunt u doen door bijvoorbeeld de specificatie-sheets van de CO₂-afvanginstallatie en een beschrijving van het proces waarbij de CO₂ vrijkomt en afgevangen wordt toe te voegen. Daarbij geeft u tevens aan of het een bestaande of nieuwe afvanginstallatie en of het een bestaand of nieuw proces betreft. Daarnaast voegt u een plattegrond met het beoogde leidingtracé van CO₂ -afvang tot CO₂-levering toe. Ook geeft u aan of u als aanvrager zelf de CO₂ gaat transporteren of laat transporteren door een derde. Indien u gebruik maakt van vloeibaar transport per schip of vrachtwagen geeft u dat ook aan en beschrijft u over welk traject dat gaat plaatsvinden. Ook geeft u een onderbouwing van de CO₂-afzet in de glastuinbouw, bijvoorbeeld aan de hand van een intentieverklaring van afnemers.</v>
      </c>
    </row>
    <row r="196" spans="1:2" ht="15" customHeight="1" x14ac:dyDescent="0.25">
      <c r="A196" s="115" t="s">
        <v>273</v>
      </c>
      <c r="B196" s="120" t="str">
        <f>A136</f>
        <v xml:space="preserve">U onderbouwt de hoeveelheid warmte die het elektrisch aangedreven gesloten warmtepompsysteem op jaarbasis gaat leveren:
- U voegt een processchema toe met debieten en temperaturen waaruit blijkt uit welke warmtebron of warmtestroom de warmtepomp de warmte onttrekt, welke warmstroom door de warmtepomp wordt opgewaardeerd en voor welk proces deze warmte benut wordt. 
- Ook geeft u een berekening van de jaargemiddelde COP-waarde van de warmtepomp voor de gebruiksomstandigheden binnen het productieproces waarbij de warmtepomp wordt toegepast, met onderbouwing van de gemiddelde brontemperatuur, gemiddelde bronretour en de gemiddelde aanvoer en retourtemperatuur van het warmtenet/afnemer bij gebruikersomstandigheden. Deze jaargemiddelde COP-waarde van de warmtepomp dient ten minste 2,3 te bedragen. 
- Tenslotte geldt dat de productie-installatie warmte produceert die op dezelfde locatie wordt gebruikt voor een industriële toepassing, niet zijnde tuinbouw, en dat er geen koude wordt geleverd. </v>
      </c>
    </row>
    <row r="197" spans="1:2" ht="15" customHeight="1" x14ac:dyDescent="0.25">
      <c r="A197" s="115" t="s">
        <v>277</v>
      </c>
      <c r="B197" s="120" t="str">
        <f>A138</f>
        <v xml:space="preserve">U onderbouwt de hoeveelheid warmte die het elektrisch aangedreven open warmtepompsysteem (damprecompressie) op jaarbasis gaat leveren:
- U geeft daarbij aan voor welk industrieel proces het open warmtepompsysteem wordt toegepast en voegt een processchema toe met temperaturen en debieten. 
- Ook geeft u een berekening van de jaargemiddelde COP-waarde van de warmtepomp voor de gebruiksomstandigheden binnen het productieproces waarbij de warmtepomp wordt toegepast, met onderbouwing van de gemiddelde brontemperatuur, gemiddelde bronretour en de gemiddelde aanvoer en retourtemperatuur van het warmtenet/afnemer bij gebruikersomstandigheden. Deze jaargemiddelde COP-waarde van de warmtepomp dient ten minste 2,3 te bedragen. 
- Tenslotte geldt dat de productie-installatie warmte produceert die op dezelfde locatie wordt gebruikt voor een industriële toepassing, niet zijnde tuinbouw, en dat er geen koude wordt geleverd. </v>
      </c>
    </row>
    <row r="198" spans="1:2" ht="15" customHeight="1" x14ac:dyDescent="0.25">
      <c r="A198" s="115" t="s">
        <v>702</v>
      </c>
      <c r="B198" s="120" t="str">
        <f>A140</f>
        <v xml:space="preserve">U vraagt aan in de categorie procesgeïntegreerde warmtepomp waarbij warmte wordt hergebruikt in een op het moment van de aanvraag bestaand verdampingsproces door middel van een of meerdere elektrisch aangedreven warmtepompen met een totaal thermisch vermogen van minimaal 500 kWth waarbij de hoeveelheid bespaarde ingaande warmte per hoeveelheid extra opgenomen elektriciteit bij vollast bedrijf bedraagt ten minste 2,5 bedraagt, bepaald op een fictieve gesloten omhulling waarbinnen zich de warmtepomp of warmtepompen en de tot de productie-installatie behorende procesaanpassingen bevinden. De hoeveelheid subsidiabele warmte is voor deze categorie vastgesteld op een factor 3 keer de hoeveelheid extra opgenomen elektriciteit van de warmtepomp. Het bestaande verdampingsproces wordt ten minste aangepast door: 
a) over te stappen van een bedrijfsvoering waarbij de reactor telkens een bepaalde hoeveelheid product verwerkt, waarbij de reactor helemaal geleegd moet worden alvorens te worden gevuld, naar een bedrijfsvoering waarbij voortdurend product wordt toegevoegd en verwijderd, waarbij het verdampingsproces behoudens uitval of pauzes in stationaire toestand plaatsvindt; of 
b) het plaatsen van een nieuw verdampingsvat of een nieuwe verdampingsreactor om de warmtepomp te kunnen integreren; of 
c) het installeren van een nieuwe verdampingskap of een nieuwe warmtewisselaar ten behoeve van het terugwinnen van latente warmte uit de verdampingsinstallatie. 
U onderbouwt welke van de hierboven genoemde procesaanpassingen u gaat doen. Daarnaast onderbouwt u de hoeveelheid warmte die het elektrisch aangedreven procesgeintegreerde warmtepompsysteem op jaarbasis gaat leveren:
- U geeft daarbij aan voor welk industrieel proces het warmtepompsysteem wordt toegepast en voegt een processchema toe met temperaturen en debieten. Ook geeft u een berekening van de uitgespaarde hoeveelheid warmte en het extra opgenomen elektrische energie van het warmtepompsysteem. 
- U toont aan dat het geïntegreerde warmtepompsysteem kan voldoen aan de COP-eis van 2,5 (COP = reductie warmtevraag gedeeld door de extra opgenomen elektrische energie) binnen het bestaande verdampingsproces waarbij de warmtepomp wordt toegepast. 
- Tenslotte geldt dat de productie-installatie warmte produceert die op dezelfde locatie wordt gebruikt voor een industriële toepassing, niet zijnde tuinbouw, en dat er geen koude wordt geleverd. </v>
      </c>
    </row>
    <row r="199" spans="1:2" ht="15" customHeight="1" x14ac:dyDescent="0.25">
      <c r="A199" s="115" t="s">
        <v>279</v>
      </c>
      <c r="B199" s="120" t="str">
        <f>A142</f>
        <v>U onderbouwt de hoeveelheid restwarmte die op jaarbasis wordt uitgekoppeld. U geeft daarbij aan uit welk productieproces de restwarmte afkomstig is, wat het temperatuurniveau is en wat er in de bestaande situatie met de restwarmte werd gedaan. Daarnaast geeft u aan wat het vermogen is van de restwarmtestroom en voor welke nuttige aanwending de restwarmte in de nieuwe situatie krijgt. Ook voegt u een plattegrond toe van het beoogde leidingtracé met leidingdiameters en leidinglengte van uitkoppeling tot aan de afnemer van de restwarmte. Ten slotte geeft u voor uw project een onderbouwing dat uw project voldoet aan de gestelde rato voor vermogen en leidinglengte van de categorie waarvoor u subsidie aanvraagt (deze rato is de som van nieuw aan te leggen warmtetransportleidingen en het vermogen van de restwarmtestroom, uitgedrukt in km/MWth).</v>
      </c>
    </row>
    <row r="200" spans="1:2" ht="15" customHeight="1" x14ac:dyDescent="0.25">
      <c r="A200" s="115" t="s">
        <v>284</v>
      </c>
      <c r="B200" s="120" t="str">
        <f>A144</f>
        <v>U onderbouwt de hoeveelheid restwarmte die op jaarbasis wordt uitgekoppeld:
- U geeft daarbij aan uit welk productieproces de restwarmte afkomstig is, wat het temperatuurniveau is en wat er in de bestaande situatie met de restwarmte werd gedaan. Daarnaast geeft u aan wat het vermogen is van de restwarmtestroom en voor welke nuttige aanwending en op welk temperatuurniveau de restwarmte die opgewaardeerd wordt met een warmtepomp in de nieuwe situatie krijgt. 
- Ook voegt u een plattegrond toe van het beoogde leidingtracé met warmtepomp van uitkoppeling tot aan de afnemer van de restwarmte. 
- Ten slotte geeft u een berekening van de jaargemiddelde COP-waarde van de warmtepomp voor de gebruiksomstandigheden waarvoor deze wordt toegepast, met onderbouwing van de gemiddelde brontemperatuur, gemiddelde bronretour en de gemiddelde aanvoer en retourtemperatuur van het warmtenet/afnemer bij gebruikersomstandigheden. Deze jaargemiddelde COP-waarde van de warmtepomp dient ten minste 2,5 te bedragen.</v>
      </c>
    </row>
    <row r="201" spans="1:2" ht="15" customHeight="1" x14ac:dyDescent="0.25">
      <c r="A201" s="115" t="s">
        <v>289</v>
      </c>
      <c r="B201" s="120" t="str">
        <f>A146</f>
        <v xml:space="preserve">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in het stookseizoen of in een stoomsysteem (met gebruikerszijde wordt de eerste gebruiker van de warmte bedoeld).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v>
      </c>
    </row>
    <row r="202" spans="1:2" ht="15" customHeight="1" x14ac:dyDescent="0.25">
      <c r="A202" s="115" t="s">
        <v>706</v>
      </c>
      <c r="B202" s="120" t="str">
        <f>A148</f>
        <v xml:space="preserve">U vraagt aan voor de categorie elektroboiler met thermische opslag met een vermogen van minimaal 2 MWth voor gebruik op locatie voor een industriële toepassing, niet zijnde tuinbouw, waarbij sprake is van de uitgestelde levering van warmte door de toepassing van thermische opslag. 
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of in een stoomsysteem.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Het nominaal elektrisch vermogen van de productie-installatie bedraagt minstens anderhalf keer het nominaal thermisch vermogen van de productie-installatie, waarbij de opslagcapaciteit ten minste 4 MWh per MW thermisch vermogen van de productie-installatie moet bedragen. Het nominaal thermisch vermogen van de productie-installatie bedraagt ten hoogste 50 MWth. </v>
      </c>
    </row>
    <row r="203" spans="1:2" ht="15" customHeight="1" x14ac:dyDescent="0.25">
      <c r="A203" s="115" t="s">
        <v>1004</v>
      </c>
      <c r="B203" s="371" t="str">
        <f>A150</f>
        <v xml:space="preserve">Indien u aanvraagt in de categorie elektroboiler voortzetting, moet u aantonen dat de exploitatiekosten van de productie-installatie ertoe leiden dat die voortzetting onrendabel is. Indien u reeds eerder een SDE++ subsidieverlening hebt ontvangen dan dient u een verzoek tot intrekking in te dienen voor deze subsidieverlening.
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in het stookseizoen of in een stoomsysteem (met gebruikerszijde wordt de eerste gebruiker van de warmte bedoeld).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v>
      </c>
    </row>
    <row r="204" spans="1:2" ht="15" customHeight="1" x14ac:dyDescent="0.25">
      <c r="A204" s="115" t="s">
        <v>291</v>
      </c>
      <c r="B204" s="120" t="str">
        <f>A152</f>
        <v>Als u subsidie aanvraagt in de categorie waterstof uit elektrolyse netgekoppeld, moet u ter onderbouwing een beschrijving van uw productie-installatie meesturen en een onderbouwing van de jaarlijkse hoeveelheid waterstofproductie. 
Verder geldt dat uitsluitend subsidie wordt verstrekt voor de waterstof die volledig hernieuwbaar is en voldoet aan de gedelegeerde verordening (er moeten hernieuwbare stroomovereenkomsten worden afgesloten die betrekking hebben op de levering van hernieuwbare elektriciteit uit wind- of zonne-energie). Tijdens de exploitatie dient u dan te beschikken over het bewijs van afboeking van garanties van oorsprong (GvO) voor hernieuwbare elektriciteit, die zijn uitgegeven voor productie-installaties voor de productie van hernieuwbare elektriciteit uit wind- of zonne-energie waarvoor de hernieuwbare stroomafnameovereenkomsten zijn aangegaan.</v>
      </c>
    </row>
    <row r="205" spans="1:2" ht="15" customHeight="1" x14ac:dyDescent="0.25">
      <c r="A205" s="115" t="s">
        <v>293</v>
      </c>
      <c r="B205" s="120" t="str">
        <f>A154</f>
        <v xml:space="preserve">Als u subsidie aanvraagt in de categorie waterstof uit elektrolyse met directe lijn met een wind- of zonnepark, moet u ter onderbouwing een beschrijving van uw productie-installatie voor waterstof en een beschrijving van het wind-of zonnepark waaraan de waterstofproductie-installatie is gekoppeld meesturen. Daarnaast moet u een onderbouwing geven van de jaarlijkse hoeveelheid waterstofproductie. 
</v>
      </c>
    </row>
    <row r="206" spans="1:2" ht="15" customHeight="1" x14ac:dyDescent="0.25">
      <c r="A206" s="115" t="s">
        <v>783</v>
      </c>
      <c r="B206" s="371" t="str">
        <f>A156</f>
        <v xml:space="preserve">Om voor deze categorie te mogen indienen moet de producent die met een productie-installatie waterstof produceert uit afvalstoffen houder zijn van een vergunning voor het exploiteren van een afvalverwerkingsinstallatie, waarin, ingevolge die vergunning, uitsluitend afvalstoffen of voorbewerkte afvalstoffen mogen worden ingezet die op basis van de minimumstandaarden in het afvalbeheerplan, bedoeld in artikel 10.3 van de Wet milieubeheer, mogen worden verbrand of mogen worden gestort of die zijn geproduceerd uit dergelijke afvalstoffen. U wordt gevraagd een processchema mee te sturen met een massa-energiebalans voor de productie van waterstof door middel van vergassing van afval. </v>
      </c>
    </row>
    <row r="208" spans="1:2" x14ac:dyDescent="0.25">
      <c r="A208" s="114" t="s">
        <v>377</v>
      </c>
    </row>
    <row r="209" spans="1:6" x14ac:dyDescent="0.25">
      <c r="A209" s="119" t="str">
        <f>VLOOKUP(Hulpblad_categorieën_parameters!D81,Hulpblad_categorieën_parameters!A87:AH332,23,FALSE)</f>
        <v xml:space="preserve">Gebouwgebonden Zon-PV </v>
      </c>
      <c r="B209" s="139"/>
      <c r="C209" s="139"/>
      <c r="D209" s="139"/>
    </row>
    <row r="210" spans="1:6" x14ac:dyDescent="0.25">
      <c r="B210" s="139"/>
      <c r="C210" s="139"/>
      <c r="D210" s="139"/>
    </row>
    <row r="211" spans="1:6" x14ac:dyDescent="0.25">
      <c r="B211" s="139"/>
      <c r="C211" s="139"/>
      <c r="D211" s="139"/>
    </row>
    <row r="212" spans="1:6" ht="18" customHeight="1" x14ac:dyDescent="0.25">
      <c r="A212" s="140" t="s">
        <v>378</v>
      </c>
      <c r="B212" s="141" t="s">
        <v>191</v>
      </c>
      <c r="C212" s="141" t="s">
        <v>379</v>
      </c>
      <c r="D212" s="141" t="s">
        <v>380</v>
      </c>
      <c r="E212" s="141" t="s">
        <v>381</v>
      </c>
      <c r="F212" s="141" t="s">
        <v>382</v>
      </c>
    </row>
    <row r="213" spans="1:6" x14ac:dyDescent="0.25">
      <c r="A213" s="115" t="s">
        <v>185</v>
      </c>
      <c r="B213" s="142" t="s">
        <v>383</v>
      </c>
      <c r="C213" s="115" t="s">
        <v>322</v>
      </c>
      <c r="D213" s="115"/>
      <c r="E213" s="115" t="s">
        <v>322</v>
      </c>
    </row>
    <row r="214" spans="1:6" x14ac:dyDescent="0.25">
      <c r="A214" s="115" t="s">
        <v>191</v>
      </c>
      <c r="B214" s="142" t="s">
        <v>383</v>
      </c>
      <c r="C214" s="115" t="s">
        <v>322</v>
      </c>
      <c r="D214" s="115" t="s">
        <v>322</v>
      </c>
      <c r="E214" s="115" t="s">
        <v>322</v>
      </c>
    </row>
    <row r="215" spans="1:6" ht="25.5" customHeight="1" x14ac:dyDescent="0.25">
      <c r="A215" s="115" t="s">
        <v>141</v>
      </c>
      <c r="B215" s="115" t="s">
        <v>322</v>
      </c>
      <c r="C215" s="120" t="s">
        <v>384</v>
      </c>
      <c r="D215" s="115"/>
      <c r="E215" s="115" t="s">
        <v>322</v>
      </c>
    </row>
    <row r="216" spans="1:6" x14ac:dyDescent="0.25">
      <c r="A216" s="115" t="s">
        <v>230</v>
      </c>
      <c r="B216" s="115" t="s">
        <v>322</v>
      </c>
      <c r="C216" s="115" t="s">
        <v>322</v>
      </c>
      <c r="D216" s="115" t="s">
        <v>322</v>
      </c>
      <c r="E216" s="115" t="s">
        <v>322</v>
      </c>
    </row>
    <row r="217" spans="1:6" x14ac:dyDescent="0.25">
      <c r="A217" s="115" t="s">
        <v>266</v>
      </c>
      <c r="B217" s="115" t="s">
        <v>322</v>
      </c>
      <c r="C217" s="115" t="s">
        <v>322</v>
      </c>
      <c r="D217" s="115" t="s">
        <v>322</v>
      </c>
      <c r="E217" s="115"/>
    </row>
    <row r="218" spans="1:6" x14ac:dyDescent="0.25">
      <c r="A218" s="115" t="s">
        <v>270</v>
      </c>
      <c r="B218" s="115" t="s">
        <v>322</v>
      </c>
      <c r="C218" s="115" t="s">
        <v>322</v>
      </c>
      <c r="D218" s="115" t="s">
        <v>322</v>
      </c>
      <c r="E218" s="115"/>
    </row>
    <row r="219" spans="1:6" x14ac:dyDescent="0.25">
      <c r="A219" s="115" t="s">
        <v>292</v>
      </c>
      <c r="B219" s="115" t="s">
        <v>322</v>
      </c>
      <c r="C219" s="115" t="s">
        <v>322</v>
      </c>
      <c r="D219" s="115" t="s">
        <v>322</v>
      </c>
      <c r="E219" s="115" t="s">
        <v>322</v>
      </c>
    </row>
    <row r="220" spans="1:6" x14ac:dyDescent="0.25">
      <c r="A220" s="115" t="s">
        <v>297</v>
      </c>
      <c r="B220" s="115" t="s">
        <v>322</v>
      </c>
      <c r="C220" s="115" t="s">
        <v>322</v>
      </c>
      <c r="D220" s="115" t="s">
        <v>322</v>
      </c>
      <c r="E220" s="115" t="s">
        <v>322</v>
      </c>
    </row>
    <row r="221" spans="1:6" x14ac:dyDescent="0.25">
      <c r="A221" s="115" t="s">
        <v>303</v>
      </c>
      <c r="B221" s="115" t="s">
        <v>322</v>
      </c>
      <c r="C221" s="115" t="s">
        <v>322</v>
      </c>
      <c r="D221" s="115" t="s">
        <v>322</v>
      </c>
      <c r="E221" s="115" t="s">
        <v>322</v>
      </c>
    </row>
    <row r="222" spans="1:6" x14ac:dyDescent="0.25">
      <c r="A222" s="115" t="s">
        <v>385</v>
      </c>
      <c r="B222" s="115" t="s">
        <v>322</v>
      </c>
      <c r="C222" s="115" t="s">
        <v>322</v>
      </c>
      <c r="D222" s="115" t="s">
        <v>322</v>
      </c>
      <c r="E222" s="115" t="s">
        <v>322</v>
      </c>
    </row>
    <row r="223" spans="1:6" x14ac:dyDescent="0.25">
      <c r="B223" s="115"/>
    </row>
    <row r="224" spans="1:6" x14ac:dyDescent="0.25">
      <c r="A224" s="114" t="s">
        <v>386</v>
      </c>
    </row>
    <row r="225" spans="1:3" x14ac:dyDescent="0.25">
      <c r="A225" s="119" t="str">
        <f>VLOOKUP(Hulpblad_categorieën_parameters!D81,Hulpblad_categorieën_parameters!A87:AH332,24,FALSE)</f>
        <v>Elektriciteit</v>
      </c>
    </row>
    <row r="227" spans="1:3" x14ac:dyDescent="0.25">
      <c r="A227" s="114" t="s">
        <v>387</v>
      </c>
    </row>
    <row r="228" spans="1:3" x14ac:dyDescent="0.25">
      <c r="A228">
        <v>1</v>
      </c>
      <c r="B228" s="119" t="str">
        <f>IF(A225="Gecombineerde opwekking","Warmtegebruik binnen eigen bedrijf",IF(AND(A225="Warmte",Hulpblad_categorieën_parameters!D29="Restwarmtebenutting"),"Warmtegebruik binnen eigen bedrijf op een andere locatie",IF(A225="Warmte","Warmtegebruik binnen eigen bedrijf","Niet van toepassing")))</f>
        <v>Niet van toepassing</v>
      </c>
    </row>
    <row r="229" spans="1:3" x14ac:dyDescent="0.25">
      <c r="A229">
        <v>2</v>
      </c>
      <c r="B229" s="131" t="str">
        <f>IF(A225="Gecombineerde opwekking","warmtegebruik binnen eigen bedrijf én warmtelevering aan derden",IF(AND(A225="Warmte",Hulpblad_categorieën_parameters!D29="Restwarmtebenutting"),"Warmtelevering aan derden",IF(A225="Warmte","Warmtegebruik binnen eigen bedrijf én warmtelevering aan derden","")))</f>
        <v/>
      </c>
    </row>
    <row r="230" spans="1:3" x14ac:dyDescent="0.25">
      <c r="A230">
        <v>3</v>
      </c>
      <c r="B230" s="131" t="str">
        <f>IF(A225="Gecombineerde opwekking","Warmtelevering aan derden",IF(AND(A225="Warmte",Hulpblad_categorieën_parameters!D29="Restwarmtebenutting"),"",IF(A225="Warmte","Warmtelevering aan derden","")))</f>
        <v/>
      </c>
    </row>
    <row r="231" spans="1:3" x14ac:dyDescent="0.25">
      <c r="B231" s="119">
        <v>1</v>
      </c>
      <c r="C231" s="119" t="str">
        <f>VLOOKUP(B231,A228:B230,2,FALSE)</f>
        <v>Niet van toepassing</v>
      </c>
    </row>
    <row r="232" spans="1:3" x14ac:dyDescent="0.25">
      <c r="A232" s="115"/>
    </row>
    <row r="233" spans="1:3" x14ac:dyDescent="0.25">
      <c r="A233" s="114"/>
    </row>
    <row r="234" spans="1:3" x14ac:dyDescent="0.25">
      <c r="A234" s="185" t="s">
        <v>388</v>
      </c>
      <c r="B234" s="185" t="s">
        <v>389</v>
      </c>
    </row>
    <row r="235" spans="1:3" x14ac:dyDescent="0.25">
      <c r="A235" s="115" t="s">
        <v>390</v>
      </c>
      <c r="B235" s="185" t="s">
        <v>391</v>
      </c>
    </row>
    <row r="236" spans="1:3" x14ac:dyDescent="0.25">
      <c r="A236" s="115" t="s">
        <v>392</v>
      </c>
      <c r="B236" s="185" t="s">
        <v>393</v>
      </c>
    </row>
    <row r="237" spans="1:3" x14ac:dyDescent="0.25">
      <c r="A237" s="115" t="s">
        <v>322</v>
      </c>
      <c r="B237" s="115" t="s">
        <v>322</v>
      </c>
    </row>
    <row r="238" spans="1:3" x14ac:dyDescent="0.25">
      <c r="A238" s="185" t="s">
        <v>394</v>
      </c>
      <c r="B238" s="115" t="s">
        <v>395</v>
      </c>
    </row>
  </sheetData>
  <mergeCells count="48">
    <mergeCell ref="A75:D75"/>
    <mergeCell ref="A78:D78"/>
    <mergeCell ref="A104:D104"/>
    <mergeCell ref="A106:D106"/>
    <mergeCell ref="A100:D100"/>
    <mergeCell ref="A102:D102"/>
    <mergeCell ref="A164:D164"/>
    <mergeCell ref="A136:D136"/>
    <mergeCell ref="A138:D138"/>
    <mergeCell ref="A142:D142"/>
    <mergeCell ref="A144:D144"/>
    <mergeCell ref="A146:D146"/>
    <mergeCell ref="A152:D152"/>
    <mergeCell ref="A154:D154"/>
    <mergeCell ref="A158:D158"/>
    <mergeCell ref="A160:D160"/>
    <mergeCell ref="A162:D162"/>
    <mergeCell ref="A148:D148"/>
    <mergeCell ref="A150:D150"/>
    <mergeCell ref="A156:D156"/>
    <mergeCell ref="A140:D140"/>
    <mergeCell ref="F78:H78"/>
    <mergeCell ref="F79:H79"/>
    <mergeCell ref="A80:D80"/>
    <mergeCell ref="F80:H80"/>
    <mergeCell ref="A96:D96"/>
    <mergeCell ref="A82:D82"/>
    <mergeCell ref="A88:D88"/>
    <mergeCell ref="A90:D90"/>
    <mergeCell ref="A92:D92"/>
    <mergeCell ref="A94:D94"/>
    <mergeCell ref="A84:D84"/>
    <mergeCell ref="A86:D86"/>
    <mergeCell ref="A128:D128"/>
    <mergeCell ref="A130:D130"/>
    <mergeCell ref="A132:D132"/>
    <mergeCell ref="A98:D98"/>
    <mergeCell ref="A134:D134"/>
    <mergeCell ref="A116:D116"/>
    <mergeCell ref="A126:D126"/>
    <mergeCell ref="A124:D124"/>
    <mergeCell ref="A108:D108"/>
    <mergeCell ref="A118:D118"/>
    <mergeCell ref="A122:D122"/>
    <mergeCell ref="A110:D110"/>
    <mergeCell ref="A114:D114"/>
    <mergeCell ref="A112:D112"/>
    <mergeCell ref="A120:D1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C27ED-307E-4206-B654-95331224131D}">
  <dimension ref="A1:S24"/>
  <sheetViews>
    <sheetView workbookViewId="0">
      <selection activeCell="L10" sqref="L10"/>
    </sheetView>
  </sheetViews>
  <sheetFormatPr defaultRowHeight="15" x14ac:dyDescent="0.25"/>
  <cols>
    <col min="1" max="1" width="56" style="4" customWidth="1"/>
    <col min="2" max="2" width="12.7109375" style="4" customWidth="1"/>
    <col min="3" max="18" width="15.7109375" style="4" customWidth="1"/>
    <col min="19" max="256" width="9.140625" style="4"/>
    <col min="257" max="257" width="56" style="4" customWidth="1"/>
    <col min="258" max="258" width="12.7109375" style="4" customWidth="1"/>
    <col min="259" max="274" width="15.7109375" style="4" customWidth="1"/>
    <col min="275" max="512" width="9.140625" style="4"/>
    <col min="513" max="513" width="56" style="4" customWidth="1"/>
    <col min="514" max="514" width="12.7109375" style="4" customWidth="1"/>
    <col min="515" max="530" width="15.7109375" style="4" customWidth="1"/>
    <col min="531" max="768" width="9.140625" style="4"/>
    <col min="769" max="769" width="56" style="4" customWidth="1"/>
    <col min="770" max="770" width="12.7109375" style="4" customWidth="1"/>
    <col min="771" max="786" width="15.7109375" style="4" customWidth="1"/>
    <col min="787" max="1024" width="9.140625" style="4"/>
    <col min="1025" max="1025" width="56" style="4" customWidth="1"/>
    <col min="1026" max="1026" width="12.7109375" style="4" customWidth="1"/>
    <col min="1027" max="1042" width="15.7109375" style="4" customWidth="1"/>
    <col min="1043" max="1280" width="9.140625" style="4"/>
    <col min="1281" max="1281" width="56" style="4" customWidth="1"/>
    <col min="1282" max="1282" width="12.7109375" style="4" customWidth="1"/>
    <col min="1283" max="1298" width="15.7109375" style="4" customWidth="1"/>
    <col min="1299" max="1536" width="9.140625" style="4"/>
    <col min="1537" max="1537" width="56" style="4" customWidth="1"/>
    <col min="1538" max="1538" width="12.7109375" style="4" customWidth="1"/>
    <col min="1539" max="1554" width="15.7109375" style="4" customWidth="1"/>
    <col min="1555" max="1792" width="9.140625" style="4"/>
    <col min="1793" max="1793" width="56" style="4" customWidth="1"/>
    <col min="1794" max="1794" width="12.7109375" style="4" customWidth="1"/>
    <col min="1795" max="1810" width="15.7109375" style="4" customWidth="1"/>
    <col min="1811" max="2048" width="9.140625" style="4"/>
    <col min="2049" max="2049" width="56" style="4" customWidth="1"/>
    <col min="2050" max="2050" width="12.7109375" style="4" customWidth="1"/>
    <col min="2051" max="2066" width="15.7109375" style="4" customWidth="1"/>
    <col min="2067" max="2304" width="9.140625" style="4"/>
    <col min="2305" max="2305" width="56" style="4" customWidth="1"/>
    <col min="2306" max="2306" width="12.7109375" style="4" customWidth="1"/>
    <col min="2307" max="2322" width="15.7109375" style="4" customWidth="1"/>
    <col min="2323" max="2560" width="9.140625" style="4"/>
    <col min="2561" max="2561" width="56" style="4" customWidth="1"/>
    <col min="2562" max="2562" width="12.7109375" style="4" customWidth="1"/>
    <col min="2563" max="2578" width="15.7109375" style="4" customWidth="1"/>
    <col min="2579" max="2816" width="9.140625" style="4"/>
    <col min="2817" max="2817" width="56" style="4" customWidth="1"/>
    <col min="2818" max="2818" width="12.7109375" style="4" customWidth="1"/>
    <col min="2819" max="2834" width="15.7109375" style="4" customWidth="1"/>
    <col min="2835" max="3072" width="9.140625" style="4"/>
    <col min="3073" max="3073" width="56" style="4" customWidth="1"/>
    <col min="3074" max="3074" width="12.7109375" style="4" customWidth="1"/>
    <col min="3075" max="3090" width="15.7109375" style="4" customWidth="1"/>
    <col min="3091" max="3328" width="9.140625" style="4"/>
    <col min="3329" max="3329" width="56" style="4" customWidth="1"/>
    <col min="3330" max="3330" width="12.7109375" style="4" customWidth="1"/>
    <col min="3331" max="3346" width="15.7109375" style="4" customWidth="1"/>
    <col min="3347" max="3584" width="9.140625" style="4"/>
    <col min="3585" max="3585" width="56" style="4" customWidth="1"/>
    <col min="3586" max="3586" width="12.7109375" style="4" customWidth="1"/>
    <col min="3587" max="3602" width="15.7109375" style="4" customWidth="1"/>
    <col min="3603" max="3840" width="9.140625" style="4"/>
    <col min="3841" max="3841" width="56" style="4" customWidth="1"/>
    <col min="3842" max="3842" width="12.7109375" style="4" customWidth="1"/>
    <col min="3843" max="3858" width="15.7109375" style="4" customWidth="1"/>
    <col min="3859" max="4096" width="9.140625" style="4"/>
    <col min="4097" max="4097" width="56" style="4" customWidth="1"/>
    <col min="4098" max="4098" width="12.7109375" style="4" customWidth="1"/>
    <col min="4099" max="4114" width="15.7109375" style="4" customWidth="1"/>
    <col min="4115" max="4352" width="9.140625" style="4"/>
    <col min="4353" max="4353" width="56" style="4" customWidth="1"/>
    <col min="4354" max="4354" width="12.7109375" style="4" customWidth="1"/>
    <col min="4355" max="4370" width="15.7109375" style="4" customWidth="1"/>
    <col min="4371" max="4608" width="9.140625" style="4"/>
    <col min="4609" max="4609" width="56" style="4" customWidth="1"/>
    <col min="4610" max="4610" width="12.7109375" style="4" customWidth="1"/>
    <col min="4611" max="4626" width="15.7109375" style="4" customWidth="1"/>
    <col min="4627" max="4864" width="9.140625" style="4"/>
    <col min="4865" max="4865" width="56" style="4" customWidth="1"/>
    <col min="4866" max="4866" width="12.7109375" style="4" customWidth="1"/>
    <col min="4867" max="4882" width="15.7109375" style="4" customWidth="1"/>
    <col min="4883" max="5120" width="9.140625" style="4"/>
    <col min="5121" max="5121" width="56" style="4" customWidth="1"/>
    <col min="5122" max="5122" width="12.7109375" style="4" customWidth="1"/>
    <col min="5123" max="5138" width="15.7109375" style="4" customWidth="1"/>
    <col min="5139" max="5376" width="9.140625" style="4"/>
    <col min="5377" max="5377" width="56" style="4" customWidth="1"/>
    <col min="5378" max="5378" width="12.7109375" style="4" customWidth="1"/>
    <col min="5379" max="5394" width="15.7109375" style="4" customWidth="1"/>
    <col min="5395" max="5632" width="9.140625" style="4"/>
    <col min="5633" max="5633" width="56" style="4" customWidth="1"/>
    <col min="5634" max="5634" width="12.7109375" style="4" customWidth="1"/>
    <col min="5635" max="5650" width="15.7109375" style="4" customWidth="1"/>
    <col min="5651" max="5888" width="9.140625" style="4"/>
    <col min="5889" max="5889" width="56" style="4" customWidth="1"/>
    <col min="5890" max="5890" width="12.7109375" style="4" customWidth="1"/>
    <col min="5891" max="5906" width="15.7109375" style="4" customWidth="1"/>
    <col min="5907" max="6144" width="9.140625" style="4"/>
    <col min="6145" max="6145" width="56" style="4" customWidth="1"/>
    <col min="6146" max="6146" width="12.7109375" style="4" customWidth="1"/>
    <col min="6147" max="6162" width="15.7109375" style="4" customWidth="1"/>
    <col min="6163" max="6400" width="9.140625" style="4"/>
    <col min="6401" max="6401" width="56" style="4" customWidth="1"/>
    <col min="6402" max="6402" width="12.7109375" style="4" customWidth="1"/>
    <col min="6403" max="6418" width="15.7109375" style="4" customWidth="1"/>
    <col min="6419" max="6656" width="9.140625" style="4"/>
    <col min="6657" max="6657" width="56" style="4" customWidth="1"/>
    <col min="6658" max="6658" width="12.7109375" style="4" customWidth="1"/>
    <col min="6659" max="6674" width="15.7109375" style="4" customWidth="1"/>
    <col min="6675" max="6912" width="9.140625" style="4"/>
    <col min="6913" max="6913" width="56" style="4" customWidth="1"/>
    <col min="6914" max="6914" width="12.7109375" style="4" customWidth="1"/>
    <col min="6915" max="6930" width="15.7109375" style="4" customWidth="1"/>
    <col min="6931" max="7168" width="9.140625" style="4"/>
    <col min="7169" max="7169" width="56" style="4" customWidth="1"/>
    <col min="7170" max="7170" width="12.7109375" style="4" customWidth="1"/>
    <col min="7171" max="7186" width="15.7109375" style="4" customWidth="1"/>
    <col min="7187" max="7424" width="9.140625" style="4"/>
    <col min="7425" max="7425" width="56" style="4" customWidth="1"/>
    <col min="7426" max="7426" width="12.7109375" style="4" customWidth="1"/>
    <col min="7427" max="7442" width="15.7109375" style="4" customWidth="1"/>
    <col min="7443" max="7680" width="9.140625" style="4"/>
    <col min="7681" max="7681" width="56" style="4" customWidth="1"/>
    <col min="7682" max="7682" width="12.7109375" style="4" customWidth="1"/>
    <col min="7683" max="7698" width="15.7109375" style="4" customWidth="1"/>
    <col min="7699" max="7936" width="9.140625" style="4"/>
    <col min="7937" max="7937" width="56" style="4" customWidth="1"/>
    <col min="7938" max="7938" width="12.7109375" style="4" customWidth="1"/>
    <col min="7939" max="7954" width="15.7109375" style="4" customWidth="1"/>
    <col min="7955" max="8192" width="9.140625" style="4"/>
    <col min="8193" max="8193" width="56" style="4" customWidth="1"/>
    <col min="8194" max="8194" width="12.7109375" style="4" customWidth="1"/>
    <col min="8195" max="8210" width="15.7109375" style="4" customWidth="1"/>
    <col min="8211" max="8448" width="9.140625" style="4"/>
    <col min="8449" max="8449" width="56" style="4" customWidth="1"/>
    <col min="8450" max="8450" width="12.7109375" style="4" customWidth="1"/>
    <col min="8451" max="8466" width="15.7109375" style="4" customWidth="1"/>
    <col min="8467" max="8704" width="9.140625" style="4"/>
    <col min="8705" max="8705" width="56" style="4" customWidth="1"/>
    <col min="8706" max="8706" width="12.7109375" style="4" customWidth="1"/>
    <col min="8707" max="8722" width="15.7109375" style="4" customWidth="1"/>
    <col min="8723" max="8960" width="9.140625" style="4"/>
    <col min="8961" max="8961" width="56" style="4" customWidth="1"/>
    <col min="8962" max="8962" width="12.7109375" style="4" customWidth="1"/>
    <col min="8963" max="8978" width="15.7109375" style="4" customWidth="1"/>
    <col min="8979" max="9216" width="9.140625" style="4"/>
    <col min="9217" max="9217" width="56" style="4" customWidth="1"/>
    <col min="9218" max="9218" width="12.7109375" style="4" customWidth="1"/>
    <col min="9219" max="9234" width="15.7109375" style="4" customWidth="1"/>
    <col min="9235" max="9472" width="9.140625" style="4"/>
    <col min="9473" max="9473" width="56" style="4" customWidth="1"/>
    <col min="9474" max="9474" width="12.7109375" style="4" customWidth="1"/>
    <col min="9475" max="9490" width="15.7109375" style="4" customWidth="1"/>
    <col min="9491" max="9728" width="9.140625" style="4"/>
    <col min="9729" max="9729" width="56" style="4" customWidth="1"/>
    <col min="9730" max="9730" width="12.7109375" style="4" customWidth="1"/>
    <col min="9731" max="9746" width="15.7109375" style="4" customWidth="1"/>
    <col min="9747" max="9984" width="9.140625" style="4"/>
    <col min="9985" max="9985" width="56" style="4" customWidth="1"/>
    <col min="9986" max="9986" width="12.7109375" style="4" customWidth="1"/>
    <col min="9987" max="10002" width="15.7109375" style="4" customWidth="1"/>
    <col min="10003" max="10240" width="9.140625" style="4"/>
    <col min="10241" max="10241" width="56" style="4" customWidth="1"/>
    <col min="10242" max="10242" width="12.7109375" style="4" customWidth="1"/>
    <col min="10243" max="10258" width="15.7109375" style="4" customWidth="1"/>
    <col min="10259" max="10496" width="9.140625" style="4"/>
    <col min="10497" max="10497" width="56" style="4" customWidth="1"/>
    <col min="10498" max="10498" width="12.7109375" style="4" customWidth="1"/>
    <col min="10499" max="10514" width="15.7109375" style="4" customWidth="1"/>
    <col min="10515" max="10752" width="9.140625" style="4"/>
    <col min="10753" max="10753" width="56" style="4" customWidth="1"/>
    <col min="10754" max="10754" width="12.7109375" style="4" customWidth="1"/>
    <col min="10755" max="10770" width="15.7109375" style="4" customWidth="1"/>
    <col min="10771" max="11008" width="9.140625" style="4"/>
    <col min="11009" max="11009" width="56" style="4" customWidth="1"/>
    <col min="11010" max="11010" width="12.7109375" style="4" customWidth="1"/>
    <col min="11011" max="11026" width="15.7109375" style="4" customWidth="1"/>
    <col min="11027" max="11264" width="9.140625" style="4"/>
    <col min="11265" max="11265" width="56" style="4" customWidth="1"/>
    <col min="11266" max="11266" width="12.7109375" style="4" customWidth="1"/>
    <col min="11267" max="11282" width="15.7109375" style="4" customWidth="1"/>
    <col min="11283" max="11520" width="9.140625" style="4"/>
    <col min="11521" max="11521" width="56" style="4" customWidth="1"/>
    <col min="11522" max="11522" width="12.7109375" style="4" customWidth="1"/>
    <col min="11523" max="11538" width="15.7109375" style="4" customWidth="1"/>
    <col min="11539" max="11776" width="9.140625" style="4"/>
    <col min="11777" max="11777" width="56" style="4" customWidth="1"/>
    <col min="11778" max="11778" width="12.7109375" style="4" customWidth="1"/>
    <col min="11779" max="11794" width="15.7109375" style="4" customWidth="1"/>
    <col min="11795" max="12032" width="9.140625" style="4"/>
    <col min="12033" max="12033" width="56" style="4" customWidth="1"/>
    <col min="12034" max="12034" width="12.7109375" style="4" customWidth="1"/>
    <col min="12035" max="12050" width="15.7109375" style="4" customWidth="1"/>
    <col min="12051" max="12288" width="9.140625" style="4"/>
    <col min="12289" max="12289" width="56" style="4" customWidth="1"/>
    <col min="12290" max="12290" width="12.7109375" style="4" customWidth="1"/>
    <col min="12291" max="12306" width="15.7109375" style="4" customWidth="1"/>
    <col min="12307" max="12544" width="9.140625" style="4"/>
    <col min="12545" max="12545" width="56" style="4" customWidth="1"/>
    <col min="12546" max="12546" width="12.7109375" style="4" customWidth="1"/>
    <col min="12547" max="12562" width="15.7109375" style="4" customWidth="1"/>
    <col min="12563" max="12800" width="9.140625" style="4"/>
    <col min="12801" max="12801" width="56" style="4" customWidth="1"/>
    <col min="12802" max="12802" width="12.7109375" style="4" customWidth="1"/>
    <col min="12803" max="12818" width="15.7109375" style="4" customWidth="1"/>
    <col min="12819" max="13056" width="9.140625" style="4"/>
    <col min="13057" max="13057" width="56" style="4" customWidth="1"/>
    <col min="13058" max="13058" width="12.7109375" style="4" customWidth="1"/>
    <col min="13059" max="13074" width="15.7109375" style="4" customWidth="1"/>
    <col min="13075" max="13312" width="9.140625" style="4"/>
    <col min="13313" max="13313" width="56" style="4" customWidth="1"/>
    <col min="13314" max="13314" width="12.7109375" style="4" customWidth="1"/>
    <col min="13315" max="13330" width="15.7109375" style="4" customWidth="1"/>
    <col min="13331" max="13568" width="9.140625" style="4"/>
    <col min="13569" max="13569" width="56" style="4" customWidth="1"/>
    <col min="13570" max="13570" width="12.7109375" style="4" customWidth="1"/>
    <col min="13571" max="13586" width="15.7109375" style="4" customWidth="1"/>
    <col min="13587" max="13824" width="9.140625" style="4"/>
    <col min="13825" max="13825" width="56" style="4" customWidth="1"/>
    <col min="13826" max="13826" width="12.7109375" style="4" customWidth="1"/>
    <col min="13827" max="13842" width="15.7109375" style="4" customWidth="1"/>
    <col min="13843" max="14080" width="9.140625" style="4"/>
    <col min="14081" max="14081" width="56" style="4" customWidth="1"/>
    <col min="14082" max="14082" width="12.7109375" style="4" customWidth="1"/>
    <col min="14083" max="14098" width="15.7109375" style="4" customWidth="1"/>
    <col min="14099" max="14336" width="9.140625" style="4"/>
    <col min="14337" max="14337" width="56" style="4" customWidth="1"/>
    <col min="14338" max="14338" width="12.7109375" style="4" customWidth="1"/>
    <col min="14339" max="14354" width="15.7109375" style="4" customWidth="1"/>
    <col min="14355" max="14592" width="9.140625" style="4"/>
    <col min="14593" max="14593" width="56" style="4" customWidth="1"/>
    <col min="14594" max="14594" width="12.7109375" style="4" customWidth="1"/>
    <col min="14595" max="14610" width="15.7109375" style="4" customWidth="1"/>
    <col min="14611" max="14848" width="9.140625" style="4"/>
    <col min="14849" max="14849" width="56" style="4" customWidth="1"/>
    <col min="14850" max="14850" width="12.7109375" style="4" customWidth="1"/>
    <col min="14851" max="14866" width="15.7109375" style="4" customWidth="1"/>
    <col min="14867" max="15104" width="9.140625" style="4"/>
    <col min="15105" max="15105" width="56" style="4" customWidth="1"/>
    <col min="15106" max="15106" width="12.7109375" style="4" customWidth="1"/>
    <col min="15107" max="15122" width="15.7109375" style="4" customWidth="1"/>
    <col min="15123" max="15360" width="9.140625" style="4"/>
    <col min="15361" max="15361" width="56" style="4" customWidth="1"/>
    <col min="15362" max="15362" width="12.7109375" style="4" customWidth="1"/>
    <col min="15363" max="15378" width="15.7109375" style="4" customWidth="1"/>
    <col min="15379" max="15616" width="9.140625" style="4"/>
    <col min="15617" max="15617" width="56" style="4" customWidth="1"/>
    <col min="15618" max="15618" width="12.7109375" style="4" customWidth="1"/>
    <col min="15619" max="15634" width="15.7109375" style="4" customWidth="1"/>
    <col min="15635" max="15872" width="9.140625" style="4"/>
    <col min="15873" max="15873" width="56" style="4" customWidth="1"/>
    <col min="15874" max="15874" width="12.7109375" style="4" customWidth="1"/>
    <col min="15875" max="15890" width="15.7109375" style="4" customWidth="1"/>
    <col min="15891" max="16128" width="9.140625" style="4"/>
    <col min="16129" max="16129" width="56" style="4" customWidth="1"/>
    <col min="16130" max="16130" width="12.7109375" style="4" customWidth="1"/>
    <col min="16131" max="16146" width="15.7109375" style="4" customWidth="1"/>
    <col min="16147" max="16384" width="9.140625" style="4"/>
  </cols>
  <sheetData>
    <row r="1" spans="1:19" ht="33.75" x14ac:dyDescent="0.5">
      <c r="A1" s="143" t="s">
        <v>396</v>
      </c>
      <c r="B1" s="12"/>
      <c r="C1" s="12"/>
      <c r="D1" s="12"/>
      <c r="E1" s="12"/>
      <c r="F1" s="12"/>
      <c r="G1" s="12"/>
      <c r="H1" s="12"/>
      <c r="I1" s="12"/>
      <c r="J1" s="12"/>
      <c r="K1" s="12"/>
      <c r="L1" s="12"/>
      <c r="M1" s="12"/>
      <c r="N1" s="12"/>
      <c r="O1" s="12"/>
      <c r="P1" s="12"/>
      <c r="Q1" s="12"/>
      <c r="R1" s="12"/>
      <c r="S1" s="12"/>
    </row>
    <row r="2" spans="1:19" ht="15.75" x14ac:dyDescent="0.25">
      <c r="A2" s="47" t="s">
        <v>397</v>
      </c>
      <c r="B2" s="12"/>
      <c r="C2" s="12"/>
      <c r="D2" s="12"/>
      <c r="E2" s="12"/>
      <c r="F2" s="12"/>
      <c r="G2" s="12"/>
      <c r="H2" s="12"/>
      <c r="I2" s="12"/>
      <c r="J2" s="12"/>
      <c r="K2" s="12"/>
      <c r="L2" s="12"/>
      <c r="M2" s="12"/>
      <c r="N2" s="12"/>
      <c r="O2" s="12"/>
      <c r="P2" s="12"/>
      <c r="Q2" s="12"/>
      <c r="R2" s="12"/>
      <c r="S2" s="12"/>
    </row>
    <row r="3" spans="1:19" ht="32.25" customHeight="1" x14ac:dyDescent="0.25">
      <c r="A3" s="578" t="s">
        <v>398</v>
      </c>
      <c r="B3" s="579"/>
      <c r="C3" s="579"/>
      <c r="D3" s="579"/>
      <c r="E3" s="579"/>
      <c r="F3" s="579"/>
      <c r="G3" s="579"/>
      <c r="H3" s="579"/>
      <c r="I3" s="579"/>
      <c r="J3" s="579"/>
      <c r="K3" s="579"/>
      <c r="L3" s="12"/>
      <c r="M3" s="12"/>
      <c r="N3" s="12"/>
      <c r="O3" s="12"/>
      <c r="P3" s="12"/>
      <c r="Q3" s="12"/>
      <c r="R3" s="12"/>
      <c r="S3" s="12"/>
    </row>
    <row r="4" spans="1:19" ht="18" x14ac:dyDescent="0.25">
      <c r="A4" s="28"/>
      <c r="B4" s="12"/>
      <c r="C4" s="12"/>
      <c r="D4" s="12"/>
      <c r="E4" s="12"/>
      <c r="F4" s="12"/>
      <c r="G4" s="12"/>
      <c r="H4" s="12"/>
      <c r="I4" s="12"/>
      <c r="J4" s="12"/>
      <c r="K4" s="12"/>
      <c r="L4" s="12"/>
      <c r="M4" s="12"/>
      <c r="N4" s="12"/>
      <c r="O4" s="12"/>
      <c r="P4" s="12"/>
      <c r="Q4" s="12"/>
      <c r="R4" s="12"/>
      <c r="S4" s="12"/>
    </row>
    <row r="5" spans="1:19" ht="15.75" x14ac:dyDescent="0.25">
      <c r="A5" s="47" t="s">
        <v>66</v>
      </c>
      <c r="B5" s="12"/>
      <c r="C5" s="30">
        <v>0</v>
      </c>
      <c r="D5" s="30">
        <v>1</v>
      </c>
      <c r="E5" s="30">
        <v>2</v>
      </c>
      <c r="F5" s="30">
        <v>3</v>
      </c>
      <c r="G5" s="30">
        <v>4</v>
      </c>
      <c r="H5" s="30">
        <v>5</v>
      </c>
      <c r="I5" s="30">
        <v>6</v>
      </c>
      <c r="J5" s="30">
        <v>7</v>
      </c>
      <c r="K5" s="30">
        <v>8</v>
      </c>
      <c r="L5" s="30">
        <v>9</v>
      </c>
      <c r="M5" s="30">
        <v>10</v>
      </c>
      <c r="N5" s="30">
        <v>11</v>
      </c>
      <c r="O5" s="30">
        <v>12</v>
      </c>
      <c r="P5" s="30">
        <v>13</v>
      </c>
      <c r="Q5" s="30">
        <v>14</v>
      </c>
      <c r="R5" s="30">
        <v>15</v>
      </c>
      <c r="S5" s="12"/>
    </row>
    <row r="6" spans="1:19" x14ac:dyDescent="0.25">
      <c r="A6" s="30"/>
      <c r="B6" s="12"/>
      <c r="C6" s="30"/>
      <c r="D6" s="30"/>
      <c r="E6" s="30"/>
      <c r="F6" s="30"/>
      <c r="G6" s="30"/>
      <c r="H6" s="30"/>
      <c r="I6" s="30"/>
      <c r="J6" s="30"/>
      <c r="K6" s="30"/>
      <c r="L6" s="30"/>
      <c r="M6" s="30"/>
      <c r="N6" s="30"/>
      <c r="O6" s="30"/>
      <c r="P6" s="30"/>
      <c r="Q6" s="30"/>
      <c r="R6" s="30"/>
      <c r="S6" s="12"/>
    </row>
    <row r="7" spans="1:19" ht="15.75" x14ac:dyDescent="0.25">
      <c r="A7" s="47" t="s">
        <v>399</v>
      </c>
      <c r="B7" s="12"/>
      <c r="C7" s="12"/>
      <c r="D7" s="12"/>
      <c r="E7" s="12"/>
      <c r="F7" s="12"/>
      <c r="G7" s="12"/>
      <c r="H7" s="12"/>
      <c r="I7" s="12"/>
      <c r="J7" s="12"/>
      <c r="K7" s="12"/>
      <c r="L7" s="12"/>
      <c r="M7" s="12"/>
      <c r="N7" s="12"/>
      <c r="O7" s="12"/>
      <c r="P7" s="12"/>
      <c r="Q7" s="12"/>
      <c r="R7" s="12"/>
      <c r="S7" s="12"/>
    </row>
    <row r="8" spans="1:19" x14ac:dyDescent="0.25">
      <c r="A8" s="12" t="s">
        <v>400</v>
      </c>
      <c r="B8" s="12"/>
      <c r="C8" s="57">
        <f>Exploitatieberekening!N144</f>
        <v>0</v>
      </c>
      <c r="D8" s="57">
        <f>Exploitatieberekening!O144</f>
        <v>-2.92E-2</v>
      </c>
      <c r="E8" s="57">
        <f>Exploitatieberekening!P144</f>
        <v>-2.9784000000000001E-2</v>
      </c>
      <c r="F8" s="57">
        <f>Exploitatieberekening!Q144</f>
        <v>-3.0379680000000003E-2</v>
      </c>
      <c r="G8" s="57">
        <f>Exploitatieberekening!R144</f>
        <v>-3.0987273600000004E-2</v>
      </c>
      <c r="H8" s="57">
        <f>Exploitatieberekening!S144</f>
        <v>-3.1607019072000003E-2</v>
      </c>
      <c r="I8" s="57">
        <f>Exploitatieberekening!T144</f>
        <v>0</v>
      </c>
      <c r="J8" s="57">
        <f>Exploitatieberekening!U144</f>
        <v>0</v>
      </c>
      <c r="K8" s="57">
        <f>Exploitatieberekening!V144</f>
        <v>0</v>
      </c>
      <c r="L8" s="57">
        <f>Exploitatieberekening!W144</f>
        <v>0</v>
      </c>
      <c r="M8" s="57">
        <f>Exploitatieberekening!X144</f>
        <v>0</v>
      </c>
      <c r="N8" s="57">
        <f>Exploitatieberekening!Y144</f>
        <v>0</v>
      </c>
      <c r="O8" s="57">
        <f>Exploitatieberekening!Z144</f>
        <v>0</v>
      </c>
      <c r="P8" s="57">
        <f>Exploitatieberekening!AA144</f>
        <v>0</v>
      </c>
      <c r="Q8" s="57">
        <f>Exploitatieberekening!AB144</f>
        <v>0</v>
      </c>
      <c r="R8" s="57">
        <f>Exploitatieberekening!AC144</f>
        <v>0</v>
      </c>
      <c r="S8" s="12"/>
    </row>
    <row r="9" spans="1:19" x14ac:dyDescent="0.25">
      <c r="A9" s="12" t="s">
        <v>401</v>
      </c>
      <c r="B9" s="144">
        <f>IF(Exploitatieberekening!B12=8,IRR(C8:K8,0%),IF(Exploitatieberekening!B12=12,IRR(C8:O8,0%),IF(Exploitatieberekening!B12=15,IRR(C8:R8,0%),)))</f>
        <v>0</v>
      </c>
      <c r="C9" s="12"/>
      <c r="D9" s="12"/>
      <c r="E9" s="12"/>
      <c r="F9" s="12"/>
      <c r="G9" s="12"/>
      <c r="H9" s="12"/>
      <c r="I9" s="12"/>
      <c r="J9" s="12"/>
      <c r="K9" s="12"/>
      <c r="L9" s="12"/>
      <c r="M9" s="12"/>
      <c r="N9" s="12"/>
      <c r="O9" s="12"/>
      <c r="P9" s="12"/>
      <c r="Q9" s="12"/>
      <c r="R9" s="12"/>
      <c r="S9" s="12"/>
    </row>
    <row r="10" spans="1:19" x14ac:dyDescent="0.25">
      <c r="A10" s="12" t="s">
        <v>402</v>
      </c>
      <c r="B10" s="30"/>
      <c r="C10" s="57">
        <f>Exploitatieberekening!N144</f>
        <v>0</v>
      </c>
      <c r="D10" s="57">
        <f>IF(Exploitatieberekening!$B$12=8,SUM($D$8:$K$8)/8,IF(Exploitatieberekening!$B$12=12,SUM($D$8:$O$8)/12,IF(Exploitatieberekening!$B$12=15,SUM($D$8:$R$8)/15,0)))</f>
        <v>0</v>
      </c>
      <c r="E10" s="57">
        <f>IF(Exploitatieberekening!$B$12=8,SUM($D$8:$K$8)/8,IF(Exploitatieberekening!$B$12=12,SUM($D$8:$O$8)/12,IF(Exploitatieberekening!$B$12=15,SUM($D$8:$R$8)/15,0)))</f>
        <v>0</v>
      </c>
      <c r="F10" s="57">
        <f>IF(Exploitatieberekening!$B$12=8,SUM($D$8:$K$8)/8,IF(Exploitatieberekening!$B$12=12,SUM($D$8:$O$8)/12,IF(Exploitatieberekening!$B$12=15,SUM($D$8:$R$8)/15,0)))</f>
        <v>0</v>
      </c>
      <c r="G10" s="57">
        <f>IF(Exploitatieberekening!$B$12=8,SUM($D$8:$K$8)/8,IF(Exploitatieberekening!$B$12=12,SUM($D$8:$O$8)/12,IF(Exploitatieberekening!$B$12=15,SUM($D$8:$R$8)/15,0)))</f>
        <v>0</v>
      </c>
      <c r="H10" s="57">
        <f>IF(Exploitatieberekening!$B$12=8,SUM($D$8:$K$8)/8,IF(Exploitatieberekening!$B$12=12,SUM($D$8:$O$8)/12,IF(Exploitatieberekening!$B$12=15,SUM($D$8:$R$8)/15,0)))</f>
        <v>0</v>
      </c>
      <c r="I10" s="57">
        <f>IF(Exploitatieberekening!$B$12=8,SUM($D$8:$K$8)/8,IF(Exploitatieberekening!$B$12=12,SUM($D$8:$O$8)/12,IF(Exploitatieberekening!$B$12=15,SUM($D$8:$R$8)/15,0)))</f>
        <v>0</v>
      </c>
      <c r="J10" s="57">
        <f>IF(Exploitatieberekening!$B$12=8,SUM($D$8:$K$8)/8,IF(Exploitatieberekening!$B$12=12,SUM($D$8:$O$8)/12,IF(Exploitatieberekening!$B$12=15,SUM($D$8:$R$8)/15,0)))</f>
        <v>0</v>
      </c>
      <c r="K10" s="57">
        <f>IF(Exploitatieberekening!$B$12=8,SUM($D$8:$K$8)/8,IF(Exploitatieberekening!$B$12=12,SUM($D$8:$O$8)/12,IF(Exploitatieberekening!$B$12=15,SUM($D$8:$R$8)/15,0)))</f>
        <v>0</v>
      </c>
      <c r="L10" s="57">
        <f>IF(Exploitatieberekening!$B$12=8,SUM($D$8:$K$8)/8,IF(Exploitatieberekening!$B$12=12,SUM($D$8:$O$8)/12,IF(Exploitatieberekening!$B$12=15,SUM($D$8:$R$8)/15,0)))</f>
        <v>0</v>
      </c>
      <c r="M10" s="57">
        <f>IF(Exploitatieberekening!$B$12=8,SUM($D$8:$K$8)/8,IF(Exploitatieberekening!$B$12=12,SUM($D$8:$O$8)/12,IF(Exploitatieberekening!$B$12=15,SUM($D$8:$R$8)/15,0)))</f>
        <v>0</v>
      </c>
      <c r="N10" s="57">
        <f>IF(Exploitatieberekening!$B$12=8,SUM($D$8:$K$8)/8,IF(Exploitatieberekening!$B$12=12,SUM($D$8:$O$8)/12,IF(Exploitatieberekening!$B$12=15,SUM($D$8:$R$8)/15,0)))</f>
        <v>0</v>
      </c>
      <c r="O10" s="57">
        <f>IF(Exploitatieberekening!$B$12=8,SUM($D$8:$K$8)/8,IF(Exploitatieberekening!$B$12=12,SUM($D$8:$O$8)/12,IF(Exploitatieberekening!$B$12=15,SUM($D$8:$R$8)/15,0)))</f>
        <v>0</v>
      </c>
      <c r="P10" s="57">
        <f>IF(Exploitatieberekening!$B$12=8,SUM($D$8:$K$8)/8,IF(Exploitatieberekening!$B$12=12,SUM($D$8:$O$8)/12,IF(Exploitatieberekening!$B$12=15,SUM($D$8:$R$8)/15,0)))</f>
        <v>0</v>
      </c>
      <c r="Q10" s="57">
        <f>IF(Exploitatieberekening!$B$12=8,SUM($D$8:$K$8)/8,IF(Exploitatieberekening!$B$12=12,SUM($D$8:$O$8)/12,IF(Exploitatieberekening!$B$12=15,SUM($D$8:$R$8)/15,0)))</f>
        <v>0</v>
      </c>
      <c r="R10" s="57">
        <f>IF(Exploitatieberekening!$B$12=8,SUM($D$8:$K$8)/8,IF(Exploitatieberekening!$B$12=12,SUM($D$8:$O$8)/12,IF(Exploitatieberekening!$B$12=15,SUM($D$8:$R$8)/15,0)))</f>
        <v>0</v>
      </c>
      <c r="S10" s="12"/>
    </row>
    <row r="11" spans="1:19" x14ac:dyDescent="0.25">
      <c r="A11" s="12" t="s">
        <v>403</v>
      </c>
      <c r="B11" s="144">
        <f>IF(Exploitatieberekening!B12=8,IRR(C10:K10,0%),IF(Exploitatieberekening!B12=12,IRR(C10:O10,0%),IF(Exploitatieberekening!B12=15,IRR(C10:R10,0%),)))</f>
        <v>0</v>
      </c>
      <c r="C11" s="12"/>
      <c r="D11" s="12"/>
      <c r="E11" s="12"/>
      <c r="F11" s="12"/>
      <c r="G11" s="12"/>
      <c r="H11" s="12"/>
      <c r="I11" s="12"/>
      <c r="J11" s="12"/>
      <c r="K11" s="12"/>
      <c r="L11" s="12"/>
      <c r="M11" s="12"/>
      <c r="N11" s="12"/>
      <c r="O11" s="12"/>
      <c r="P11" s="12"/>
      <c r="Q11" s="12"/>
      <c r="R11" s="12"/>
      <c r="S11" s="12"/>
    </row>
    <row r="12" spans="1:19" x14ac:dyDescent="0.25">
      <c r="A12" s="30"/>
      <c r="B12" s="144"/>
      <c r="C12" s="12"/>
      <c r="D12" s="12"/>
      <c r="E12" s="12"/>
      <c r="F12" s="12"/>
      <c r="G12" s="12"/>
      <c r="H12" s="12"/>
      <c r="I12" s="12"/>
      <c r="J12" s="12"/>
      <c r="K12" s="12"/>
      <c r="L12" s="12"/>
      <c r="M12" s="12"/>
      <c r="N12" s="12"/>
      <c r="O12" s="12"/>
      <c r="P12" s="12"/>
      <c r="Q12" s="12"/>
      <c r="R12" s="12"/>
      <c r="S12" s="12"/>
    </row>
    <row r="13" spans="1:19" ht="15.75" x14ac:dyDescent="0.25">
      <c r="A13" s="47" t="s">
        <v>404</v>
      </c>
      <c r="B13" s="144"/>
      <c r="C13" s="12"/>
      <c r="D13" s="12"/>
      <c r="E13" s="12"/>
      <c r="F13" s="12"/>
      <c r="G13" s="12"/>
      <c r="H13" s="12"/>
      <c r="I13" s="12"/>
      <c r="J13" s="12"/>
      <c r="K13" s="12"/>
      <c r="L13" s="12"/>
      <c r="M13" s="12"/>
      <c r="N13" s="12"/>
      <c r="O13" s="12"/>
      <c r="P13" s="12"/>
      <c r="Q13" s="12"/>
      <c r="R13" s="12"/>
      <c r="S13" s="12"/>
    </row>
    <row r="14" spans="1:19" x14ac:dyDescent="0.25">
      <c r="A14" s="12" t="s">
        <v>405</v>
      </c>
      <c r="B14" s="12"/>
      <c r="C14" s="57" t="e">
        <f>Exploitatieberekening!N149</f>
        <v>#DIV/0!</v>
      </c>
      <c r="D14" s="57">
        <f>Exploitatieberekening!O149</f>
        <v>-2.92E-2</v>
      </c>
      <c r="E14" s="57">
        <f>Exploitatieberekening!P149</f>
        <v>-2.9784000000000001E-2</v>
      </c>
      <c r="F14" s="57">
        <f>Exploitatieberekening!Q149</f>
        <v>-3.0379680000000003E-2</v>
      </c>
      <c r="G14" s="57">
        <f>Exploitatieberekening!R149</f>
        <v>-3.0987273600000004E-2</v>
      </c>
      <c r="H14" s="57">
        <f>Exploitatieberekening!S149</f>
        <v>-3.1607019072000003E-2</v>
      </c>
      <c r="I14" s="57">
        <f>Exploitatieberekening!T149</f>
        <v>0</v>
      </c>
      <c r="J14" s="57">
        <f>Exploitatieberekening!U149</f>
        <v>0</v>
      </c>
      <c r="K14" s="57">
        <f>Exploitatieberekening!V149</f>
        <v>0</v>
      </c>
      <c r="L14" s="57">
        <f>Exploitatieberekening!W149</f>
        <v>0</v>
      </c>
      <c r="M14" s="57">
        <f>Exploitatieberekening!X149</f>
        <v>0</v>
      </c>
      <c r="N14" s="57">
        <f>Exploitatieberekening!Y149</f>
        <v>0</v>
      </c>
      <c r="O14" s="57">
        <f>Exploitatieberekening!Z149</f>
        <v>0</v>
      </c>
      <c r="P14" s="57">
        <f>Exploitatieberekening!AA149</f>
        <v>0</v>
      </c>
      <c r="Q14" s="57">
        <f>Exploitatieberekening!AB149</f>
        <v>0</v>
      </c>
      <c r="R14" s="57">
        <f>Exploitatieberekening!AC149</f>
        <v>0</v>
      </c>
      <c r="S14" s="12"/>
    </row>
    <row r="15" spans="1:19" x14ac:dyDescent="0.25">
      <c r="A15" s="12" t="s">
        <v>401</v>
      </c>
      <c r="B15" s="144">
        <f>IF(Exploitatieberekening!B12=8,IRR(C14:K14,0%),IF(Exploitatieberekening!B12=12,IRR(C14:O14,0%),IF(Exploitatieberekening!B12=15,IRR(C14:R14,0%),)))</f>
        <v>0</v>
      </c>
      <c r="C15" s="12"/>
      <c r="D15" s="12"/>
      <c r="E15" s="12"/>
      <c r="F15" s="12"/>
      <c r="G15" s="12"/>
      <c r="H15" s="12"/>
      <c r="I15" s="12"/>
      <c r="J15" s="12"/>
      <c r="K15" s="12"/>
      <c r="L15" s="12"/>
      <c r="M15" s="12"/>
      <c r="N15" s="12"/>
      <c r="O15" s="12"/>
      <c r="P15" s="12"/>
      <c r="Q15" s="12"/>
      <c r="R15" s="12"/>
      <c r="S15" s="12"/>
    </row>
    <row r="16" spans="1:19" x14ac:dyDescent="0.25">
      <c r="A16" s="12" t="s">
        <v>406</v>
      </c>
      <c r="B16" s="12"/>
      <c r="C16" s="57" t="e">
        <f>Exploitatieberekening!N149</f>
        <v>#DIV/0!</v>
      </c>
      <c r="D16" s="57">
        <f>IF(Exploitatieberekening!$B$12=8,SUM($D$14:$K$14)/8,IF(Exploitatieberekening!$B$12=12,SUM($D$14:$O$14)/12,IF(Exploitatieberekening!$B$12=15,SUM($D$14:$R$14)/15,0)))</f>
        <v>0</v>
      </c>
      <c r="E16" s="57">
        <f>IF(Exploitatieberekening!$B$12=8,SUM($D$14:$K$14)/8,IF(Exploitatieberekening!$B$12=12,SUM($D$14:$O$14)/12,IF(Exploitatieberekening!$B$12=15,SUM($D$14:$R$14)/15,0)))</f>
        <v>0</v>
      </c>
      <c r="F16" s="57">
        <f>IF(Exploitatieberekening!$B$12=8,SUM($D$14:$K$14)/8,IF(Exploitatieberekening!$B$12=12,SUM($D$14:$O$14)/12,IF(Exploitatieberekening!$B$12=15,SUM($D$14:$R$14)/15,0)))</f>
        <v>0</v>
      </c>
      <c r="G16" s="57">
        <f>IF(Exploitatieberekening!$B$12=8,SUM($D$14:$K$14)/8,IF(Exploitatieberekening!$B$12=12,SUM($D$14:$O$14)/12,IF(Exploitatieberekening!$B$12=15,SUM($D$14:$R$14)/15,0)))</f>
        <v>0</v>
      </c>
      <c r="H16" s="57">
        <f>IF(Exploitatieberekening!$B$12=8,SUM($D$14:$K$14)/8,IF(Exploitatieberekening!$B$12=12,SUM($D$14:$O$14)/12,IF(Exploitatieberekening!$B$12=15,SUM($D$14:$R$14)/15,0)))</f>
        <v>0</v>
      </c>
      <c r="I16" s="57">
        <f>IF(Exploitatieberekening!$B$12=8,SUM($D$14:$K$14)/8,IF(Exploitatieberekening!$B$12=12,SUM($D$14:$O$14)/12,IF(Exploitatieberekening!$B$12=15,SUM($D$14:$R$14)/15,0)))</f>
        <v>0</v>
      </c>
      <c r="J16" s="57">
        <f>IF(Exploitatieberekening!$B$12=8,SUM($D$14:$K$14)/8,IF(Exploitatieberekening!$B$12=12,SUM($D$14:$O$14)/12,IF(Exploitatieberekening!$B$12=15,SUM($D$14:$R$14)/15,0)))</f>
        <v>0</v>
      </c>
      <c r="K16" s="57">
        <f>IF(Exploitatieberekening!$B$12=8,SUM($D$14:$K$14)/8,IF(Exploitatieberekening!$B$12=12,SUM($D$14:$O$14)/12,IF(Exploitatieberekening!$B$12=15,SUM($D$14:$R$14)/15,0)))</f>
        <v>0</v>
      </c>
      <c r="L16" s="57">
        <f>IF(Exploitatieberekening!$B$12=8,SUM($D$14:$K$14)/8,IF(Exploitatieberekening!$B$12=12,SUM($D$14:$O$14)/12,IF(Exploitatieberekening!$B$12=15,SUM($D$14:$R$14)/15,0)))</f>
        <v>0</v>
      </c>
      <c r="M16" s="57">
        <f>IF(Exploitatieberekening!$B$12=8,SUM($D$14:$K$14)/8,IF(Exploitatieberekening!$B$12=12,SUM($D$14:$O$14)/12,IF(Exploitatieberekening!$B$12=15,SUM($D$14:$R$14)/15,0)))</f>
        <v>0</v>
      </c>
      <c r="N16" s="57">
        <f>IF(Exploitatieberekening!$B$12=8,SUM($D$14:$K$14)/8,IF(Exploitatieberekening!$B$12=12,SUM($D$14:$O$14)/12,IF(Exploitatieberekening!$B$12=15,SUM($D$14:$R$14)/15,0)))</f>
        <v>0</v>
      </c>
      <c r="O16" s="57">
        <f>IF(Exploitatieberekening!$B$12=8,SUM($D$14:$K$14)/8,IF(Exploitatieberekening!$B$12=12,SUM($D$14:$O$14)/12,IF(Exploitatieberekening!$B$12=15,SUM($D$14:$R$14)/15,0)))</f>
        <v>0</v>
      </c>
      <c r="P16" s="57">
        <f>IF(Exploitatieberekening!$B$12=8,SUM($D$14:$K$14)/8,IF(Exploitatieberekening!$B$12=12,SUM($D$14:$O$14)/12,IF(Exploitatieberekening!$B$12=15,SUM($D$14:$R$14)/15,0)))</f>
        <v>0</v>
      </c>
      <c r="Q16" s="57">
        <f>IF(Exploitatieberekening!$B$12=8,SUM($D$14:$K$14)/8,IF(Exploitatieberekening!$B$12=12,SUM($D$14:$O$14)/12,IF(Exploitatieberekening!$B$12=15,SUM($D$14:$R$14)/15,0)))</f>
        <v>0</v>
      </c>
      <c r="R16" s="57">
        <f>IF(Exploitatieberekening!$B$12=8,SUM($D$14:$K$14)/8,IF(Exploitatieberekening!$B$12=12,SUM($D$14:$O$14)/12,IF(Exploitatieberekening!$B$12=15,SUM($D$14:$R$14)/15,0)))</f>
        <v>0</v>
      </c>
      <c r="S16" s="12"/>
    </row>
    <row r="17" spans="1:19" x14ac:dyDescent="0.25">
      <c r="A17" s="12" t="s">
        <v>407</v>
      </c>
      <c r="B17" s="144">
        <f>IF(Exploitatieberekening!B12=8,IRR(C16:K16,0%),IF(Exploitatieberekening!B12=12,IRR(C16:O16,0%),IF(Exploitatieberekening!B12=15,IRR(C16:R16,0%),)))</f>
        <v>0</v>
      </c>
      <c r="C17" s="12"/>
      <c r="D17" s="12"/>
      <c r="E17" s="12"/>
      <c r="F17" s="12"/>
      <c r="G17" s="12"/>
      <c r="H17" s="12"/>
      <c r="I17" s="12"/>
      <c r="J17" s="12"/>
      <c r="K17" s="12"/>
      <c r="L17" s="12"/>
      <c r="M17" s="12"/>
      <c r="N17" s="12"/>
      <c r="O17" s="12"/>
      <c r="P17" s="12"/>
      <c r="Q17" s="12"/>
      <c r="R17" s="12"/>
      <c r="S17" s="12"/>
    </row>
    <row r="18" spans="1:19" x14ac:dyDescent="0.25">
      <c r="A18" s="12"/>
      <c r="B18" s="30"/>
      <c r="C18" s="12"/>
      <c r="D18" s="12"/>
      <c r="E18" s="12"/>
      <c r="F18" s="12"/>
      <c r="G18" s="12"/>
      <c r="H18" s="12"/>
      <c r="I18" s="12"/>
      <c r="J18" s="12"/>
      <c r="K18" s="12"/>
      <c r="L18" s="12"/>
      <c r="M18" s="12"/>
      <c r="N18" s="12"/>
      <c r="O18" s="12"/>
      <c r="P18" s="12"/>
      <c r="Q18" s="12"/>
      <c r="R18" s="12"/>
      <c r="S18" s="12"/>
    </row>
    <row r="19" spans="1:19" x14ac:dyDescent="0.25">
      <c r="A19" s="12"/>
      <c r="B19" s="12"/>
      <c r="C19" s="12"/>
      <c r="D19" s="12"/>
      <c r="E19" s="12"/>
      <c r="F19" s="12"/>
      <c r="G19" s="12"/>
      <c r="H19" s="12"/>
      <c r="I19" s="12"/>
      <c r="J19" s="12"/>
      <c r="K19" s="12"/>
      <c r="L19" s="12"/>
      <c r="M19" s="12"/>
      <c r="N19" s="12"/>
      <c r="O19" s="12"/>
      <c r="P19" s="12"/>
      <c r="Q19" s="12"/>
      <c r="R19" s="12"/>
      <c r="S19" s="12"/>
    </row>
    <row r="20" spans="1:19" x14ac:dyDescent="0.25">
      <c r="A20" s="12"/>
      <c r="B20" s="12"/>
      <c r="C20" s="12"/>
      <c r="D20" s="12"/>
      <c r="E20" s="12"/>
      <c r="F20" s="12"/>
      <c r="G20" s="12"/>
      <c r="H20" s="12"/>
      <c r="I20" s="12"/>
      <c r="J20" s="12"/>
      <c r="K20" s="12"/>
      <c r="L20" s="12"/>
      <c r="M20" s="12"/>
      <c r="N20" s="12"/>
      <c r="O20" s="12"/>
      <c r="P20" s="12"/>
      <c r="Q20" s="12"/>
      <c r="R20" s="12"/>
      <c r="S20" s="12"/>
    </row>
    <row r="21" spans="1:19" x14ac:dyDescent="0.25">
      <c r="A21" s="12"/>
      <c r="B21" s="12"/>
      <c r="C21" s="12"/>
      <c r="D21" s="12"/>
      <c r="E21" s="12"/>
      <c r="F21" s="12"/>
      <c r="G21" s="12"/>
      <c r="H21" s="12"/>
      <c r="I21" s="12"/>
      <c r="J21" s="12"/>
      <c r="K21" s="12"/>
      <c r="L21" s="12"/>
      <c r="M21" s="12"/>
      <c r="N21" s="12"/>
      <c r="O21" s="12"/>
      <c r="P21" s="12"/>
      <c r="Q21" s="12"/>
      <c r="R21" s="12"/>
      <c r="S21" s="12"/>
    </row>
    <row r="22" spans="1:19" x14ac:dyDescent="0.25">
      <c r="A22" s="12"/>
      <c r="B22" s="12"/>
      <c r="C22" s="12"/>
      <c r="D22" s="12"/>
      <c r="E22" s="12"/>
      <c r="F22" s="12"/>
      <c r="G22" s="12"/>
      <c r="H22" s="12"/>
      <c r="I22" s="12"/>
      <c r="J22" s="12"/>
      <c r="K22" s="12"/>
      <c r="L22" s="12"/>
      <c r="M22" s="12"/>
      <c r="N22" s="12"/>
      <c r="O22" s="12"/>
      <c r="P22" s="12"/>
      <c r="Q22" s="12"/>
      <c r="R22" s="12"/>
      <c r="S22" s="12"/>
    </row>
    <row r="23" spans="1:19" x14ac:dyDescent="0.25">
      <c r="A23" s="12"/>
      <c r="B23" s="12"/>
      <c r="C23" s="12"/>
      <c r="D23" s="12"/>
      <c r="E23" s="12"/>
      <c r="F23" s="12"/>
      <c r="G23" s="12"/>
      <c r="H23" s="12"/>
      <c r="I23" s="12"/>
      <c r="J23" s="12"/>
      <c r="K23" s="12"/>
      <c r="L23" s="12"/>
      <c r="M23" s="12"/>
      <c r="N23" s="12"/>
      <c r="O23" s="12"/>
      <c r="P23" s="12"/>
      <c r="Q23" s="12"/>
      <c r="R23" s="12"/>
      <c r="S23" s="12"/>
    </row>
    <row r="24" spans="1:19" x14ac:dyDescent="0.25">
      <c r="A24" s="12"/>
      <c r="B24" s="12"/>
      <c r="C24" s="12"/>
      <c r="D24" s="12"/>
      <c r="E24" s="12"/>
      <c r="F24" s="12"/>
      <c r="G24" s="12"/>
      <c r="H24" s="12"/>
      <c r="I24" s="12"/>
      <c r="J24" s="12"/>
      <c r="K24" s="12"/>
      <c r="L24" s="12"/>
      <c r="M24" s="12"/>
      <c r="N24" s="12"/>
      <c r="O24" s="12"/>
      <c r="P24" s="12"/>
      <c r="Q24" s="12"/>
      <c r="R24" s="12"/>
      <c r="S24" s="12"/>
    </row>
  </sheetData>
  <mergeCells count="1">
    <mergeCell ref="A3:K3"/>
  </mergeCells>
  <pageMargins left="0.7" right="0.7" top="0.75" bottom="0.75" header="0.3" footer="0.3"/>
  <ignoredErrors>
    <ignoredError sqref="D8 B17 B15 B11 B9" evalError="1"/>
  </ignoredErrors>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Invulinstructie_disclaimer</vt:lpstr>
      <vt:lpstr>Financiering_en_projectplan</vt:lpstr>
      <vt:lpstr>Productie_en_afzet</vt:lpstr>
      <vt:lpstr>Exploitatieberekening</vt:lpstr>
      <vt:lpstr>Overzicht bijlagen</vt:lpstr>
      <vt:lpstr>Hulpblad_categorieën_parameters</vt:lpstr>
      <vt:lpstr>PBL_OT_2025</vt:lpstr>
      <vt:lpstr>Hulpblad_overig</vt:lpstr>
      <vt:lpstr>Alternat.rendementsberekening</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 haalbaarheidsstudie SDE ++ 2025</dc:title>
  <dc:creator>Rijksdienst voor Ondernemend Nederland</dc:creator>
  <cp:lastModifiedBy>RVO</cp:lastModifiedBy>
  <dcterms:created xsi:type="dcterms:W3CDTF">2022-04-26T18:18:30Z</dcterms:created>
  <dcterms:modified xsi:type="dcterms:W3CDTF">2025-09-11T19:11:36Z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2023-01-31T14:22:23Z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794c74a3-7f6b-40a7-a737-d9bde0f657ab</vt:lpwstr>
  </property>
  <property fmtid="{D5CDD505-2E9C-101B-9397-08002B2CF9AE}" pid="8" name="MSIP_Label_4bde8109-f994-4a60-a1d3-5c95e2ff3620_ContentBits">
    <vt:lpwstr>0</vt:lpwstr>
  </property>
</Properties>
</file>